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s1210.ms\SETORES\DEIURB\=ENGENHARIA=\JULIA 2026\ANÁLISE DE PROJETOS\14. Três Lagoas - Jardim Brasília\4-CORREÇÃO FINAL ARQUIVOS 11-03-2026\02-Relatórios\01-Planilhas\"/>
    </mc:Choice>
  </mc:AlternateContent>
  <bookViews>
    <workbookView xWindow="-28920" yWindow="-120" windowWidth="29040" windowHeight="15720" tabRatio="906" firstSheet="6" activeTab="9"/>
  </bookViews>
  <sheets>
    <sheet name="RESUMO DES" sheetId="93" state="hidden" r:id="rId1"/>
    <sheet name="RESUMO" sheetId="94" state="hidden" r:id="rId2"/>
    <sheet name="ORÇ. SINTÉTICO" sheetId="95" state="hidden" r:id="rId3"/>
    <sheet name="Orçamento Analítico" sheetId="96" state="hidden" r:id="rId4"/>
    <sheet name="CFF" sheetId="97" state="hidden" r:id="rId5"/>
    <sheet name="CPU" sheetId="98" state="hidden" r:id="rId6"/>
    <sheet name="DMT" sheetId="9" r:id="rId7"/>
    <sheet name="MAT BET" sheetId="90" state="hidden" r:id="rId8"/>
    <sheet name="GRELHA" sheetId="105" state="hidden" r:id="rId9"/>
    <sheet name="PRELIMINARES" sheetId="10" r:id="rId10"/>
    <sheet name="DEMOLIÇÕES E RETIRADAS" sheetId="89" r:id="rId11"/>
    <sheet name="DRENAGEM" sheetId="86" r:id="rId12"/>
    <sheet name="COMPLEMENTARES" sheetId="104" r:id="rId13"/>
    <sheet name="DISP. DRENAGEM" sheetId="85" r:id="rId14"/>
    <sheet name="PAVIMENTAÇÃO" sheetId="102" r:id="rId15"/>
    <sheet name="CALÇADA E ACESS." sheetId="101" r:id="rId16"/>
    <sheet name="SINALIZAÇÃO" sheetId="103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</externalReferences>
  <definedNames>
    <definedName name="\c" localSheetId="15">#REF!</definedName>
    <definedName name="\c" localSheetId="4">#REF!</definedName>
    <definedName name="\c" localSheetId="12">[1]SID_NI_5!#REF!</definedName>
    <definedName name="\c" localSheetId="5">#REF!</definedName>
    <definedName name="\c" localSheetId="13">#REF!</definedName>
    <definedName name="\c" localSheetId="6">#REF!</definedName>
    <definedName name="\c" localSheetId="11">#REF!</definedName>
    <definedName name="\c" localSheetId="8">#REF!</definedName>
    <definedName name="\c" localSheetId="7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D" localSheetId="12">#REF!</definedName>
    <definedName name="\D" localSheetId="8">#REF!</definedName>
    <definedName name="\D">#REF!</definedName>
    <definedName name="\G" localSheetId="8">#REF!</definedName>
    <definedName name="\G">#REF!</definedName>
    <definedName name="\I" localSheetId="15">#REF!</definedName>
    <definedName name="\I" localSheetId="4">#REF!</definedName>
    <definedName name="\I" localSheetId="12">#REF!</definedName>
    <definedName name="\I" localSheetId="5">#REF!</definedName>
    <definedName name="\I" localSheetId="13">#REF!</definedName>
    <definedName name="\I" localSheetId="11">#REF!</definedName>
    <definedName name="\I" localSheetId="8">#REF!</definedName>
    <definedName name="\I" localSheetId="7">#REF!</definedName>
    <definedName name="\I" localSheetId="0">#REF!</definedName>
    <definedName name="\I">#REF!</definedName>
    <definedName name="\M">#REF!</definedName>
    <definedName name="\p" localSheetId="15">#REF!</definedName>
    <definedName name="\p" localSheetId="4">#REF!</definedName>
    <definedName name="\p" localSheetId="12">[1]SID_NI_5!#REF!</definedName>
    <definedName name="\p" localSheetId="5">#REF!</definedName>
    <definedName name="\p" localSheetId="13">#REF!</definedName>
    <definedName name="\p" localSheetId="6">#REF!</definedName>
    <definedName name="\p" localSheetId="11">#REF!</definedName>
    <definedName name="\p" localSheetId="8">#REF!</definedName>
    <definedName name="\p" localSheetId="7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R" localSheetId="12">#REF!</definedName>
    <definedName name="\R" localSheetId="8">#REF!</definedName>
    <definedName name="\R">#REF!</definedName>
    <definedName name="\S" localSheetId="12">[2]COMPOS1!#REF!</definedName>
    <definedName name="\S" localSheetId="13">#REF!</definedName>
    <definedName name="\S" localSheetId="8">#REF!</definedName>
    <definedName name="\S" localSheetId="7">#REF!</definedName>
    <definedName name="\S" localSheetId="0">#REF!</definedName>
    <definedName name="\S">#REF!</definedName>
    <definedName name="\t" localSheetId="12">[2]COMPOS1!#REF!</definedName>
    <definedName name="\t" localSheetId="13">#REF!</definedName>
    <definedName name="\t" localSheetId="8">#REF!</definedName>
    <definedName name="\t" localSheetId="7">#REF!</definedName>
    <definedName name="\t" localSheetId="0">#REF!</definedName>
    <definedName name="\t">#REF!</definedName>
    <definedName name="\Y" localSheetId="12">#REF!</definedName>
    <definedName name="\Y" localSheetId="8">#REF!</definedName>
    <definedName name="\Y">#REF!</definedName>
    <definedName name="_" localSheetId="8">#REF!</definedName>
    <definedName name="_">#REF!</definedName>
    <definedName name="______ms299" localSheetId="8">#REF!</definedName>
    <definedName name="______ms299" localSheetId="7">#REF!</definedName>
    <definedName name="______ms299">#REF!</definedName>
    <definedName name="_____PL1" localSheetId="15">#REF!</definedName>
    <definedName name="_____PL1" localSheetId="4">#REF!</definedName>
    <definedName name="_____PL1" localSheetId="12">#REF!</definedName>
    <definedName name="_____PL1" localSheetId="5">#REF!</definedName>
    <definedName name="_____PL1" localSheetId="13">#REF!</definedName>
    <definedName name="_____PL1" localSheetId="11">#REF!</definedName>
    <definedName name="_____PL1" localSheetId="8">#REF!</definedName>
    <definedName name="_____PL1" localSheetId="7">#REF!</definedName>
    <definedName name="_____PL1" localSheetId="2">#REF!</definedName>
    <definedName name="_____PL1" localSheetId="1">#REF!</definedName>
    <definedName name="_____PL1" localSheetId="0">#REF!</definedName>
    <definedName name="_____PL1">#REF!</definedName>
    <definedName name="_____sub1" localSheetId="8">#REF!</definedName>
    <definedName name="_____sub1" localSheetId="7">#REF!</definedName>
    <definedName name="_____sub1">#REF!</definedName>
    <definedName name="_____sub3" localSheetId="8">#REF!</definedName>
    <definedName name="_____sub3" localSheetId="7">#REF!</definedName>
    <definedName name="_____sub3">#REF!</definedName>
    <definedName name="____PL1" localSheetId="15">#REF!</definedName>
    <definedName name="____PL1" localSheetId="4">#REF!</definedName>
    <definedName name="____PL1" localSheetId="12">#REF!</definedName>
    <definedName name="____PL1" localSheetId="5">#REF!</definedName>
    <definedName name="____PL1" localSheetId="13">#REF!</definedName>
    <definedName name="____PL1" localSheetId="8">#REF!</definedName>
    <definedName name="____PL1" localSheetId="7">#REF!</definedName>
    <definedName name="____PL1" localSheetId="0">#REF!</definedName>
    <definedName name="____PL1">#REF!</definedName>
    <definedName name="____PNV2002" localSheetId="15">#REF!</definedName>
    <definedName name="____PNV2002" localSheetId="4">#REF!</definedName>
    <definedName name="____PNV2002" localSheetId="12">#REF!</definedName>
    <definedName name="____PNV2002" localSheetId="5">#REF!</definedName>
    <definedName name="____PNV2002" localSheetId="13">#REF!</definedName>
    <definedName name="____PNV2002" localSheetId="8">#REF!</definedName>
    <definedName name="____PNV2002" localSheetId="7">#REF!</definedName>
    <definedName name="____PNV2002" localSheetId="0">#REF!</definedName>
    <definedName name="____PNV2002">#REF!</definedName>
    <definedName name="____PNV2003" localSheetId="15">#REF!</definedName>
    <definedName name="____PNV2003" localSheetId="4">#REF!</definedName>
    <definedName name="____PNV2003" localSheetId="5">#REF!</definedName>
    <definedName name="____PNV2003" localSheetId="13">#REF!</definedName>
    <definedName name="____PNV2003" localSheetId="8">#REF!</definedName>
    <definedName name="____PNV2003" localSheetId="7">#REF!</definedName>
    <definedName name="____PNV2003" localSheetId="0">#REF!</definedName>
    <definedName name="____PNV2003">#REF!</definedName>
    <definedName name="____SE2" localSheetId="8">#REF!</definedName>
    <definedName name="____SE2" localSheetId="7">#REF!</definedName>
    <definedName name="____SE2">#REF!</definedName>
    <definedName name="____sub1" localSheetId="8">#REF!</definedName>
    <definedName name="____sub1" localSheetId="7">#REF!</definedName>
    <definedName name="____sub1">#REF!</definedName>
    <definedName name="____sub2" localSheetId="8">#REF!</definedName>
    <definedName name="____sub2" localSheetId="7">#REF!</definedName>
    <definedName name="____sub2">#REF!</definedName>
    <definedName name="____sub3" localSheetId="8">#REF!</definedName>
    <definedName name="____sub3" localSheetId="7">#REF!</definedName>
    <definedName name="____sub3">#REF!</definedName>
    <definedName name="____sub4" localSheetId="8">#REF!</definedName>
    <definedName name="____sub4" localSheetId="7">#REF!</definedName>
    <definedName name="____sub4">#REF!</definedName>
    <definedName name="___ms299" localSheetId="8">#REF!</definedName>
    <definedName name="___ms299" localSheetId="7">#REF!</definedName>
    <definedName name="___ms299">#REF!</definedName>
    <definedName name="___PL1" localSheetId="15">#REF!</definedName>
    <definedName name="___PL1" localSheetId="4">#REF!</definedName>
    <definedName name="___PL1" localSheetId="5">#REF!</definedName>
    <definedName name="___PL1" localSheetId="13">#REF!</definedName>
    <definedName name="___PL1" localSheetId="8">#REF!</definedName>
    <definedName name="___PL1" localSheetId="7">#REF!</definedName>
    <definedName name="___PL1" localSheetId="0">#REF!</definedName>
    <definedName name="___PL1">#REF!</definedName>
    <definedName name="___PNV2002" localSheetId="15">#REF!</definedName>
    <definedName name="___PNV2002" localSheetId="4">#REF!</definedName>
    <definedName name="___PNV2002" localSheetId="5">#REF!</definedName>
    <definedName name="___PNV2002" localSheetId="13">#REF!</definedName>
    <definedName name="___PNV2002" localSheetId="8">#REF!</definedName>
    <definedName name="___PNV2002" localSheetId="7">#REF!</definedName>
    <definedName name="___PNV2002" localSheetId="0">#REF!</definedName>
    <definedName name="___PNV2002">#REF!</definedName>
    <definedName name="___PNV2003" localSheetId="15">#REF!</definedName>
    <definedName name="___PNV2003" localSheetId="4">#REF!</definedName>
    <definedName name="___PNV2003" localSheetId="5">#REF!</definedName>
    <definedName name="___PNV2003" localSheetId="13">#REF!</definedName>
    <definedName name="___PNV2003" localSheetId="8">#REF!</definedName>
    <definedName name="___PNV2003" localSheetId="7">#REF!</definedName>
    <definedName name="___PNV2003" localSheetId="0">#REF!</definedName>
    <definedName name="___PNV2003">#REF!</definedName>
    <definedName name="___R" localSheetId="8">#REF!</definedName>
    <definedName name="___R" localSheetId="7">#REF!</definedName>
    <definedName name="___R">#REF!</definedName>
    <definedName name="___SE2" localSheetId="8">#REF!</definedName>
    <definedName name="___SE2" localSheetId="7">#REF!</definedName>
    <definedName name="___SE2">#REF!</definedName>
    <definedName name="___sub1" localSheetId="8">#REF!</definedName>
    <definedName name="___sub1" localSheetId="7">#REF!</definedName>
    <definedName name="___sub1">#REF!</definedName>
    <definedName name="___sub2" localSheetId="8">#REF!</definedName>
    <definedName name="___sub2" localSheetId="7">#REF!</definedName>
    <definedName name="___sub2">#REF!</definedName>
    <definedName name="___sub3" localSheetId="8">#REF!</definedName>
    <definedName name="___sub3" localSheetId="7">#REF!</definedName>
    <definedName name="___sub3">#REF!</definedName>
    <definedName name="___sub4" localSheetId="8">#REF!</definedName>
    <definedName name="___sub4" localSheetId="7">#REF!</definedName>
    <definedName name="___sub4">#REF!</definedName>
    <definedName name="__eu2" localSheetId="15" hidden="1">{#N/A,#N/A,FALSE,"MO (2)"}</definedName>
    <definedName name="__eu2" localSheetId="12" hidden="1">{#N/A,#N/A,FALSE,"MO (2)"}</definedName>
    <definedName name="__eu2" localSheetId="8" hidden="1">{#N/A,#N/A,FALSE,"MO (2)"}</definedName>
    <definedName name="__eu2" localSheetId="14" hidden="1">{#N/A,#N/A,FALSE,"MO (2)"}</definedName>
    <definedName name="__eu2" localSheetId="16" hidden="1">{#N/A,#N/A,FALSE,"MO (2)"}</definedName>
    <definedName name="__eu2" hidden="1">{#N/A,#N/A,FALSE,"MO (2)"}</definedName>
    <definedName name="__MDO1" localSheetId="8">#REF!</definedName>
    <definedName name="__MDO1" localSheetId="7">#REF!</definedName>
    <definedName name="__MDO1" localSheetId="14">#REF!</definedName>
    <definedName name="__MDO1">#REF!</definedName>
    <definedName name="__MDO2" localSheetId="8">#REF!</definedName>
    <definedName name="__MDO2" localSheetId="7">#REF!</definedName>
    <definedName name="__MDO2">#REF!</definedName>
    <definedName name="__ms299" localSheetId="8">#REF!</definedName>
    <definedName name="__ms299" localSheetId="7">#REF!</definedName>
    <definedName name="__ms299">#REF!</definedName>
    <definedName name="__PL1" localSheetId="15">#REF!</definedName>
    <definedName name="__PL1" localSheetId="4">#REF!</definedName>
    <definedName name="__PL1" localSheetId="5">#REF!</definedName>
    <definedName name="__PL1" localSheetId="13">#REF!</definedName>
    <definedName name="__PL1" localSheetId="8">#REF!</definedName>
    <definedName name="__PL1" localSheetId="7">#REF!</definedName>
    <definedName name="__PL1" localSheetId="0">#REF!</definedName>
    <definedName name="__PL1">#REF!</definedName>
    <definedName name="__PNV2002" localSheetId="15">#REF!</definedName>
    <definedName name="__PNV2002" localSheetId="4">#REF!</definedName>
    <definedName name="__PNV2002" localSheetId="5">#REF!</definedName>
    <definedName name="__PNV2002" localSheetId="13">#REF!</definedName>
    <definedName name="__PNV2002" localSheetId="8">#REF!</definedName>
    <definedName name="__PNV2002" localSheetId="7">#REF!</definedName>
    <definedName name="__PNV2002" localSheetId="0">#REF!</definedName>
    <definedName name="__PNV2002">#REF!</definedName>
    <definedName name="__PNV2003" localSheetId="15">#REF!</definedName>
    <definedName name="__PNV2003" localSheetId="4">#REF!</definedName>
    <definedName name="__PNV2003" localSheetId="5">#REF!</definedName>
    <definedName name="__PNV2003" localSheetId="13">#REF!</definedName>
    <definedName name="__PNV2003" localSheetId="8">#REF!</definedName>
    <definedName name="__PNV2003" localSheetId="7">#REF!</definedName>
    <definedName name="__PNV2003" localSheetId="0">#REF!</definedName>
    <definedName name="__PNV2003">#REF!</definedName>
    <definedName name="__R" localSheetId="8">#REF!</definedName>
    <definedName name="__R" localSheetId="7">#REF!</definedName>
    <definedName name="__R">#REF!</definedName>
    <definedName name="__SE2" localSheetId="8">#REF!</definedName>
    <definedName name="__SE2" localSheetId="7">#REF!</definedName>
    <definedName name="__SE2">#REF!</definedName>
    <definedName name="__sub1" localSheetId="8">#REF!</definedName>
    <definedName name="__sub1" localSheetId="7">#REF!</definedName>
    <definedName name="__sub1">#REF!</definedName>
    <definedName name="__sub2" localSheetId="8">#REF!</definedName>
    <definedName name="__sub2" localSheetId="7">#REF!</definedName>
    <definedName name="__sub2">#REF!</definedName>
    <definedName name="__sub3" localSheetId="8">#REF!</definedName>
    <definedName name="__sub3" localSheetId="7">#REF!</definedName>
    <definedName name="__sub3">#REF!</definedName>
    <definedName name="__sub4" localSheetId="8">#REF!</definedName>
    <definedName name="__sub4" localSheetId="7">#REF!</definedName>
    <definedName name="__sub4">#REF!</definedName>
    <definedName name="_00001" localSheetId="8">#REF!</definedName>
    <definedName name="_00001" localSheetId="7">#REF!</definedName>
    <definedName name="_00001">#REF!</definedName>
    <definedName name="_01_09_96" localSheetId="15">#REF!</definedName>
    <definedName name="_01_09_96" localSheetId="4">#REF!</definedName>
    <definedName name="_01_09_96" localSheetId="5">#REF!</definedName>
    <definedName name="_01_09_96" localSheetId="13">#REF!</definedName>
    <definedName name="_01_09_96" localSheetId="8">#REF!</definedName>
    <definedName name="_01_09_96" localSheetId="7">#REF!</definedName>
    <definedName name="_01_09_96" localSheetId="0">#REF!</definedName>
    <definedName name="_01_09_96">#REF!</definedName>
    <definedName name="_02" localSheetId="15">#REF!</definedName>
    <definedName name="_02" localSheetId="4">#REF!</definedName>
    <definedName name="_02" localSheetId="5">#REF!</definedName>
    <definedName name="_02" localSheetId="13">#REF!</definedName>
    <definedName name="_02" localSheetId="6">#REF!</definedName>
    <definedName name="_02" localSheetId="8">#REF!</definedName>
    <definedName name="_02" localSheetId="7">#REF!</definedName>
    <definedName name="_02" localSheetId="0">#REF!</definedName>
    <definedName name="_02">#REF!</definedName>
    <definedName name="_1830201">#N/A</definedName>
    <definedName name="_21.03.06" localSheetId="8">#REF!</definedName>
    <definedName name="_21.03.06" localSheetId="7">#REF!</definedName>
    <definedName name="_21.03.06" localSheetId="14">#REF!</definedName>
    <definedName name="_21.03.06">#REF!</definedName>
    <definedName name="_21.03.07" localSheetId="8">#REF!</definedName>
    <definedName name="_21.03.07" localSheetId="7">#REF!</definedName>
    <definedName name="_21.03.07">#REF!</definedName>
    <definedName name="_21.03.08" localSheetId="8">#REF!</definedName>
    <definedName name="_21.03.08" localSheetId="7">#REF!</definedName>
    <definedName name="_21.03.08">#REF!</definedName>
    <definedName name="_21.04.02" localSheetId="8">#REF!</definedName>
    <definedName name="_21.04.02" localSheetId="7">#REF!</definedName>
    <definedName name="_21.04.02">#REF!</definedName>
    <definedName name="_21.05.01" localSheetId="8">#REF!</definedName>
    <definedName name="_21.05.01" localSheetId="7">#REF!</definedName>
    <definedName name="_21.05.01">#REF!</definedName>
    <definedName name="_21.05.02" localSheetId="8">#REF!</definedName>
    <definedName name="_21.05.02" localSheetId="7">#REF!</definedName>
    <definedName name="_21.05.02">#REF!</definedName>
    <definedName name="_21.05.05" localSheetId="8">#REF!</definedName>
    <definedName name="_21.05.05" localSheetId="7">#REF!</definedName>
    <definedName name="_21.05.05">#REF!</definedName>
    <definedName name="_21.05.07" localSheetId="8">#REF!</definedName>
    <definedName name="_21.05.07" localSheetId="7">#REF!</definedName>
    <definedName name="_21.05.07">#REF!</definedName>
    <definedName name="_21.37.01.06" localSheetId="8">#REF!</definedName>
    <definedName name="_21.37.01.06" localSheetId="7">#REF!</definedName>
    <definedName name="_21.37.01.06">#REF!</definedName>
    <definedName name="_21.37.01.07" localSheetId="8">#REF!</definedName>
    <definedName name="_21.37.01.07" localSheetId="7">#REF!</definedName>
    <definedName name="_21.37.01.07">#REF!</definedName>
    <definedName name="_21.88.19.01" localSheetId="8">#REF!</definedName>
    <definedName name="_21.88.19.01" localSheetId="7">#REF!</definedName>
    <definedName name="_21.88.19.01">#REF!</definedName>
    <definedName name="_21.88.35.02" localSheetId="8">#REF!</definedName>
    <definedName name="_21.88.35.02" localSheetId="7">#REF!</definedName>
    <definedName name="_21.88.35.02">#REF!</definedName>
    <definedName name="_22.01.01" localSheetId="8">#REF!</definedName>
    <definedName name="_22.01.01" localSheetId="7">#REF!</definedName>
    <definedName name="_22.01.01">#REF!</definedName>
    <definedName name="_22.01.02" localSheetId="8">#REF!</definedName>
    <definedName name="_22.01.02" localSheetId="7">#REF!</definedName>
    <definedName name="_22.01.02">#REF!</definedName>
    <definedName name="_22.01.05" localSheetId="8">#REF!</definedName>
    <definedName name="_22.01.05" localSheetId="7">#REF!</definedName>
    <definedName name="_22.01.05">#REF!</definedName>
    <definedName name="_22.02.01" localSheetId="8">#REF!</definedName>
    <definedName name="_22.02.01" localSheetId="7">#REF!</definedName>
    <definedName name="_22.02.01">#REF!</definedName>
    <definedName name="_22.02.05" localSheetId="8">#REF!</definedName>
    <definedName name="_22.02.05" localSheetId="7">#REF!</definedName>
    <definedName name="_22.02.05">#REF!</definedName>
    <definedName name="_22.02.06" localSheetId="8">#REF!</definedName>
    <definedName name="_22.02.06" localSheetId="7">#REF!</definedName>
    <definedName name="_22.02.06">#REF!</definedName>
    <definedName name="_22.03.01" localSheetId="8">#REF!</definedName>
    <definedName name="_22.03.01" localSheetId="7">#REF!</definedName>
    <definedName name="_22.03.01">#REF!</definedName>
    <definedName name="_22.03.05" localSheetId="8">#REF!</definedName>
    <definedName name="_22.03.05" localSheetId="7">#REF!</definedName>
    <definedName name="_22.03.05">#REF!</definedName>
    <definedName name="_22.03.10" localSheetId="8">#REF!</definedName>
    <definedName name="_22.03.10" localSheetId="7">#REF!</definedName>
    <definedName name="_22.03.10">#REF!</definedName>
    <definedName name="_22.03.12" localSheetId="8">#REF!</definedName>
    <definedName name="_22.03.12" localSheetId="7">#REF!</definedName>
    <definedName name="_22.03.12">#REF!</definedName>
    <definedName name="_22.04.01" localSheetId="8">#REF!</definedName>
    <definedName name="_22.04.01" localSheetId="7">#REF!</definedName>
    <definedName name="_22.04.01">#REF!</definedName>
    <definedName name="_22.06.04" localSheetId="8">#REF!</definedName>
    <definedName name="_22.06.04" localSheetId="7">#REF!</definedName>
    <definedName name="_22.06.04">#REF!</definedName>
    <definedName name="_22.08.35" localSheetId="8">#REF!</definedName>
    <definedName name="_22.08.35" localSheetId="7">#REF!</definedName>
    <definedName name="_22.08.35">#REF!</definedName>
    <definedName name="_22.88.02.01.01" localSheetId="8">#REF!</definedName>
    <definedName name="_22.88.02.01.01" localSheetId="7">#REF!</definedName>
    <definedName name="_22.88.02.01.01">#REF!</definedName>
    <definedName name="_22.88.02.09" localSheetId="8">#REF!</definedName>
    <definedName name="_22.88.02.09" localSheetId="7">#REF!</definedName>
    <definedName name="_22.88.02.09">#REF!</definedName>
    <definedName name="_23.02.01" localSheetId="8">#REF!</definedName>
    <definedName name="_23.02.01" localSheetId="7">#REF!</definedName>
    <definedName name="_23.02.01">#REF!</definedName>
    <definedName name="_23.03.01" localSheetId="8">#REF!</definedName>
    <definedName name="_23.03.01" localSheetId="7">#REF!</definedName>
    <definedName name="_23.03.01">#REF!</definedName>
    <definedName name="_23.03.02.04" localSheetId="8">#REF!</definedName>
    <definedName name="_23.03.02.04" localSheetId="7">#REF!</definedName>
    <definedName name="_23.03.02.04">#REF!</definedName>
    <definedName name="_23.04.01.01" localSheetId="8">#REF!</definedName>
    <definedName name="_23.04.01.01" localSheetId="7">#REF!</definedName>
    <definedName name="_23.04.01.01">#REF!</definedName>
    <definedName name="_23.04.03.01" localSheetId="8">#REF!</definedName>
    <definedName name="_23.04.03.01" localSheetId="7">#REF!</definedName>
    <definedName name="_23.04.03.01">#REF!</definedName>
    <definedName name="_23.04.03.04" localSheetId="8">#REF!</definedName>
    <definedName name="_23.04.03.04" localSheetId="7">#REF!</definedName>
    <definedName name="_23.04.03.04">#REF!</definedName>
    <definedName name="_23.04.04.04" localSheetId="8">#REF!</definedName>
    <definedName name="_23.04.04.04" localSheetId="7">#REF!</definedName>
    <definedName name="_23.04.04.04">#REF!</definedName>
    <definedName name="_23.05.01" localSheetId="8">#REF!</definedName>
    <definedName name="_23.05.01" localSheetId="7">#REF!</definedName>
    <definedName name="_23.05.01">#REF!</definedName>
    <definedName name="_23.05.02" localSheetId="8">#REF!</definedName>
    <definedName name="_23.05.02" localSheetId="7">#REF!</definedName>
    <definedName name="_23.05.02">#REF!</definedName>
    <definedName name="_23.08.02" localSheetId="8">#REF!</definedName>
    <definedName name="_23.08.02" localSheetId="7">#REF!</definedName>
    <definedName name="_23.08.02">#REF!</definedName>
    <definedName name="_23.08.03.03" localSheetId="8">#REF!</definedName>
    <definedName name="_23.08.03.03" localSheetId="7">#REF!</definedName>
    <definedName name="_23.08.03.03">#REF!</definedName>
    <definedName name="_23.08.05" localSheetId="8">#REF!</definedName>
    <definedName name="_23.08.05" localSheetId="7">#REF!</definedName>
    <definedName name="_23.08.05">#REF!</definedName>
    <definedName name="_23.10.01" localSheetId="8">#REF!</definedName>
    <definedName name="_23.10.01" localSheetId="7">#REF!</definedName>
    <definedName name="_23.10.01">#REF!</definedName>
    <definedName name="_23.11.04.01" localSheetId="8">#REF!</definedName>
    <definedName name="_23.11.04.01" localSheetId="7">#REF!</definedName>
    <definedName name="_23.11.04.01">#REF!</definedName>
    <definedName name="_23.11.09" localSheetId="8">#REF!</definedName>
    <definedName name="_23.11.09" localSheetId="7">#REF!</definedName>
    <definedName name="_23.11.09">#REF!</definedName>
    <definedName name="_23.11.11" localSheetId="8">#REF!</definedName>
    <definedName name="_23.11.11" localSheetId="7">#REF!</definedName>
    <definedName name="_23.11.11">#REF!</definedName>
    <definedName name="_23.37.02.01" localSheetId="8">#REF!</definedName>
    <definedName name="_23.37.02.01" localSheetId="7">#REF!</definedName>
    <definedName name="_23.37.02.01">#REF!</definedName>
    <definedName name="_23.37.03.03" localSheetId="8">#REF!</definedName>
    <definedName name="_23.37.03.03" localSheetId="7">#REF!</definedName>
    <definedName name="_23.37.03.03">#REF!</definedName>
    <definedName name="_23.37.03.04" localSheetId="8">#REF!</definedName>
    <definedName name="_23.37.03.04" localSheetId="7">#REF!</definedName>
    <definedName name="_23.37.03.04">#REF!</definedName>
    <definedName name="_24.02.01" localSheetId="8">#REF!</definedName>
    <definedName name="_24.02.01" localSheetId="7">#REF!</definedName>
    <definedName name="_24.02.01">#REF!</definedName>
    <definedName name="_24.02.02" localSheetId="8">#REF!</definedName>
    <definedName name="_24.02.02" localSheetId="7">#REF!</definedName>
    <definedName name="_24.02.02">#REF!</definedName>
    <definedName name="_24.03.05" localSheetId="8">#REF!</definedName>
    <definedName name="_24.03.05" localSheetId="7">#REF!</definedName>
    <definedName name="_24.03.05">#REF!</definedName>
    <definedName name="_24.03.06" localSheetId="8">#REF!</definedName>
    <definedName name="_24.03.06" localSheetId="7">#REF!</definedName>
    <definedName name="_24.03.06">#REF!</definedName>
    <definedName name="_24.03.07" localSheetId="8">#REF!</definedName>
    <definedName name="_24.03.07" localSheetId="7">#REF!</definedName>
    <definedName name="_24.03.07">#REF!</definedName>
    <definedName name="_24.05.01" localSheetId="8">#REF!</definedName>
    <definedName name="_24.05.01" localSheetId="7">#REF!</definedName>
    <definedName name="_24.05.01">#REF!</definedName>
    <definedName name="_24.05.02" localSheetId="8">#REF!</definedName>
    <definedName name="_24.05.02" localSheetId="7">#REF!</definedName>
    <definedName name="_24.05.02">#REF!</definedName>
    <definedName name="_24.06.02" localSheetId="8">#REF!</definedName>
    <definedName name="_24.06.02" localSheetId="7">#REF!</definedName>
    <definedName name="_24.06.02">#REF!</definedName>
    <definedName name="_24.06.04" localSheetId="8">#REF!</definedName>
    <definedName name="_24.06.04" localSheetId="7">#REF!</definedName>
    <definedName name="_24.06.04">#REF!</definedName>
    <definedName name="_24.07.01" localSheetId="8">#REF!</definedName>
    <definedName name="_24.07.01" localSheetId="7">#REF!</definedName>
    <definedName name="_24.07.01">#REF!</definedName>
    <definedName name="_24.07.02" localSheetId="8">#REF!</definedName>
    <definedName name="_24.07.02" localSheetId="7">#REF!</definedName>
    <definedName name="_24.07.02">#REF!</definedName>
    <definedName name="_24.07.04" localSheetId="8">#REF!</definedName>
    <definedName name="_24.07.04" localSheetId="7">#REF!</definedName>
    <definedName name="_24.07.04">#REF!</definedName>
    <definedName name="_24.07.05" localSheetId="8">#REF!</definedName>
    <definedName name="_24.07.05" localSheetId="7">#REF!</definedName>
    <definedName name="_24.07.05">#REF!</definedName>
    <definedName name="_24.07.09" localSheetId="8">#REF!</definedName>
    <definedName name="_24.07.09" localSheetId="7">#REF!</definedName>
    <definedName name="_24.07.09">#REF!</definedName>
    <definedName name="_24.08.01" localSheetId="8">#REF!</definedName>
    <definedName name="_24.08.01" localSheetId="7">#REF!</definedName>
    <definedName name="_24.08.01">#REF!</definedName>
    <definedName name="_24.08.02" localSheetId="8">#REF!</definedName>
    <definedName name="_24.08.02" localSheetId="7">#REF!</definedName>
    <definedName name="_24.08.02">#REF!</definedName>
    <definedName name="_24.09.02" localSheetId="8">#REF!</definedName>
    <definedName name="_24.09.02" localSheetId="7">#REF!</definedName>
    <definedName name="_24.09.02">#REF!</definedName>
    <definedName name="_24.10.02" localSheetId="8">#REF!</definedName>
    <definedName name="_24.10.02" localSheetId="7">#REF!</definedName>
    <definedName name="_24.10.02">#REF!</definedName>
    <definedName name="_24.11.01" localSheetId="8">#REF!</definedName>
    <definedName name="_24.11.01" localSheetId="7">#REF!</definedName>
    <definedName name="_24.11.01">#REF!</definedName>
    <definedName name="_24.11.04" localSheetId="8">#REF!</definedName>
    <definedName name="_24.11.04" localSheetId="7">#REF!</definedName>
    <definedName name="_24.11.04">#REF!</definedName>
    <definedName name="_24.11.05" localSheetId="8">#REF!</definedName>
    <definedName name="_24.11.05" localSheetId="7">#REF!</definedName>
    <definedName name="_24.11.05">#REF!</definedName>
    <definedName name="_24.11.07" localSheetId="8">#REF!</definedName>
    <definedName name="_24.11.07" localSheetId="7">#REF!</definedName>
    <definedName name="_24.11.07">#REF!</definedName>
    <definedName name="_24.12.01.01" localSheetId="8">#REF!</definedName>
    <definedName name="_24.12.01.01" localSheetId="7">#REF!</definedName>
    <definedName name="_24.12.01.01">#REF!</definedName>
    <definedName name="_24.12.01.02" localSheetId="8">#REF!</definedName>
    <definedName name="_24.12.01.02" localSheetId="7">#REF!</definedName>
    <definedName name="_24.12.01.02">#REF!</definedName>
    <definedName name="_24.12.02" localSheetId="8">#REF!</definedName>
    <definedName name="_24.12.02" localSheetId="7">#REF!</definedName>
    <definedName name="_24.12.02">#REF!</definedName>
    <definedName name="_24.12.03.01" localSheetId="8">#REF!</definedName>
    <definedName name="_24.12.03.01" localSheetId="7">#REF!</definedName>
    <definedName name="_24.12.03.01">#REF!</definedName>
    <definedName name="_24.12.08" localSheetId="8">#REF!</definedName>
    <definedName name="_24.12.08" localSheetId="7">#REF!</definedName>
    <definedName name="_24.12.08">#REF!</definedName>
    <definedName name="_24.12.09" localSheetId="8">#REF!</definedName>
    <definedName name="_24.12.09" localSheetId="7">#REF!</definedName>
    <definedName name="_24.12.09">#REF!</definedName>
    <definedName name="_24.13.01" localSheetId="8">#REF!</definedName>
    <definedName name="_24.13.01" localSheetId="7">#REF!</definedName>
    <definedName name="_24.13.01">#REF!</definedName>
    <definedName name="_24.14.01.03" localSheetId="8">#REF!</definedName>
    <definedName name="_24.14.01.03" localSheetId="7">#REF!</definedName>
    <definedName name="_24.14.01.03">#REF!</definedName>
    <definedName name="_24.14.01.05" localSheetId="8">#REF!</definedName>
    <definedName name="_24.14.01.05" localSheetId="7">#REF!</definedName>
    <definedName name="_24.14.01.05">#REF!</definedName>
    <definedName name="_24.15.07" localSheetId="8">#REF!</definedName>
    <definedName name="_24.15.07" localSheetId="7">#REF!</definedName>
    <definedName name="_24.15.07">#REF!</definedName>
    <definedName name="_24.16.04" localSheetId="8">#REF!</definedName>
    <definedName name="_24.16.04" localSheetId="7">#REF!</definedName>
    <definedName name="_24.16.04">#REF!</definedName>
    <definedName name="_24.16.05" localSheetId="8">#REF!</definedName>
    <definedName name="_24.16.05" localSheetId="7">#REF!</definedName>
    <definedName name="_24.16.05">#REF!</definedName>
    <definedName name="_24.16.08" localSheetId="8">#REF!</definedName>
    <definedName name="_24.16.08" localSheetId="7">#REF!</definedName>
    <definedName name="_24.16.08">#REF!</definedName>
    <definedName name="_24.16.09" localSheetId="8">#REF!</definedName>
    <definedName name="_24.16.09" localSheetId="7">#REF!</definedName>
    <definedName name="_24.16.09">#REF!</definedName>
    <definedName name="_24.16.12" localSheetId="8">#REF!</definedName>
    <definedName name="_24.16.12" localSheetId="7">#REF!</definedName>
    <definedName name="_24.16.12">#REF!</definedName>
    <definedName name="_24.16.13" localSheetId="8">#REF!</definedName>
    <definedName name="_24.16.13" localSheetId="7">#REF!</definedName>
    <definedName name="_24.16.13">#REF!</definedName>
    <definedName name="_24.16.16" localSheetId="8">#REF!</definedName>
    <definedName name="_24.16.16" localSheetId="7">#REF!</definedName>
    <definedName name="_24.16.16">#REF!</definedName>
    <definedName name="_24.16.17" localSheetId="8">#REF!</definedName>
    <definedName name="_24.16.17" localSheetId="7">#REF!</definedName>
    <definedName name="_24.16.17">#REF!</definedName>
    <definedName name="_24.16.20" localSheetId="8">#REF!</definedName>
    <definedName name="_24.16.20" localSheetId="7">#REF!</definedName>
    <definedName name="_24.16.20">#REF!</definedName>
    <definedName name="_24.16.21" localSheetId="8">#REF!</definedName>
    <definedName name="_24.16.21" localSheetId="7">#REF!</definedName>
    <definedName name="_24.16.21">#REF!</definedName>
    <definedName name="_24.19.03.01" localSheetId="8">#REF!</definedName>
    <definedName name="_24.19.03.01" localSheetId="7">#REF!</definedName>
    <definedName name="_24.19.03.01">#REF!</definedName>
    <definedName name="_24.19.04.01" localSheetId="8">#REF!</definedName>
    <definedName name="_24.19.04.01" localSheetId="7">#REF!</definedName>
    <definedName name="_24.19.04.01">#REF!</definedName>
    <definedName name="_24.19.06" localSheetId="8">#REF!</definedName>
    <definedName name="_24.19.06" localSheetId="7">#REF!</definedName>
    <definedName name="_24.19.06">#REF!</definedName>
    <definedName name="_24.19.07.01" localSheetId="8">#REF!</definedName>
    <definedName name="_24.19.07.01" localSheetId="7">#REF!</definedName>
    <definedName name="_24.19.07.01">#REF!</definedName>
    <definedName name="_24.19.08" localSheetId="8">#REF!</definedName>
    <definedName name="_24.19.08" localSheetId="7">#REF!</definedName>
    <definedName name="_24.19.08">#REF!</definedName>
    <definedName name="_24.21.03" localSheetId="8">#REF!</definedName>
    <definedName name="_24.21.03" localSheetId="7">#REF!</definedName>
    <definedName name="_24.21.03">#REF!</definedName>
    <definedName name="_24.88.13.01" localSheetId="8">#REF!</definedName>
    <definedName name="_24.88.13.01" localSheetId="7">#REF!</definedName>
    <definedName name="_24.88.13.01">#REF!</definedName>
    <definedName name="_24.88.13.03" localSheetId="8">#REF!</definedName>
    <definedName name="_24.88.13.03" localSheetId="7">#REF!</definedName>
    <definedName name="_24.88.13.03">#REF!</definedName>
    <definedName name="_24.88.13.04" localSheetId="8">#REF!</definedName>
    <definedName name="_24.88.13.04" localSheetId="7">#REF!</definedName>
    <definedName name="_24.88.13.04">#REF!</definedName>
    <definedName name="_24.88.13.05" localSheetId="8">#REF!</definedName>
    <definedName name="_24.88.13.05" localSheetId="7">#REF!</definedName>
    <definedName name="_24.88.13.05">#REF!</definedName>
    <definedName name="_24.88.13.06" localSheetId="8">#REF!</definedName>
    <definedName name="_24.88.13.06" localSheetId="7">#REF!</definedName>
    <definedName name="_24.88.13.06">#REF!</definedName>
    <definedName name="_24.88.13.07" localSheetId="8">#REF!</definedName>
    <definedName name="_24.88.13.07" localSheetId="7">#REF!</definedName>
    <definedName name="_24.88.13.07">#REF!</definedName>
    <definedName name="_24.88.14.01" localSheetId="8">#REF!</definedName>
    <definedName name="_24.88.14.01" localSheetId="7">#REF!</definedName>
    <definedName name="_24.88.14.01">#REF!</definedName>
    <definedName name="_24.88.14.02" localSheetId="8">#REF!</definedName>
    <definedName name="_24.88.14.02" localSheetId="7">#REF!</definedName>
    <definedName name="_24.88.14.02">#REF!</definedName>
    <definedName name="_24.88.14.03" localSheetId="8">#REF!</definedName>
    <definedName name="_24.88.14.03" localSheetId="7">#REF!</definedName>
    <definedName name="_24.88.14.03">#REF!</definedName>
    <definedName name="_24.88.14.04" localSheetId="8">#REF!</definedName>
    <definedName name="_24.88.14.04" localSheetId="7">#REF!</definedName>
    <definedName name="_24.88.14.04">#REF!</definedName>
    <definedName name="_24.88.14.05" localSheetId="8">#REF!</definedName>
    <definedName name="_24.88.14.05" localSheetId="7">#REF!</definedName>
    <definedName name="_24.88.14.05">#REF!</definedName>
    <definedName name="_24.88.14.06" localSheetId="8">#REF!</definedName>
    <definedName name="_24.88.14.06" localSheetId="7">#REF!</definedName>
    <definedName name="_24.88.14.06">#REF!</definedName>
    <definedName name="_24.88.14.07" localSheetId="8">#REF!</definedName>
    <definedName name="_24.88.14.07" localSheetId="7">#REF!</definedName>
    <definedName name="_24.88.14.07">#REF!</definedName>
    <definedName name="_24.88.30.01" localSheetId="8">#REF!</definedName>
    <definedName name="_24.88.30.01" localSheetId="7">#REF!</definedName>
    <definedName name="_24.88.30.01">#REF!</definedName>
    <definedName name="_24.88.31.01" localSheetId="8">#REF!</definedName>
    <definedName name="_24.88.31.01" localSheetId="7">#REF!</definedName>
    <definedName name="_24.88.31.01">#REF!</definedName>
    <definedName name="_25.10.03" localSheetId="8">#REF!</definedName>
    <definedName name="_25.10.03" localSheetId="7">#REF!</definedName>
    <definedName name="_25.10.03">#REF!</definedName>
    <definedName name="_25.20.01" localSheetId="8">#REF!</definedName>
    <definedName name="_25.20.01" localSheetId="7">#REF!</definedName>
    <definedName name="_25.20.01">#REF!</definedName>
    <definedName name="_25.20.02" localSheetId="8">#REF!</definedName>
    <definedName name="_25.20.02" localSheetId="7">#REF!</definedName>
    <definedName name="_25.20.02">#REF!</definedName>
    <definedName name="_25.20.03" localSheetId="8">#REF!</definedName>
    <definedName name="_25.20.03" localSheetId="7">#REF!</definedName>
    <definedName name="_25.20.03">#REF!</definedName>
    <definedName name="_25.21.01" localSheetId="8">#REF!</definedName>
    <definedName name="_25.21.01" localSheetId="7">#REF!</definedName>
    <definedName name="_25.21.01">#REF!</definedName>
    <definedName name="_25.88.17.01" localSheetId="8">#REF!</definedName>
    <definedName name="_25.88.17.01" localSheetId="7">#REF!</definedName>
    <definedName name="_25.88.17.01">#REF!</definedName>
    <definedName name="_25.88.19.01" localSheetId="8">#REF!</definedName>
    <definedName name="_25.88.19.01" localSheetId="7">#REF!</definedName>
    <definedName name="_25.88.19.01">#REF!</definedName>
    <definedName name="_25.88.19.02" localSheetId="8">#REF!</definedName>
    <definedName name="_25.88.19.02" localSheetId="7">#REF!</definedName>
    <definedName name="_25.88.19.02">#REF!</definedName>
    <definedName name="_25.88.20.01" localSheetId="8">#REF!</definedName>
    <definedName name="_25.88.20.01" localSheetId="7">#REF!</definedName>
    <definedName name="_25.88.20.01">#REF!</definedName>
    <definedName name="_26.01.01" localSheetId="8">#REF!</definedName>
    <definedName name="_26.01.01" localSheetId="7">#REF!</definedName>
    <definedName name="_26.01.01">#REF!</definedName>
    <definedName name="_26.02.03" localSheetId="8">#REF!</definedName>
    <definedName name="_26.02.03" localSheetId="7">#REF!</definedName>
    <definedName name="_26.02.03">#REF!</definedName>
    <definedName name="_26.02.04" localSheetId="8">#REF!</definedName>
    <definedName name="_26.02.04" localSheetId="7">#REF!</definedName>
    <definedName name="_26.02.04">#REF!</definedName>
    <definedName name="_26.02.06" localSheetId="8">#REF!</definedName>
    <definedName name="_26.02.06" localSheetId="7">#REF!</definedName>
    <definedName name="_26.02.06">#REF!</definedName>
    <definedName name="_26.02.15" localSheetId="8">#REF!</definedName>
    <definedName name="_26.02.15" localSheetId="7">#REF!</definedName>
    <definedName name="_26.02.15">#REF!</definedName>
    <definedName name="_26.02.17" localSheetId="8">#REF!</definedName>
    <definedName name="_26.02.17" localSheetId="7">#REF!</definedName>
    <definedName name="_26.02.17">#REF!</definedName>
    <definedName name="_26.02.19" localSheetId="8">#REF!</definedName>
    <definedName name="_26.02.19" localSheetId="7">#REF!</definedName>
    <definedName name="_26.02.19">#REF!</definedName>
    <definedName name="_26.03.25" localSheetId="8">#REF!</definedName>
    <definedName name="_26.03.25" localSheetId="7">#REF!</definedName>
    <definedName name="_26.03.25">#REF!</definedName>
    <definedName name="_26.03.26" localSheetId="8">#REF!</definedName>
    <definedName name="_26.03.26" localSheetId="7">#REF!</definedName>
    <definedName name="_26.03.26">#REF!</definedName>
    <definedName name="_26.04.04" localSheetId="8">#REF!</definedName>
    <definedName name="_26.04.04" localSheetId="7">#REF!</definedName>
    <definedName name="_26.04.04">#REF!</definedName>
    <definedName name="_26.05.01" localSheetId="8">#REF!</definedName>
    <definedName name="_26.05.01" localSheetId="7">#REF!</definedName>
    <definedName name="_26.05.01">#REF!</definedName>
    <definedName name="_26.05.02" localSheetId="8">#REF!</definedName>
    <definedName name="_26.05.02" localSheetId="7">#REF!</definedName>
    <definedName name="_26.05.02">#REF!</definedName>
    <definedName name="_26.05.05" localSheetId="8">#REF!</definedName>
    <definedName name="_26.05.05" localSheetId="7">#REF!</definedName>
    <definedName name="_26.05.05">#REF!</definedName>
    <definedName name="_26.06.02" localSheetId="8">#REF!</definedName>
    <definedName name="_26.06.02" localSheetId="7">#REF!</definedName>
    <definedName name="_26.06.02">#REF!</definedName>
    <definedName name="_26.06.04" localSheetId="8">#REF!</definedName>
    <definedName name="_26.06.04" localSheetId="7">#REF!</definedName>
    <definedName name="_26.06.04">#REF!</definedName>
    <definedName name="_26.07.05" localSheetId="8">#REF!</definedName>
    <definedName name="_26.07.05" localSheetId="7">#REF!</definedName>
    <definedName name="_26.07.05">#REF!</definedName>
    <definedName name="_26.07.13.04" localSheetId="8">#REF!</definedName>
    <definedName name="_26.07.13.04" localSheetId="7">#REF!</definedName>
    <definedName name="_26.07.13.04">#REF!</definedName>
    <definedName name="_26.08.01" localSheetId="8">#REF!</definedName>
    <definedName name="_26.08.01" localSheetId="7">#REF!</definedName>
    <definedName name="_26.08.01">#REF!</definedName>
    <definedName name="_26.09.01" localSheetId="8">#REF!</definedName>
    <definedName name="_26.09.01" localSheetId="7">#REF!</definedName>
    <definedName name="_26.09.01">#REF!</definedName>
    <definedName name="_26.09.05" localSheetId="8">#REF!</definedName>
    <definedName name="_26.09.05" localSheetId="7">#REF!</definedName>
    <definedName name="_26.09.05">#REF!</definedName>
    <definedName name="_26.09.09" localSheetId="8">#REF!</definedName>
    <definedName name="_26.09.09" localSheetId="7">#REF!</definedName>
    <definedName name="_26.09.09">#REF!</definedName>
    <definedName name="_26.09.13" localSheetId="8">#REF!</definedName>
    <definedName name="_26.09.13" localSheetId="7">#REF!</definedName>
    <definedName name="_26.09.13">#REF!</definedName>
    <definedName name="_26.10.01" localSheetId="8">#REF!</definedName>
    <definedName name="_26.10.01" localSheetId="7">#REF!</definedName>
    <definedName name="_26.10.01">#REF!</definedName>
    <definedName name="_26.10.03" localSheetId="8">#REF!</definedName>
    <definedName name="_26.10.03" localSheetId="7">#REF!</definedName>
    <definedName name="_26.10.03">#REF!</definedName>
    <definedName name="_26.25.04.13" localSheetId="8">#REF!</definedName>
    <definedName name="_26.25.04.13" localSheetId="7">#REF!</definedName>
    <definedName name="_26.25.04.13">#REF!</definedName>
    <definedName name="_26.25.04.14" localSheetId="8">#REF!</definedName>
    <definedName name="_26.25.04.14" localSheetId="7">#REF!</definedName>
    <definedName name="_26.25.04.14">#REF!</definedName>
    <definedName name="_26.25.04.21" localSheetId="8">#REF!</definedName>
    <definedName name="_26.25.04.21" localSheetId="7">#REF!</definedName>
    <definedName name="_26.25.04.21">#REF!</definedName>
    <definedName name="_26.88.13.01" localSheetId="8">#REF!</definedName>
    <definedName name="_26.88.13.01" localSheetId="7">#REF!</definedName>
    <definedName name="_26.88.13.01">#REF!</definedName>
    <definedName name="_26.88.45.30" localSheetId="8">#REF!</definedName>
    <definedName name="_26.88.45.30" localSheetId="7">#REF!</definedName>
    <definedName name="_26.88.45.30">#REF!</definedName>
    <definedName name="_26.88.45.31" localSheetId="8">#REF!</definedName>
    <definedName name="_26.88.45.31" localSheetId="7">#REF!</definedName>
    <definedName name="_26.88.45.31">#REF!</definedName>
    <definedName name="_26.88.45.32" localSheetId="8">#REF!</definedName>
    <definedName name="_26.88.45.32" localSheetId="7">#REF!</definedName>
    <definedName name="_26.88.45.32">#REF!</definedName>
    <definedName name="_26.88.45.33" localSheetId="8">#REF!</definedName>
    <definedName name="_26.88.45.33" localSheetId="7">#REF!</definedName>
    <definedName name="_26.88.45.33">#REF!</definedName>
    <definedName name="_26.88.45.34" localSheetId="8">#REF!</definedName>
    <definedName name="_26.88.45.34" localSheetId="7">#REF!</definedName>
    <definedName name="_26.88.45.34">#REF!</definedName>
    <definedName name="_26.88.45.35" localSheetId="8">#REF!</definedName>
    <definedName name="_26.88.45.35" localSheetId="7">#REF!</definedName>
    <definedName name="_26.88.45.35">#REF!</definedName>
    <definedName name="_26.88.51.01" localSheetId="8">#REF!</definedName>
    <definedName name="_26.88.51.01" localSheetId="7">#REF!</definedName>
    <definedName name="_26.88.51.01">#REF!</definedName>
    <definedName name="_26.88.76.04" localSheetId="8">#REF!</definedName>
    <definedName name="_26.88.76.04" localSheetId="7">#REF!</definedName>
    <definedName name="_26.88.76.04">#REF!</definedName>
    <definedName name="_26.88.76.05" localSheetId="8">#REF!</definedName>
    <definedName name="_26.88.76.05" localSheetId="7">#REF!</definedName>
    <definedName name="_26.88.76.05">#REF!</definedName>
    <definedName name="_26.88.76.06" localSheetId="8">#REF!</definedName>
    <definedName name="_26.88.76.06" localSheetId="7">#REF!</definedName>
    <definedName name="_26.88.76.06">#REF!</definedName>
    <definedName name="_28.01.04.01" localSheetId="8">#REF!</definedName>
    <definedName name="_28.01.04.01" localSheetId="7">#REF!</definedName>
    <definedName name="_28.01.04.01">#REF!</definedName>
    <definedName name="_28.01.05.01" localSheetId="8">#REF!</definedName>
    <definedName name="_28.01.05.01" localSheetId="7">#REF!</definedName>
    <definedName name="_28.01.05.01">#REF!</definedName>
    <definedName name="_28.01.24.01" localSheetId="8">#REF!</definedName>
    <definedName name="_28.01.24.01" localSheetId="7">#REF!</definedName>
    <definedName name="_28.01.24.01">#REF!</definedName>
    <definedName name="_28.01.25.01" localSheetId="8">#REF!</definedName>
    <definedName name="_28.01.25.01" localSheetId="7">#REF!</definedName>
    <definedName name="_28.01.25.01">#REF!</definedName>
    <definedName name="_28.03.03" localSheetId="8">#REF!</definedName>
    <definedName name="_28.03.03" localSheetId="7">#REF!</definedName>
    <definedName name="_28.03.03">#REF!</definedName>
    <definedName name="_28.03.05" localSheetId="8">#REF!</definedName>
    <definedName name="_28.03.05" localSheetId="7">#REF!</definedName>
    <definedName name="_28.03.05">#REF!</definedName>
    <definedName name="_28.03.06" localSheetId="8">#REF!</definedName>
    <definedName name="_28.03.06" localSheetId="7">#REF!</definedName>
    <definedName name="_28.03.06">#REF!</definedName>
    <definedName name="_28.03.09" localSheetId="8">#REF!</definedName>
    <definedName name="_28.03.09" localSheetId="7">#REF!</definedName>
    <definedName name="_28.03.09">#REF!</definedName>
    <definedName name="_28.03.09.01" localSheetId="8">#REF!</definedName>
    <definedName name="_28.03.09.01" localSheetId="7">#REF!</definedName>
    <definedName name="_28.03.09.01">#REF!</definedName>
    <definedName name="_28.06.11" localSheetId="8">#REF!</definedName>
    <definedName name="_28.06.11" localSheetId="7">#REF!</definedName>
    <definedName name="_28.06.11">#REF!</definedName>
    <definedName name="_28.06.18" localSheetId="8">#REF!</definedName>
    <definedName name="_28.06.18" localSheetId="7">#REF!</definedName>
    <definedName name="_28.06.18">#REF!</definedName>
    <definedName name="_28.06.23" localSheetId="8">#REF!</definedName>
    <definedName name="_28.06.23" localSheetId="7">#REF!</definedName>
    <definedName name="_28.06.23">#REF!</definedName>
    <definedName name="_28.07.01" localSheetId="8">#REF!</definedName>
    <definedName name="_28.07.01" localSheetId="7">#REF!</definedName>
    <definedName name="_28.07.01">#REF!</definedName>
    <definedName name="_28.08.01.01" localSheetId="8">#REF!</definedName>
    <definedName name="_28.08.01.01" localSheetId="7">#REF!</definedName>
    <definedName name="_28.08.01.01">#REF!</definedName>
    <definedName name="_28.08.02.01" localSheetId="8">#REF!</definedName>
    <definedName name="_28.08.02.01" localSheetId="7">#REF!</definedName>
    <definedName name="_28.08.02.01">#REF!</definedName>
    <definedName name="_28.88.35.01" localSheetId="8">#REF!</definedName>
    <definedName name="_28.88.35.01" localSheetId="7">#REF!</definedName>
    <definedName name="_28.88.35.01">#REF!</definedName>
    <definedName name="_3" localSheetId="15">#REF!</definedName>
    <definedName name="_3" localSheetId="4">#REF!</definedName>
    <definedName name="_3" localSheetId="12">#REF!</definedName>
    <definedName name="_3" localSheetId="5">#REF!</definedName>
    <definedName name="_3" localSheetId="13">#REF!</definedName>
    <definedName name="_3" localSheetId="6">#REF!</definedName>
    <definedName name="_3" localSheetId="8">#REF!</definedName>
    <definedName name="_3" localSheetId="7">#REF!</definedName>
    <definedName name="_3" localSheetId="0">#REF!</definedName>
    <definedName name="_3">#REF!</definedName>
    <definedName name="_30.01.01" localSheetId="8">#REF!</definedName>
    <definedName name="_30.01.01" localSheetId="7">#REF!</definedName>
    <definedName name="_30.01.01">#REF!</definedName>
    <definedName name="_30.01.02" localSheetId="8">#REF!</definedName>
    <definedName name="_30.01.02" localSheetId="7">#REF!</definedName>
    <definedName name="_30.01.02">#REF!</definedName>
    <definedName name="_30.01.06" localSheetId="8">#REF!</definedName>
    <definedName name="_30.01.06" localSheetId="7">#REF!</definedName>
    <definedName name="_30.01.06">#REF!</definedName>
    <definedName name="_30.01.21" localSheetId="8">#REF!</definedName>
    <definedName name="_30.01.21" localSheetId="7">#REF!</definedName>
    <definedName name="_30.01.21">#REF!</definedName>
    <definedName name="_30.01.22" localSheetId="8">#REF!</definedName>
    <definedName name="_30.01.22" localSheetId="7">#REF!</definedName>
    <definedName name="_30.01.22">#REF!</definedName>
    <definedName name="_33" localSheetId="15">#REF!</definedName>
    <definedName name="_33" localSheetId="4">#REF!</definedName>
    <definedName name="_33" localSheetId="12">#REF!</definedName>
    <definedName name="_33" localSheetId="5">#REF!</definedName>
    <definedName name="_33" localSheetId="13">#REF!</definedName>
    <definedName name="_33" localSheetId="6">#REF!</definedName>
    <definedName name="_33" localSheetId="8">#REF!</definedName>
    <definedName name="_33" localSheetId="7">#REF!</definedName>
    <definedName name="_33" localSheetId="0">#REF!</definedName>
    <definedName name="_33">#REF!</definedName>
    <definedName name="_36.01.01.01" localSheetId="8">#REF!</definedName>
    <definedName name="_36.01.01.01" localSheetId="7">#REF!</definedName>
    <definedName name="_36.01.01.01">#REF!</definedName>
    <definedName name="_36.01.01.02" localSheetId="8">#REF!</definedName>
    <definedName name="_36.01.01.02" localSheetId="7">#REF!</definedName>
    <definedName name="_36.01.01.02">#REF!</definedName>
    <definedName name="_36.01.01.03" localSheetId="8">#REF!</definedName>
    <definedName name="_36.01.01.03" localSheetId="7">#REF!</definedName>
    <definedName name="_36.01.01.03">#REF!</definedName>
    <definedName name="_4" localSheetId="15">#REF!</definedName>
    <definedName name="_4" localSheetId="4">#REF!</definedName>
    <definedName name="_4" localSheetId="12">#REF!</definedName>
    <definedName name="_4" localSheetId="5">#REF!</definedName>
    <definedName name="_4" localSheetId="13">#REF!</definedName>
    <definedName name="_4" localSheetId="8">#REF!</definedName>
    <definedName name="_4" localSheetId="7">#REF!</definedName>
    <definedName name="_4" localSheetId="0">#REF!</definedName>
    <definedName name="_4">#REF!</definedName>
    <definedName name="_72.02.01.05" localSheetId="8">#REF!</definedName>
    <definedName name="_72.02.01.05" localSheetId="7">#REF!</definedName>
    <definedName name="_72.02.01.05">#REF!</definedName>
    <definedName name="_72.02.01.06" localSheetId="8">#REF!</definedName>
    <definedName name="_72.02.01.06" localSheetId="7">#REF!</definedName>
    <definedName name="_72.02.01.06">#REF!</definedName>
    <definedName name="_A254001" localSheetId="15">#REF!</definedName>
    <definedName name="_A254001" localSheetId="12">'[3]F. MEDIÇAO'!$J$20</definedName>
    <definedName name="_A254001" localSheetId="13">#REF!</definedName>
    <definedName name="_A254001" localSheetId="6">#REF!</definedName>
    <definedName name="_A254001" localSheetId="11">#REF!</definedName>
    <definedName name="_A254001" localSheetId="8">#REF!</definedName>
    <definedName name="_A254001" localSheetId="7">#REF!</definedName>
    <definedName name="_A254001">#REF!</definedName>
    <definedName name="_A810101" localSheetId="15">#REF!</definedName>
    <definedName name="_A810101" localSheetId="12">'[3]F. MEDIÇAO'!#REF!</definedName>
    <definedName name="_A810101" localSheetId="13">#REF!</definedName>
    <definedName name="_A810101" localSheetId="6">#REF!</definedName>
    <definedName name="_A810101" localSheetId="11">#REF!</definedName>
    <definedName name="_A810101" localSheetId="8">#REF!</definedName>
    <definedName name="_A810101" localSheetId="7">#REF!</definedName>
    <definedName name="_A810101" localSheetId="0">#REF!</definedName>
    <definedName name="_A810101">#REF!</definedName>
    <definedName name="_A810102" localSheetId="15">#REF!</definedName>
    <definedName name="_A810102" localSheetId="12">'[3]F. MEDIÇAO'!#REF!</definedName>
    <definedName name="_A810102" localSheetId="13">#REF!</definedName>
    <definedName name="_A810102" localSheetId="6">#REF!</definedName>
    <definedName name="_A810102" localSheetId="11">#REF!</definedName>
    <definedName name="_A810102" localSheetId="8">#REF!</definedName>
    <definedName name="_A810102" localSheetId="7">#REF!</definedName>
    <definedName name="_A810102" localSheetId="0">#REF!</definedName>
    <definedName name="_A810102">#REF!</definedName>
    <definedName name="_A810105555" localSheetId="12">'[4]F. MEDIÇAO'!#REF!</definedName>
    <definedName name="_A810105555" localSheetId="13">#REF!</definedName>
    <definedName name="_A810105555" localSheetId="6">#REF!</definedName>
    <definedName name="_A810105555" localSheetId="8">#REF!</definedName>
    <definedName name="_A810105555" localSheetId="7">#REF!</definedName>
    <definedName name="_A810105555" localSheetId="0">#REF!</definedName>
    <definedName name="_A810105555">#REF!</definedName>
    <definedName name="_A810112" localSheetId="15">#REF!</definedName>
    <definedName name="_A810112" localSheetId="12">'[3]F. MEDIÇAO'!#REF!</definedName>
    <definedName name="_A810112" localSheetId="13">#REF!</definedName>
    <definedName name="_A810112" localSheetId="6">#REF!</definedName>
    <definedName name="_A810112" localSheetId="11">#REF!</definedName>
    <definedName name="_A810112" localSheetId="8">#REF!</definedName>
    <definedName name="_A810112" localSheetId="7">#REF!</definedName>
    <definedName name="_A810112" localSheetId="0">#REF!</definedName>
    <definedName name="_A810112">#REF!</definedName>
    <definedName name="_A840300" localSheetId="15">#REF!</definedName>
    <definedName name="_A840300" localSheetId="12">'[3]F. MEDIÇAO'!#REF!</definedName>
    <definedName name="_A840300" localSheetId="13">#REF!</definedName>
    <definedName name="_A840300" localSheetId="6">#REF!</definedName>
    <definedName name="_A840300" localSheetId="11">#REF!</definedName>
    <definedName name="_A840300" localSheetId="8">#REF!</definedName>
    <definedName name="_A840300" localSheetId="7">#REF!</definedName>
    <definedName name="_A840300" localSheetId="0">#REF!</definedName>
    <definedName name="_A840300">#REF!</definedName>
    <definedName name="_AHAH" localSheetId="12">[5]DADOS!$C$3</definedName>
    <definedName name="_AHAH" localSheetId="13">#REF!</definedName>
    <definedName name="_AHAH" localSheetId="8">#REF!</definedName>
    <definedName name="_AHAH" localSheetId="7">#REF!</definedName>
    <definedName name="_AHAH">#REF!</definedName>
    <definedName name="_C" localSheetId="12">#REF!</definedName>
    <definedName name="_C" localSheetId="8">#REF!</definedName>
    <definedName name="_C">#REF!</definedName>
    <definedName name="_C_1" localSheetId="8">#REF!</definedName>
    <definedName name="_C_1">#REF!</definedName>
    <definedName name="_D" localSheetId="8">#REF!</definedName>
    <definedName name="_D">#REF!</definedName>
    <definedName name="_D_1">#REF!</definedName>
    <definedName name="_DAT1" localSheetId="15">#REF!</definedName>
    <definedName name="_DAT1" localSheetId="12">[6]Original!#REF!</definedName>
    <definedName name="_DAT1" localSheetId="13">#REF!</definedName>
    <definedName name="_DAT1" localSheetId="11">#REF!</definedName>
    <definedName name="_DAT1" localSheetId="8">#REF!</definedName>
    <definedName name="_DAT1" localSheetId="7">#REF!</definedName>
    <definedName name="_DAT1" localSheetId="0">#REF!</definedName>
    <definedName name="_DAT1">#REF!</definedName>
    <definedName name="_DAT10" localSheetId="15">#REF!</definedName>
    <definedName name="_DAT10" localSheetId="12">[7]Original!#REF!</definedName>
    <definedName name="_DAT10" localSheetId="13">#REF!</definedName>
    <definedName name="_DAT10" localSheetId="11">#REF!</definedName>
    <definedName name="_DAT10" localSheetId="8">#REF!</definedName>
    <definedName name="_DAT10" localSheetId="7">#REF!</definedName>
    <definedName name="_DAT10" localSheetId="0">#REF!</definedName>
    <definedName name="_DAT10">#REF!</definedName>
    <definedName name="_DAT11" localSheetId="15">#REF!</definedName>
    <definedName name="_DAT11" localSheetId="4">#REF!</definedName>
    <definedName name="_DAT11" localSheetId="12">#REF!</definedName>
    <definedName name="_DAT11" localSheetId="5">#REF!</definedName>
    <definedName name="_DAT11" localSheetId="13">#REF!</definedName>
    <definedName name="_DAT11" localSheetId="6">#REF!</definedName>
    <definedName name="_DAT11" localSheetId="11">#REF!</definedName>
    <definedName name="_DAT11" localSheetId="8">#REF!</definedName>
    <definedName name="_DAT11" localSheetId="7">#REF!</definedName>
    <definedName name="_DAT11" localSheetId="0">#REF!</definedName>
    <definedName name="_DAT11">#REF!</definedName>
    <definedName name="_DAT12" localSheetId="15">#REF!</definedName>
    <definedName name="_DAT12" localSheetId="4">#REF!</definedName>
    <definedName name="_DAT12" localSheetId="12">#REF!</definedName>
    <definedName name="_DAT12" localSheetId="5">#REF!</definedName>
    <definedName name="_DAT12" localSheetId="13">#REF!</definedName>
    <definedName name="_DAT12" localSheetId="6">#REF!</definedName>
    <definedName name="_DAT12" localSheetId="11">#REF!</definedName>
    <definedName name="_DAT12" localSheetId="8">#REF!</definedName>
    <definedName name="_DAT12" localSheetId="7">#REF!</definedName>
    <definedName name="_DAT12" localSheetId="0">#REF!</definedName>
    <definedName name="_DAT12">#REF!</definedName>
    <definedName name="_DAT13" localSheetId="15">#REF!</definedName>
    <definedName name="_DAT13" localSheetId="4">#REF!</definedName>
    <definedName name="_DAT13" localSheetId="12">#REF!</definedName>
    <definedName name="_DAT13" localSheetId="5">#REF!</definedName>
    <definedName name="_DAT13" localSheetId="13">#REF!</definedName>
    <definedName name="_DAT13" localSheetId="6">#REF!</definedName>
    <definedName name="_DAT13" localSheetId="11">#REF!</definedName>
    <definedName name="_DAT13" localSheetId="8">#REF!</definedName>
    <definedName name="_DAT13" localSheetId="7">#REF!</definedName>
    <definedName name="_DAT13" localSheetId="0">#REF!</definedName>
    <definedName name="_DAT13">#REF!</definedName>
    <definedName name="_DAT14" localSheetId="15">#REF!</definedName>
    <definedName name="_DAT14" localSheetId="4">#REF!</definedName>
    <definedName name="_DAT14" localSheetId="5">#REF!</definedName>
    <definedName name="_DAT14" localSheetId="13">#REF!</definedName>
    <definedName name="_DAT14" localSheetId="6">#REF!</definedName>
    <definedName name="_DAT14" localSheetId="8">#REF!</definedName>
    <definedName name="_DAT14" localSheetId="7">#REF!</definedName>
    <definedName name="_DAT14" localSheetId="0">#REF!</definedName>
    <definedName name="_DAT14">#REF!</definedName>
    <definedName name="_DAT15" localSheetId="15">#REF!</definedName>
    <definedName name="_DAT15" localSheetId="4">#REF!</definedName>
    <definedName name="_DAT15" localSheetId="5">#REF!</definedName>
    <definedName name="_DAT15" localSheetId="13">#REF!</definedName>
    <definedName name="_DAT15" localSheetId="6">#REF!</definedName>
    <definedName name="_DAT15" localSheetId="8">#REF!</definedName>
    <definedName name="_DAT15" localSheetId="7">#REF!</definedName>
    <definedName name="_DAT15" localSheetId="0">#REF!</definedName>
    <definedName name="_DAT15">#REF!</definedName>
    <definedName name="_DAT16" localSheetId="15">#REF!</definedName>
    <definedName name="_DAT16" localSheetId="4">#REF!</definedName>
    <definedName name="_DAT16" localSheetId="5">#REF!</definedName>
    <definedName name="_DAT16" localSheetId="13">#REF!</definedName>
    <definedName name="_DAT16" localSheetId="6">#REF!</definedName>
    <definedName name="_DAT16" localSheetId="8">#REF!</definedName>
    <definedName name="_DAT16" localSheetId="7">#REF!</definedName>
    <definedName name="_DAT16" localSheetId="0">#REF!</definedName>
    <definedName name="_DAT16">#REF!</definedName>
    <definedName name="_DAT17" localSheetId="15">#REF!</definedName>
    <definedName name="_DAT17" localSheetId="4">#REF!</definedName>
    <definedName name="_DAT17" localSheetId="5">#REF!</definedName>
    <definedName name="_DAT17" localSheetId="13">#REF!</definedName>
    <definedName name="_DAT17" localSheetId="6">#REF!</definedName>
    <definedName name="_DAT17" localSheetId="8">#REF!</definedName>
    <definedName name="_DAT17" localSheetId="7">#REF!</definedName>
    <definedName name="_DAT17" localSheetId="0">#REF!</definedName>
    <definedName name="_DAT17">#REF!</definedName>
    <definedName name="_DAT18" localSheetId="15">#REF!</definedName>
    <definedName name="_DAT18" localSheetId="4">#REF!</definedName>
    <definedName name="_DAT18" localSheetId="5">#REF!</definedName>
    <definedName name="_DAT18" localSheetId="13">#REF!</definedName>
    <definedName name="_DAT18" localSheetId="6">#REF!</definedName>
    <definedName name="_DAT18" localSheetId="8">#REF!</definedName>
    <definedName name="_DAT18" localSheetId="7">#REF!</definedName>
    <definedName name="_DAT18" localSheetId="0">#REF!</definedName>
    <definedName name="_DAT18">#REF!</definedName>
    <definedName name="_DAT19" localSheetId="15">#REF!</definedName>
    <definedName name="_DAT19" localSheetId="4">#REF!</definedName>
    <definedName name="_DAT19" localSheetId="5">#REF!</definedName>
    <definedName name="_DAT19" localSheetId="13">#REF!</definedName>
    <definedName name="_DAT19" localSheetId="6">#REF!</definedName>
    <definedName name="_DAT19" localSheetId="8">#REF!</definedName>
    <definedName name="_DAT19" localSheetId="7">#REF!</definedName>
    <definedName name="_DAT19" localSheetId="0">#REF!</definedName>
    <definedName name="_DAT19">#REF!</definedName>
    <definedName name="_DAT2" localSheetId="15">#REF!</definedName>
    <definedName name="_DAT2" localSheetId="4">#REF!</definedName>
    <definedName name="_DAT2" localSheetId="5">#REF!</definedName>
    <definedName name="_DAT2" localSheetId="13">#REF!</definedName>
    <definedName name="_DAT2" localSheetId="6">#REF!</definedName>
    <definedName name="_DAT2" localSheetId="8">#REF!</definedName>
    <definedName name="_DAT2" localSheetId="7">#REF!</definedName>
    <definedName name="_DAT2" localSheetId="0">#REF!</definedName>
    <definedName name="_DAT2">#REF!</definedName>
    <definedName name="_DAT20" localSheetId="15">#REF!</definedName>
    <definedName name="_DAT20" localSheetId="4">#REF!</definedName>
    <definedName name="_DAT20" localSheetId="5">#REF!</definedName>
    <definedName name="_DAT20" localSheetId="13">#REF!</definedName>
    <definedName name="_DAT20" localSheetId="6">#REF!</definedName>
    <definedName name="_DAT20" localSheetId="8">#REF!</definedName>
    <definedName name="_DAT20" localSheetId="7">#REF!</definedName>
    <definedName name="_DAT20" localSheetId="0">#REF!</definedName>
    <definedName name="_DAT20">#REF!</definedName>
    <definedName name="_DAT21" localSheetId="15">#REF!</definedName>
    <definedName name="_DAT21" localSheetId="4">#REF!</definedName>
    <definedName name="_DAT21" localSheetId="5">#REF!</definedName>
    <definedName name="_DAT21" localSheetId="13">#REF!</definedName>
    <definedName name="_DAT21" localSheetId="6">#REF!</definedName>
    <definedName name="_DAT21" localSheetId="8">#REF!</definedName>
    <definedName name="_DAT21" localSheetId="7">#REF!</definedName>
    <definedName name="_DAT21" localSheetId="0">#REF!</definedName>
    <definedName name="_DAT21">#REF!</definedName>
    <definedName name="_DAT22" localSheetId="15">#REF!</definedName>
    <definedName name="_DAT22" localSheetId="4">#REF!</definedName>
    <definedName name="_DAT22" localSheetId="5">#REF!</definedName>
    <definedName name="_DAT22" localSheetId="13">#REF!</definedName>
    <definedName name="_DAT22" localSheetId="6">#REF!</definedName>
    <definedName name="_DAT22" localSheetId="8">#REF!</definedName>
    <definedName name="_DAT22" localSheetId="7">#REF!</definedName>
    <definedName name="_DAT22" localSheetId="0">#REF!</definedName>
    <definedName name="_DAT22">#REF!</definedName>
    <definedName name="_DAT23" localSheetId="15">#REF!</definedName>
    <definedName name="_DAT23" localSheetId="4">#REF!</definedName>
    <definedName name="_DAT23" localSheetId="5">#REF!</definedName>
    <definedName name="_DAT23" localSheetId="13">#REF!</definedName>
    <definedName name="_DAT23" localSheetId="6">#REF!</definedName>
    <definedName name="_DAT23" localSheetId="8">#REF!</definedName>
    <definedName name="_DAT23" localSheetId="7">#REF!</definedName>
    <definedName name="_DAT23" localSheetId="0">#REF!</definedName>
    <definedName name="_DAT23">#REF!</definedName>
    <definedName name="_DAT24" localSheetId="15">#REF!</definedName>
    <definedName name="_DAT24" localSheetId="4">#REF!</definedName>
    <definedName name="_DAT24" localSheetId="5">#REF!</definedName>
    <definedName name="_DAT24" localSheetId="13">#REF!</definedName>
    <definedName name="_DAT24" localSheetId="6">#REF!</definedName>
    <definedName name="_DAT24" localSheetId="8">#REF!</definedName>
    <definedName name="_DAT24" localSheetId="7">#REF!</definedName>
    <definedName name="_DAT24" localSheetId="0">#REF!</definedName>
    <definedName name="_DAT24">#REF!</definedName>
    <definedName name="_DAT3" localSheetId="15">#REF!</definedName>
    <definedName name="_DAT3" localSheetId="4">#REF!</definedName>
    <definedName name="_DAT3" localSheetId="5">#REF!</definedName>
    <definedName name="_DAT3" localSheetId="13">#REF!</definedName>
    <definedName name="_DAT3" localSheetId="6">#REF!</definedName>
    <definedName name="_DAT3" localSheetId="8">#REF!</definedName>
    <definedName name="_DAT3" localSheetId="7">#REF!</definedName>
    <definedName name="_DAT3" localSheetId="0">#REF!</definedName>
    <definedName name="_DAT3">#REF!</definedName>
    <definedName name="_DAT4" localSheetId="15">#REF!</definedName>
    <definedName name="_DAT4" localSheetId="4">#REF!</definedName>
    <definedName name="_DAT4" localSheetId="5">#REF!</definedName>
    <definedName name="_DAT4" localSheetId="13">#REF!</definedName>
    <definedName name="_DAT4" localSheetId="6">#REF!</definedName>
    <definedName name="_DAT4" localSheetId="8">#REF!</definedName>
    <definedName name="_DAT4" localSheetId="7">#REF!</definedName>
    <definedName name="_DAT4" localSheetId="0">#REF!</definedName>
    <definedName name="_DAT4">#REF!</definedName>
    <definedName name="_DAT5" localSheetId="15">#REF!</definedName>
    <definedName name="_DAT5" localSheetId="4">#REF!</definedName>
    <definedName name="_DAT5" localSheetId="5">#REF!</definedName>
    <definedName name="_DAT5" localSheetId="13">#REF!</definedName>
    <definedName name="_DAT5" localSheetId="6">#REF!</definedName>
    <definedName name="_DAT5" localSheetId="8">#REF!</definedName>
    <definedName name="_DAT5" localSheetId="7">#REF!</definedName>
    <definedName name="_DAT5" localSheetId="0">#REF!</definedName>
    <definedName name="_DAT5">#REF!</definedName>
    <definedName name="_DAT6" localSheetId="15">#REF!</definedName>
    <definedName name="_DAT6" localSheetId="12">[7]Original!#REF!</definedName>
    <definedName name="_DAT6" localSheetId="13">#REF!</definedName>
    <definedName name="_DAT6" localSheetId="6">#REF!</definedName>
    <definedName name="_DAT6" localSheetId="11">#REF!</definedName>
    <definedName name="_DAT6" localSheetId="8">#REF!</definedName>
    <definedName name="_DAT6" localSheetId="7">#REF!</definedName>
    <definedName name="_DAT6" localSheetId="0">#REF!</definedName>
    <definedName name="_DAT6">#REF!</definedName>
    <definedName name="_DAT7" localSheetId="15">#REF!</definedName>
    <definedName name="_DAT7" localSheetId="4">#REF!</definedName>
    <definedName name="_DAT7" localSheetId="12">#REF!</definedName>
    <definedName name="_DAT7" localSheetId="5">#REF!</definedName>
    <definedName name="_DAT7" localSheetId="13">#REF!</definedName>
    <definedName name="_DAT7" localSheetId="6">#REF!</definedName>
    <definedName name="_DAT7" localSheetId="11">#REF!</definedName>
    <definedName name="_DAT7" localSheetId="8">#REF!</definedName>
    <definedName name="_DAT7" localSheetId="7">#REF!</definedName>
    <definedName name="_DAT7" localSheetId="0">#REF!</definedName>
    <definedName name="_DAT7">#REF!</definedName>
    <definedName name="_DAT8" localSheetId="15">#REF!</definedName>
    <definedName name="_DAT8" localSheetId="4">#REF!</definedName>
    <definedName name="_DAT8" localSheetId="12">#REF!</definedName>
    <definedName name="_DAT8" localSheetId="5">#REF!</definedName>
    <definedName name="_DAT8" localSheetId="13">#REF!</definedName>
    <definedName name="_DAT8" localSheetId="6">#REF!</definedName>
    <definedName name="_DAT8" localSheetId="11">#REF!</definedName>
    <definedName name="_DAT8" localSheetId="8">#REF!</definedName>
    <definedName name="_DAT8" localSheetId="7">#REF!</definedName>
    <definedName name="_DAT8" localSheetId="0">#REF!</definedName>
    <definedName name="_DAT8">#REF!</definedName>
    <definedName name="_DAT9" localSheetId="15">#REF!</definedName>
    <definedName name="_DAT9" localSheetId="4">#REF!</definedName>
    <definedName name="_DAT9" localSheetId="12">#REF!</definedName>
    <definedName name="_DAT9" localSheetId="5">#REF!</definedName>
    <definedName name="_DAT9" localSheetId="13">#REF!</definedName>
    <definedName name="_DAT9" localSheetId="6">#REF!</definedName>
    <definedName name="_DAT9" localSheetId="11">#REF!</definedName>
    <definedName name="_DAT9" localSheetId="8">#REF!</definedName>
    <definedName name="_DAT9" localSheetId="7">#REF!</definedName>
    <definedName name="_DAT9" localSheetId="0">#REF!</definedName>
    <definedName name="_DAT9">#REF!</definedName>
    <definedName name="_eu2" localSheetId="15" hidden="1">{#N/A,#N/A,FALSE,"MO (2)"}</definedName>
    <definedName name="_eu2" localSheetId="12" hidden="1">{#N/A,#N/A,FALSE,"MO (2)"}</definedName>
    <definedName name="_eu2" localSheetId="8" hidden="1">{#N/A,#N/A,FALSE,"MO (2)"}</definedName>
    <definedName name="_eu2" localSheetId="14" hidden="1">{#N/A,#N/A,FALSE,"MO (2)"}</definedName>
    <definedName name="_eu2" localSheetId="16" hidden="1">{#N/A,#N/A,FALSE,"MO (2)"}</definedName>
    <definedName name="_eu2" hidden="1">{#N/A,#N/A,FALSE,"MO (2)"}</definedName>
    <definedName name="_FCCEMED_" localSheetId="12">#REF!</definedName>
    <definedName name="_FCCEMED_" localSheetId="8">#REF!</definedName>
    <definedName name="_FCCEMED_" localSheetId="14">#REF!</definedName>
    <definedName name="_FCCEMED_">#REF!</definedName>
    <definedName name="_Fill" localSheetId="8">#REF!</definedName>
    <definedName name="_Fill" localSheetId="7">#REF!</definedName>
    <definedName name="_Fill">#REF!</definedName>
    <definedName name="_fill1" localSheetId="8">#REF!</definedName>
    <definedName name="_fill1" localSheetId="7">#REF!</definedName>
    <definedName name="_fill1">#REF!</definedName>
    <definedName name="_xlnm._FilterDatabase" localSheetId="5" hidden="1">CPU!$B$8:$K$350</definedName>
    <definedName name="_xlnm._FilterDatabase" localSheetId="13" hidden="1">'DISP. DRENAGEM'!$B$3:$L$33</definedName>
    <definedName name="_xlnm._FilterDatabase" localSheetId="11" hidden="1">DRENAGEM!$B$14:$AS$50</definedName>
    <definedName name="_xlnm._FilterDatabase" localSheetId="2" hidden="1">'ORÇ. SINTÉTICO'!$B$9:$E$125</definedName>
    <definedName name="_xlnm._FilterDatabase" localSheetId="3" hidden="1">'Orçamento Analítico'!$B$10:$M$1197</definedName>
    <definedName name="_G" localSheetId="12">#REF!</definedName>
    <definedName name="_G" localSheetId="8">#REF!</definedName>
    <definedName name="_G" localSheetId="14">#REF!</definedName>
    <definedName name="_G" localSheetId="16">#REF!</definedName>
    <definedName name="_G">#REF!</definedName>
    <definedName name="_G_1" localSheetId="8">#REF!</definedName>
    <definedName name="_G_1" localSheetId="14">#REF!</definedName>
    <definedName name="_G_1" localSheetId="16">#REF!</definedName>
    <definedName name="_G_1">#REF!</definedName>
    <definedName name="_GOTO_D1_" localSheetId="8">#REF!</definedName>
    <definedName name="_GOTO_D1_" localSheetId="14">#REF!</definedName>
    <definedName name="_GOTO_D1_" localSheetId="16">#REF!</definedName>
    <definedName name="_GOTO_D1_">#REF!</definedName>
    <definedName name="_GOTO_E1_">#REF!</definedName>
    <definedName name="_GOTO_N1_">#REF!</definedName>
    <definedName name="_HOME__">#REF!</definedName>
    <definedName name="_I">#REF!</definedName>
    <definedName name="_I_1">#REF!</definedName>
    <definedName name="_IRM1" localSheetId="15" hidden="1">{#N/A,#N/A,FALSE,"MO (2)"}</definedName>
    <definedName name="_IRM1" localSheetId="12" hidden="1">{#N/A,#N/A,FALSE,"MO (2)"}</definedName>
    <definedName name="_IRM1" localSheetId="8" hidden="1">{#N/A,#N/A,FALSE,"MO (2)"}</definedName>
    <definedName name="_IRM1" localSheetId="14" hidden="1">{#N/A,#N/A,FALSE,"MO (2)"}</definedName>
    <definedName name="_IRM1" localSheetId="16" hidden="1">{#N/A,#N/A,FALSE,"MO (2)"}</definedName>
    <definedName name="_IRM1" hidden="1">{#N/A,#N/A,FALSE,"MO (2)"}</definedName>
    <definedName name="_Key1" localSheetId="15" hidden="1">#REF!</definedName>
    <definedName name="_Key1" localSheetId="12" hidden="1">'[8]DESEMP AN'!$C$37:$C$77</definedName>
    <definedName name="_Key1" localSheetId="13" hidden="1">#REF!</definedName>
    <definedName name="_Key1" localSheetId="6" hidden="1">#REF!</definedName>
    <definedName name="_Key1" localSheetId="11" hidden="1">#REF!</definedName>
    <definedName name="_Key1" localSheetId="8" hidden="1">#REF!</definedName>
    <definedName name="_Key1" localSheetId="7" hidden="1">#REF!</definedName>
    <definedName name="_Key1" localSheetId="16" hidden="1">#REF!</definedName>
    <definedName name="_Key1" hidden="1">#REF!</definedName>
    <definedName name="_Key2" localSheetId="15" hidden="1">#REF!</definedName>
    <definedName name="_Key2" localSheetId="12" hidden="1">'[8]DESEMP AN'!$B$37:$B$65</definedName>
    <definedName name="_Key2" localSheetId="13" hidden="1">#REF!</definedName>
    <definedName name="_Key2" localSheetId="6" hidden="1">#REF!</definedName>
    <definedName name="_Key2" localSheetId="11" hidden="1">#REF!</definedName>
    <definedName name="_Key2" localSheetId="8" hidden="1">#REF!</definedName>
    <definedName name="_Key2" localSheetId="7" hidden="1">#REF!</definedName>
    <definedName name="_Key2" localSheetId="16" hidden="1">#REF!</definedName>
    <definedName name="_Key2" hidden="1">#REF!</definedName>
    <definedName name="_M" localSheetId="12">#REF!</definedName>
    <definedName name="_M" localSheetId="8">#REF!</definedName>
    <definedName name="_M">#REF!</definedName>
    <definedName name="_M_1" localSheetId="8">#REF!</definedName>
    <definedName name="_M_1">#REF!</definedName>
    <definedName name="_MatMult_A" localSheetId="8">#REF!</definedName>
    <definedName name="_MatMult_A" localSheetId="7">#REF!</definedName>
    <definedName name="_MatMult_A">#REF!</definedName>
    <definedName name="_MDO1" localSheetId="8">#REF!</definedName>
    <definedName name="_MDO1" localSheetId="7">#REF!</definedName>
    <definedName name="_MDO1">#REF!</definedName>
    <definedName name="_MDO2" localSheetId="8">#REF!</definedName>
    <definedName name="_MDO2" localSheetId="7">#REF!</definedName>
    <definedName name="_MDO2">#REF!</definedName>
    <definedName name="_MNSJS" localSheetId="8">#REF!</definedName>
    <definedName name="_MNSJS" localSheetId="7">#REF!</definedName>
    <definedName name="_MNSJS">#REF!</definedName>
    <definedName name="_ms299" localSheetId="8">#REF!</definedName>
    <definedName name="_ms299" localSheetId="7">#REF!</definedName>
    <definedName name="_ms299">#REF!</definedName>
    <definedName name="_Order1" hidden="1">255</definedName>
    <definedName name="_Order2" hidden="1">255</definedName>
    <definedName name="_P" localSheetId="8">#REF!</definedName>
    <definedName name="_P" localSheetId="14">#REF!</definedName>
    <definedName name="_P">#REF!</definedName>
    <definedName name="_P_1" localSheetId="8">#REF!</definedName>
    <definedName name="_P_1" localSheetId="14">#REF!</definedName>
    <definedName name="_P_1">#REF!</definedName>
    <definedName name="_PE006" localSheetId="12">[9]INDICES!$K$17</definedName>
    <definedName name="_PE006" localSheetId="8">#REF!</definedName>
    <definedName name="_PE006" localSheetId="7">#REF!</definedName>
    <definedName name="_PE006">#REF!</definedName>
    <definedName name="_PE007" localSheetId="12">[9]INDICES!$K$18</definedName>
    <definedName name="_PE007" localSheetId="8">#REF!</definedName>
    <definedName name="_PE007" localSheetId="7">#REF!</definedName>
    <definedName name="_PE007">#REF!</definedName>
    <definedName name="_PE016" localSheetId="12">[9]INDICES!$K$30</definedName>
    <definedName name="_PE016" localSheetId="8">#REF!</definedName>
    <definedName name="_PE016" localSheetId="7">#REF!</definedName>
    <definedName name="_PE016">#REF!</definedName>
    <definedName name="_PE107" localSheetId="12">[9]INDICES!$K$32</definedName>
    <definedName name="_PE107" localSheetId="8">#REF!</definedName>
    <definedName name="_PE107" localSheetId="7">#REF!</definedName>
    <definedName name="_PE107">#REF!</definedName>
    <definedName name="_PE108" localSheetId="12">[9]INDICES!$K$33</definedName>
    <definedName name="_PE108" localSheetId="8">#REF!</definedName>
    <definedName name="_PE108" localSheetId="7">#REF!</definedName>
    <definedName name="_PE108">#REF!</definedName>
    <definedName name="_PE110" localSheetId="12">[9]INDICES!$K$34</definedName>
    <definedName name="_PE110" localSheetId="8">#REF!</definedName>
    <definedName name="_PE110" localSheetId="7">#REF!</definedName>
    <definedName name="_PE110">#REF!</definedName>
    <definedName name="_PE111" localSheetId="12">[9]INDICES!$K$35</definedName>
    <definedName name="_PE111" localSheetId="8">#REF!</definedName>
    <definedName name="_PE111" localSheetId="7">#REF!</definedName>
    <definedName name="_PE111">#REF!</definedName>
    <definedName name="_PE113" localSheetId="12">[9]INDICES!$K$36</definedName>
    <definedName name="_PE113" localSheetId="8">#REF!</definedName>
    <definedName name="_PE113" localSheetId="7">#REF!</definedName>
    <definedName name="_PE113">#REF!</definedName>
    <definedName name="_PE114" localSheetId="12">[9]INDICES!$K$37</definedName>
    <definedName name="_PE114" localSheetId="8">#REF!</definedName>
    <definedName name="_PE114" localSheetId="7">#REF!</definedName>
    <definedName name="_PE114">#REF!</definedName>
    <definedName name="_PE116" localSheetId="12">[9]INDICES!$K$38</definedName>
    <definedName name="_PE116" localSheetId="8">#REF!</definedName>
    <definedName name="_PE116" localSheetId="7">#REF!</definedName>
    <definedName name="_PE116">#REF!</definedName>
    <definedName name="_PE117" localSheetId="12">[9]INDICES!$K$39</definedName>
    <definedName name="_PE117" localSheetId="8">#REF!</definedName>
    <definedName name="_PE117" localSheetId="7">#REF!</definedName>
    <definedName name="_PE117">#REF!</definedName>
    <definedName name="_PE119" localSheetId="12">[9]INDICES!$K$41</definedName>
    <definedName name="_PE119" localSheetId="8">#REF!</definedName>
    <definedName name="_PE119" localSheetId="7">#REF!</definedName>
    <definedName name="_PE119">#REF!</definedName>
    <definedName name="_PE123" localSheetId="12">[9]INDICES!$K$45</definedName>
    <definedName name="_PE123" localSheetId="8">#REF!</definedName>
    <definedName name="_PE123" localSheetId="7">#REF!</definedName>
    <definedName name="_PE123">#REF!</definedName>
    <definedName name="_PE315" localSheetId="12">[9]INDICES!$K$58</definedName>
    <definedName name="_PE315" localSheetId="8">#REF!</definedName>
    <definedName name="_PE315" localSheetId="7">#REF!</definedName>
    <definedName name="_PE315">#REF!</definedName>
    <definedName name="_PE400" localSheetId="12">[9]INDICES!$K$70</definedName>
    <definedName name="_PE400" localSheetId="8">#REF!</definedName>
    <definedName name="_PE400" localSheetId="7">#REF!</definedName>
    <definedName name="_PE400">#REF!</definedName>
    <definedName name="_PE404" localSheetId="12">[9]INDICES!$K$72</definedName>
    <definedName name="_PE404" localSheetId="8">#REF!</definedName>
    <definedName name="_PE404" localSheetId="7">#REF!</definedName>
    <definedName name="_PE404">#REF!</definedName>
    <definedName name="_PE408" localSheetId="12">[9]INDICES!$K$75</definedName>
    <definedName name="_PE408" localSheetId="8">#REF!</definedName>
    <definedName name="_PE408" localSheetId="7">#REF!</definedName>
    <definedName name="_PE408">#REF!</definedName>
    <definedName name="_PE507" localSheetId="12">[9]INDICES!$K$83</definedName>
    <definedName name="_PE507" localSheetId="8">#REF!</definedName>
    <definedName name="_PE507" localSheetId="7">#REF!</definedName>
    <definedName name="_PE507">#REF!</definedName>
    <definedName name="_PL1" localSheetId="15">#REF!</definedName>
    <definedName name="_PL1" localSheetId="4">#REF!</definedName>
    <definedName name="_PL1" localSheetId="12">#REF!</definedName>
    <definedName name="_PL1" localSheetId="5">#REF!</definedName>
    <definedName name="_PL1" localSheetId="13">#REF!</definedName>
    <definedName name="_PL1" localSheetId="11">#REF!</definedName>
    <definedName name="_PL1" localSheetId="8">#REF!</definedName>
    <definedName name="_PL1" localSheetId="7">#REF!</definedName>
    <definedName name="_PL1" localSheetId="0">#REF!</definedName>
    <definedName name="_PL1">#REF!</definedName>
    <definedName name="_PL201" localSheetId="15">#REF!</definedName>
    <definedName name="_PL201" localSheetId="12">[10]INDICES!#REF!</definedName>
    <definedName name="_PL201" localSheetId="13">#REF!</definedName>
    <definedName name="_PL201" localSheetId="6">#REF!</definedName>
    <definedName name="_PL201" localSheetId="11">#REF!</definedName>
    <definedName name="_PL201" localSheetId="8">#REF!</definedName>
    <definedName name="_PL201" localSheetId="7">#REF!</definedName>
    <definedName name="_PL201" localSheetId="0">#REF!</definedName>
    <definedName name="_PL201">#REF!</definedName>
    <definedName name="_PL203" localSheetId="12">[10]INDICES!#REF!</definedName>
    <definedName name="_PL203" localSheetId="13">#REF!</definedName>
    <definedName name="_PL203" localSheetId="6">#REF!</definedName>
    <definedName name="_PL203" localSheetId="11">#REF!</definedName>
    <definedName name="_PL203" localSheetId="8">#REF!</definedName>
    <definedName name="_PL203" localSheetId="7">#REF!</definedName>
    <definedName name="_PL203" localSheetId="0">#REF!</definedName>
    <definedName name="_PL203">#REF!</definedName>
    <definedName name="_PL204" localSheetId="12">[10]INDICES!#REF!</definedName>
    <definedName name="_PL204" localSheetId="13">#REF!</definedName>
    <definedName name="_PL204" localSheetId="6">#REF!</definedName>
    <definedName name="_PL204" localSheetId="8">#REF!</definedName>
    <definedName name="_PL204" localSheetId="7">#REF!</definedName>
    <definedName name="_PL204" localSheetId="0">#REF!</definedName>
    <definedName name="_PL204">#REF!</definedName>
    <definedName name="_PL206" localSheetId="12">[10]INDICES!#REF!</definedName>
    <definedName name="_PL206" localSheetId="13">#REF!</definedName>
    <definedName name="_PL206" localSheetId="6">#REF!</definedName>
    <definedName name="_PL206" localSheetId="8">#REF!</definedName>
    <definedName name="_PL206" localSheetId="7">#REF!</definedName>
    <definedName name="_PL206" localSheetId="0">#REF!</definedName>
    <definedName name="_PL206">#REF!</definedName>
    <definedName name="_PL702" localSheetId="12">[9]INDICES!$D$13</definedName>
    <definedName name="_PL702" localSheetId="8">#REF!</definedName>
    <definedName name="_PL702" localSheetId="7">#REF!</definedName>
    <definedName name="_PL702">#REF!</definedName>
    <definedName name="_PL705" localSheetId="12">[9]INDICES!$D$16</definedName>
    <definedName name="_PL705" localSheetId="8">#REF!</definedName>
    <definedName name="_PL705" localSheetId="7">#REF!</definedName>
    <definedName name="_PL705">#REF!</definedName>
    <definedName name="_PL706" localSheetId="12">[9]INDICES!$D$17</definedName>
    <definedName name="_PL706" localSheetId="8">#REF!</definedName>
    <definedName name="_PL706" localSheetId="7">#REF!</definedName>
    <definedName name="_PL706">#REF!</definedName>
    <definedName name="_PL707" localSheetId="12">[9]INDICES!$D$18</definedName>
    <definedName name="_PL707" localSheetId="8">#REF!</definedName>
    <definedName name="_PL707" localSheetId="7">#REF!</definedName>
    <definedName name="_PL707">#REF!</definedName>
    <definedName name="_PL708" localSheetId="12">[9]INDICES!$D$19</definedName>
    <definedName name="_PL708" localSheetId="8">#REF!</definedName>
    <definedName name="_PL708" localSheetId="7">#REF!</definedName>
    <definedName name="_PL708">#REF!</definedName>
    <definedName name="_pm101" localSheetId="12">[9]INDICES!$D$72</definedName>
    <definedName name="_pm101" localSheetId="8">#REF!</definedName>
    <definedName name="_pm101" localSheetId="7">#REF!</definedName>
    <definedName name="_pm101">#REF!</definedName>
    <definedName name="_PM103" localSheetId="12">[9]INDICES!$D$73</definedName>
    <definedName name="_PM103" localSheetId="8">#REF!</definedName>
    <definedName name="_PM103" localSheetId="7">#REF!</definedName>
    <definedName name="_PM103">#REF!</definedName>
    <definedName name="_PM104" localSheetId="12">[9]INDICES!$D$74</definedName>
    <definedName name="_PM104" localSheetId="8">#REF!</definedName>
    <definedName name="_PM104" localSheetId="7">#REF!</definedName>
    <definedName name="_PM104">#REF!</definedName>
    <definedName name="_PM107" localSheetId="12">[9]INDICES!$D$75</definedName>
    <definedName name="_PM107" localSheetId="8">#REF!</definedName>
    <definedName name="_PM107" localSheetId="7">#REF!</definedName>
    <definedName name="_PM107">#REF!</definedName>
    <definedName name="_PM109" localSheetId="12">[9]INDICES!$D$76</definedName>
    <definedName name="_PM109" localSheetId="8">#REF!</definedName>
    <definedName name="_PM109" localSheetId="7">#REF!</definedName>
    <definedName name="_PM109">#REF!</definedName>
    <definedName name="_PM326" localSheetId="15">#REF!</definedName>
    <definedName name="_PM326" localSheetId="12">[10]INDICES!#REF!</definedName>
    <definedName name="_PM326" localSheetId="13">#REF!</definedName>
    <definedName name="_PM326" localSheetId="6">#REF!</definedName>
    <definedName name="_PM326" localSheetId="11">#REF!</definedName>
    <definedName name="_PM326" localSheetId="8">#REF!</definedName>
    <definedName name="_PM326" localSheetId="7">#REF!</definedName>
    <definedName name="_PM326" localSheetId="0">#REF!</definedName>
    <definedName name="_PM326">#REF!</definedName>
    <definedName name="_PM332" localSheetId="12">[10]INDICES!$D$36</definedName>
    <definedName name="_PM332" localSheetId="8">#REF!</definedName>
    <definedName name="_PM332" localSheetId="7">#REF!</definedName>
    <definedName name="_PM332">#REF!</definedName>
    <definedName name="_PM333" localSheetId="12">[10]INDICES!$D$21</definedName>
    <definedName name="_PM333" localSheetId="8">#REF!</definedName>
    <definedName name="_PM333" localSheetId="7">#REF!</definedName>
    <definedName name="_PM333">#REF!</definedName>
    <definedName name="_PM700" localSheetId="15">#REF!</definedName>
    <definedName name="_PM700" localSheetId="12">[10]INDICES!#REF!</definedName>
    <definedName name="_PM700" localSheetId="13">#REF!</definedName>
    <definedName name="_PM700" localSheetId="6">#REF!</definedName>
    <definedName name="_PM700" localSheetId="11">#REF!</definedName>
    <definedName name="_PM700" localSheetId="8">#REF!</definedName>
    <definedName name="_PM700" localSheetId="7">#REF!</definedName>
    <definedName name="_PM700" localSheetId="0">#REF!</definedName>
    <definedName name="_PM700">#REF!</definedName>
    <definedName name="_PM905" localSheetId="12">[9]INDICES!$D$39</definedName>
    <definedName name="_PM905" localSheetId="8">#REF!</definedName>
    <definedName name="_PM905" localSheetId="7">#REF!</definedName>
    <definedName name="_PM905">#REF!</definedName>
    <definedName name="_PM990" localSheetId="12">[9]INDICES!$D$46</definedName>
    <definedName name="_PM990" localSheetId="8">#REF!</definedName>
    <definedName name="_PM990" localSheetId="7">#REF!</definedName>
    <definedName name="_PM990">#REF!</definedName>
    <definedName name="_PNV2002" localSheetId="15">#REF!</definedName>
    <definedName name="_PNV2002" localSheetId="4">#REF!</definedName>
    <definedName name="_PNV2002" localSheetId="12">#REF!</definedName>
    <definedName name="_PNV2002" localSheetId="5">#REF!</definedName>
    <definedName name="_PNV2002" localSheetId="13">#REF!</definedName>
    <definedName name="_PNV2002" localSheetId="11">#REF!</definedName>
    <definedName name="_PNV2002" localSheetId="8">#REF!</definedName>
    <definedName name="_PNV2002" localSheetId="7">#REF!</definedName>
    <definedName name="_PNV2002" localSheetId="0">#REF!</definedName>
    <definedName name="_PNV2002">#REF!</definedName>
    <definedName name="_PNV2003" localSheetId="15">#REF!</definedName>
    <definedName name="_PNV2003" localSheetId="4">#REF!</definedName>
    <definedName name="_PNV2003" localSheetId="12">#REF!</definedName>
    <definedName name="_PNV2003" localSheetId="5">#REF!</definedName>
    <definedName name="_PNV2003" localSheetId="13">#REF!</definedName>
    <definedName name="_PNV2003" localSheetId="11">#REF!</definedName>
    <definedName name="_PNV2003" localSheetId="8">#REF!</definedName>
    <definedName name="_PNV2003" localSheetId="7">#REF!</definedName>
    <definedName name="_PNV2003" localSheetId="0">#REF!</definedName>
    <definedName name="_PNV2003">#REF!</definedName>
    <definedName name="_PP501" localSheetId="12">[9]INDICES!$M$118</definedName>
    <definedName name="_PP501" localSheetId="8">#REF!</definedName>
    <definedName name="_PP501" localSheetId="7">#REF!</definedName>
    <definedName name="_PP501">#REF!</definedName>
    <definedName name="_PP502" localSheetId="12">[9]INDICES!$M$119</definedName>
    <definedName name="_PP502" localSheetId="8">#REF!</definedName>
    <definedName name="_PP502" localSheetId="7">#REF!</definedName>
    <definedName name="_PP502">#REF!</definedName>
    <definedName name="_PP701" localSheetId="12">[9]INDICES!$M$127</definedName>
    <definedName name="_PP701" localSheetId="8">#REF!</definedName>
    <definedName name="_PP701" localSheetId="7">#REF!</definedName>
    <definedName name="_PP701">#REF!</definedName>
    <definedName name="_PP801" localSheetId="12">[9]INDICES!$M$128</definedName>
    <definedName name="_PP801" localSheetId="8">#REF!</definedName>
    <definedName name="_PP801" localSheetId="7">#REF!</definedName>
    <definedName name="_PP801">#REF!</definedName>
    <definedName name="_PPOS015Q_AGPQ_" localSheetId="8">#REF!</definedName>
    <definedName name="_PPOS015Q_AGPQ_" localSheetId="7">#REF!</definedName>
    <definedName name="_PPOS015Q_AGPQ_">#REF!</definedName>
    <definedName name="_PPOS015Q_AGPQ__6" localSheetId="8">#REF!</definedName>
    <definedName name="_PPOS015Q_AGPQ__6" localSheetId="7">#REF!</definedName>
    <definedName name="_PPOS015Q_AGPQ__6">#REF!</definedName>
    <definedName name="_pt101" localSheetId="12">[9]INDICES!$D$84</definedName>
    <definedName name="_pt101" localSheetId="8">#REF!</definedName>
    <definedName name="_pt101" localSheetId="7">#REF!</definedName>
    <definedName name="_pt101">#REF!</definedName>
    <definedName name="_PT103" localSheetId="12">[9]INDICES!$D$86</definedName>
    <definedName name="_PT103" localSheetId="8">#REF!</definedName>
    <definedName name="_PT103" localSheetId="7">#REF!</definedName>
    <definedName name="_PT103">#REF!</definedName>
    <definedName name="_PT104" localSheetId="12">[9]INDICES!$D$87</definedName>
    <definedName name="_PT104" localSheetId="8">#REF!</definedName>
    <definedName name="_PT104" localSheetId="7">#REF!</definedName>
    <definedName name="_PT104">#REF!</definedName>
    <definedName name="_PT107" localSheetId="12">[9]INDICES!$D$88</definedName>
    <definedName name="_PT107" localSheetId="8">#REF!</definedName>
    <definedName name="_PT107" localSheetId="7">#REF!</definedName>
    <definedName name="_PT107">#REF!</definedName>
    <definedName name="_PT109" localSheetId="12">[9]INDICES!$D$89</definedName>
    <definedName name="_PT109" localSheetId="8">#REF!</definedName>
    <definedName name="_PT109" localSheetId="7">#REF!</definedName>
    <definedName name="_PT109">#REF!</definedName>
    <definedName name="_R" localSheetId="12">#REF!</definedName>
    <definedName name="_R" localSheetId="8">#REF!</definedName>
    <definedName name="_R">#REF!</definedName>
    <definedName name="_R_1" localSheetId="8">#REF!</definedName>
    <definedName name="_R_1">#REF!</definedName>
    <definedName name="_REA1.N10_" localSheetId="8">#REF!</definedName>
    <definedName name="_REA1.N10_">#REF!</definedName>
    <definedName name="_Regression_Int" hidden="1">1</definedName>
    <definedName name="_SE2" localSheetId="8">#REF!</definedName>
    <definedName name="_SE2" localSheetId="7">#REF!</definedName>
    <definedName name="_SE2" localSheetId="14">#REF!</definedName>
    <definedName name="_SE2">#REF!</definedName>
    <definedName name="_sob1" localSheetId="8">#REF!</definedName>
    <definedName name="_sob1" localSheetId="7">#REF!</definedName>
    <definedName name="_sob1">#REF!</definedName>
    <definedName name="_SOB2" localSheetId="8">#REF!</definedName>
    <definedName name="_SOB2" localSheetId="7">#REF!</definedName>
    <definedName name="_SOB2">#REF!</definedName>
    <definedName name="_Sort" localSheetId="15" hidden="1">#REF!</definedName>
    <definedName name="_Sort" localSheetId="12" hidden="1">'[8]DESEMP AN'!$B$37:$H$86</definedName>
    <definedName name="_Sort" localSheetId="13" hidden="1">#REF!</definedName>
    <definedName name="_Sort" localSheetId="6" hidden="1">#REF!</definedName>
    <definedName name="_Sort" localSheetId="11" hidden="1">#REF!</definedName>
    <definedName name="_Sort" localSheetId="8" hidden="1">#REF!</definedName>
    <definedName name="_Sort" localSheetId="7" hidden="1">#REF!</definedName>
    <definedName name="_Sort" localSheetId="16" hidden="1">#REF!</definedName>
    <definedName name="_Sort" hidden="1">#REF!</definedName>
    <definedName name="_STG03" localSheetId="15">#REF!</definedName>
    <definedName name="_STG03" localSheetId="12">'[3]F. MEDIÇAO'!#REF!</definedName>
    <definedName name="_STG03" localSheetId="13">#REF!</definedName>
    <definedName name="_STG03" localSheetId="6">#REF!</definedName>
    <definedName name="_STG03" localSheetId="11">#REF!</definedName>
    <definedName name="_STG03" localSheetId="8">#REF!</definedName>
    <definedName name="_STG03" localSheetId="7">#REF!</definedName>
    <definedName name="_STG03" localSheetId="0">#REF!</definedName>
    <definedName name="_STG03">#REF!</definedName>
    <definedName name="_sub1" localSheetId="8">#REF!</definedName>
    <definedName name="_sub1" localSheetId="7">#REF!</definedName>
    <definedName name="_sub1">#REF!</definedName>
    <definedName name="_sub12" localSheetId="8">#REF!</definedName>
    <definedName name="_sub12" localSheetId="7">#REF!</definedName>
    <definedName name="_sub12">#REF!</definedName>
    <definedName name="_sub2" localSheetId="8">#REF!</definedName>
    <definedName name="_sub2" localSheetId="7">#REF!</definedName>
    <definedName name="_sub2">#REF!</definedName>
    <definedName name="_sub3" localSheetId="8">#REF!</definedName>
    <definedName name="_sub3" localSheetId="7">#REF!</definedName>
    <definedName name="_sub3">#REF!</definedName>
    <definedName name="_sub4" localSheetId="8">#REF!</definedName>
    <definedName name="_sub4" localSheetId="7">#REF!</definedName>
    <definedName name="_sub4">#REF!</definedName>
    <definedName name="_SUB5" localSheetId="8">#REF!</definedName>
    <definedName name="_SUB5" localSheetId="7">#REF!</definedName>
    <definedName name="_SUB5">#REF!</definedName>
    <definedName name="_subb2" localSheetId="8">#REF!</definedName>
    <definedName name="_subb2" localSheetId="7">#REF!</definedName>
    <definedName name="_subb2">#REF!</definedName>
    <definedName name="_subb4" localSheetId="8">#REF!</definedName>
    <definedName name="_subb4" localSheetId="7">#REF!</definedName>
    <definedName name="_subb4">#REF!</definedName>
    <definedName name="_subb9" localSheetId="8">#REF!</definedName>
    <definedName name="_subb9" localSheetId="7">#REF!</definedName>
    <definedName name="_subb9">#REF!</definedName>
    <definedName name="_SUU" localSheetId="8">#REF!</definedName>
    <definedName name="_SUU" localSheetId="7">#REF!</definedName>
    <definedName name="_SUU">#REF!</definedName>
    <definedName name="_SUUU" localSheetId="8">#REF!</definedName>
    <definedName name="_SUUU" localSheetId="7">#REF!</definedName>
    <definedName name="_SUUU">#REF!</definedName>
    <definedName name="_TCB10" localSheetId="12">[11]Serviços!$G$58</definedName>
    <definedName name="_TCB10" localSheetId="8">#REF!</definedName>
    <definedName name="_TCB10" localSheetId="7">#REF!</definedName>
    <definedName name="_TCB10">#REF!</definedName>
    <definedName name="_TLB5" localSheetId="12">[11]Serviços!$G$54</definedName>
    <definedName name="_TLB5" localSheetId="8">#REF!</definedName>
    <definedName name="_TLB5" localSheetId="7">#REF!</definedName>
    <definedName name="_TLB5">#REF!</definedName>
    <definedName name="_TLC4" localSheetId="12">[11]Serviços!$G$56</definedName>
    <definedName name="_TLC4" localSheetId="8">#REF!</definedName>
    <definedName name="_TLC4" localSheetId="7">#REF!</definedName>
    <definedName name="_TLC4">#REF!</definedName>
    <definedName name="_TOT1" localSheetId="15">#REF!</definedName>
    <definedName name="_TOT1" localSheetId="12">[9]SERVIÇOS!#REF!</definedName>
    <definedName name="_TOT1" localSheetId="13">#REF!</definedName>
    <definedName name="_TOT1" localSheetId="6">#REF!</definedName>
    <definedName name="_TOT1" localSheetId="11">#REF!</definedName>
    <definedName name="_TOT1" localSheetId="8">#REF!</definedName>
    <definedName name="_TOT1" localSheetId="7">#REF!</definedName>
    <definedName name="_TOT1" localSheetId="0">#REF!</definedName>
    <definedName name="_TOT1">#REF!</definedName>
    <definedName name="_TOT2" localSheetId="15">#REF!</definedName>
    <definedName name="_TOT2" localSheetId="12">[9]SERVIÇOS!#REF!</definedName>
    <definedName name="_TOT2" localSheetId="13">#REF!</definedName>
    <definedName name="_TOT2" localSheetId="6">#REF!</definedName>
    <definedName name="_TOT2" localSheetId="11">#REF!</definedName>
    <definedName name="_TOT2" localSheetId="8">#REF!</definedName>
    <definedName name="_TOT2" localSheetId="7">#REF!</definedName>
    <definedName name="_TOT2" localSheetId="0">#REF!</definedName>
    <definedName name="_TOT2">#REF!</definedName>
    <definedName name="_TOT3" localSheetId="15">#REF!</definedName>
    <definedName name="_TOT3" localSheetId="12">[9]SERVIÇOS!#REF!</definedName>
    <definedName name="_TOT3" localSheetId="13">#REF!</definedName>
    <definedName name="_TOT3" localSheetId="6">#REF!</definedName>
    <definedName name="_TOT3" localSheetId="11">#REF!</definedName>
    <definedName name="_TOT3" localSheetId="8">#REF!</definedName>
    <definedName name="_TOT3" localSheetId="7">#REF!</definedName>
    <definedName name="_TOT3" localSheetId="0">#REF!</definedName>
    <definedName name="_TOT3">#REF!</definedName>
    <definedName name="_TOT4" localSheetId="15">#REF!</definedName>
    <definedName name="_TOT4" localSheetId="12">[9]SERVIÇOS!#REF!</definedName>
    <definedName name="_TOT4" localSheetId="13">#REF!</definedName>
    <definedName name="_TOT4" localSheetId="6">#REF!</definedName>
    <definedName name="_TOT4" localSheetId="11">#REF!</definedName>
    <definedName name="_TOT4" localSheetId="8">#REF!</definedName>
    <definedName name="_TOT4" localSheetId="7">#REF!</definedName>
    <definedName name="_TOT4" localSheetId="0">#REF!</definedName>
    <definedName name="_TOT4">#REF!</definedName>
    <definedName name="_TOT6" localSheetId="12">[9]SERVIÇOS!#REF!</definedName>
    <definedName name="_TOT6" localSheetId="13">#REF!</definedName>
    <definedName name="_TOT6" localSheetId="8">#REF!</definedName>
    <definedName name="_TOT6" localSheetId="7">#REF!</definedName>
    <definedName name="_TOT6" localSheetId="0">#REF!</definedName>
    <definedName name="_TOT6">#REF!</definedName>
    <definedName name="_TOT7" localSheetId="12">[9]SERVIÇOS!#REF!</definedName>
    <definedName name="_TOT7" localSheetId="13">#REF!</definedName>
    <definedName name="_TOT7" localSheetId="8">#REF!</definedName>
    <definedName name="_TOT7" localSheetId="7">#REF!</definedName>
    <definedName name="_TOT7" localSheetId="0">#REF!</definedName>
    <definedName name="_TOT7">#REF!</definedName>
    <definedName name="_WCS13_" localSheetId="12">#REF!</definedName>
    <definedName name="_WCS13_" localSheetId="8">#REF!</definedName>
    <definedName name="_WCS13_">#REF!</definedName>
    <definedName name="_WCS43_" localSheetId="8">#REF!</definedName>
    <definedName name="_WCS43_">#REF!</definedName>
    <definedName name="_WDCN1.S1_" localSheetId="8">#REF!</definedName>
    <definedName name="_WDCN1.S1_">#REF!</definedName>
    <definedName name="_WGZY_" localSheetId="8">#REF!</definedName>
    <definedName name="_WGZY_" localSheetId="7">#REF!</definedName>
    <definedName name="_WGZY_">#REF!</definedName>
    <definedName name="_WGZY__6" localSheetId="8">#REF!</definedName>
    <definedName name="_WGZY__6" localSheetId="7">#REF!</definedName>
    <definedName name="_WGZY__6">#REF!</definedName>
    <definedName name="_WICE1_">#REF!</definedName>
    <definedName name="_WIRA1.A8_">#REF!</definedName>
    <definedName name="_Y">#REF!</definedName>
    <definedName name="_Y_1">#REF!</definedName>
    <definedName name="_YE006" localSheetId="12">[9]INDICES!$M$17</definedName>
    <definedName name="_YE006" localSheetId="8">#REF!</definedName>
    <definedName name="_YE006" localSheetId="7">#REF!</definedName>
    <definedName name="_YE006">#REF!</definedName>
    <definedName name="_YE007" localSheetId="12">[9]INDICES!$M$18</definedName>
    <definedName name="_YE007" localSheetId="8">#REF!</definedName>
    <definedName name="_YE007" localSheetId="7">#REF!</definedName>
    <definedName name="_YE007">#REF!</definedName>
    <definedName name="_YE016" localSheetId="12">[9]INDICES!$M$30</definedName>
    <definedName name="_YE016" localSheetId="8">#REF!</definedName>
    <definedName name="_YE016" localSheetId="7">#REF!</definedName>
    <definedName name="_YE016">#REF!</definedName>
    <definedName name="_YE107" localSheetId="12">[9]INDICES!$M$32</definedName>
    <definedName name="_YE107" localSheetId="8">#REF!</definedName>
    <definedName name="_YE107" localSheetId="7">#REF!</definedName>
    <definedName name="_YE107">#REF!</definedName>
    <definedName name="_YE108" localSheetId="12">[9]INDICES!$M$33</definedName>
    <definedName name="_YE108" localSheetId="8">#REF!</definedName>
    <definedName name="_YE108" localSheetId="7">#REF!</definedName>
    <definedName name="_YE108">#REF!</definedName>
    <definedName name="_YE110" localSheetId="12">[9]INDICES!$M$34</definedName>
    <definedName name="_YE110" localSheetId="8">#REF!</definedName>
    <definedName name="_YE110" localSheetId="7">#REF!</definedName>
    <definedName name="_YE110">#REF!</definedName>
    <definedName name="_YE111" localSheetId="12">[9]INDICES!$M$35</definedName>
    <definedName name="_YE111" localSheetId="8">#REF!</definedName>
    <definedName name="_YE111" localSheetId="7">#REF!</definedName>
    <definedName name="_YE111">#REF!</definedName>
    <definedName name="_YE113" localSheetId="12">[9]INDICES!$M$36</definedName>
    <definedName name="_YE113" localSheetId="8">#REF!</definedName>
    <definedName name="_YE113" localSheetId="7">#REF!</definedName>
    <definedName name="_YE113">#REF!</definedName>
    <definedName name="_YE114" localSheetId="12">[9]INDICES!$M$37</definedName>
    <definedName name="_YE114" localSheetId="8">#REF!</definedName>
    <definedName name="_YE114" localSheetId="7">#REF!</definedName>
    <definedName name="_YE114">#REF!</definedName>
    <definedName name="_YE116" localSheetId="12">[9]INDICES!$M$38</definedName>
    <definedName name="_YE116" localSheetId="8">#REF!</definedName>
    <definedName name="_YE116" localSheetId="7">#REF!</definedName>
    <definedName name="_YE116">#REF!</definedName>
    <definedName name="_YE117" localSheetId="12">[9]INDICES!$M$39</definedName>
    <definedName name="_YE117" localSheetId="8">#REF!</definedName>
    <definedName name="_YE117" localSheetId="7">#REF!</definedName>
    <definedName name="_YE117">#REF!</definedName>
    <definedName name="_YE119" localSheetId="12">[9]INDICES!$M$41</definedName>
    <definedName name="_YE119" localSheetId="8">#REF!</definedName>
    <definedName name="_YE119" localSheetId="7">#REF!</definedName>
    <definedName name="_YE119">#REF!</definedName>
    <definedName name="_YE123" localSheetId="12">[9]INDICES!$M$45</definedName>
    <definedName name="_YE123" localSheetId="8">#REF!</definedName>
    <definedName name="_YE123" localSheetId="7">#REF!</definedName>
    <definedName name="_YE123">#REF!</definedName>
    <definedName name="_YE315" localSheetId="12">[9]INDICES!$M$58</definedName>
    <definedName name="_YE315" localSheetId="8">#REF!</definedName>
    <definedName name="_YE315" localSheetId="7">#REF!</definedName>
    <definedName name="_YE315">#REF!</definedName>
    <definedName name="_YE400" localSheetId="12">[9]INDICES!$M$70</definedName>
    <definedName name="_YE400" localSheetId="8">#REF!</definedName>
    <definedName name="_YE400" localSheetId="7">#REF!</definedName>
    <definedName name="_YE400">#REF!</definedName>
    <definedName name="_YE404" localSheetId="12">[9]INDICES!$M$72</definedName>
    <definedName name="_YE404" localSheetId="8">#REF!</definedName>
    <definedName name="_YE404" localSheetId="7">#REF!</definedName>
    <definedName name="_YE404">#REF!</definedName>
    <definedName name="_YE408" localSheetId="12">[9]INDICES!$M$75</definedName>
    <definedName name="_YE408" localSheetId="8">#REF!</definedName>
    <definedName name="_YE408" localSheetId="7">#REF!</definedName>
    <definedName name="_YE408">#REF!</definedName>
    <definedName name="_YE507" localSheetId="12">[9]INDICES!$M$83</definedName>
    <definedName name="_YE507" localSheetId="8">#REF!</definedName>
    <definedName name="_YE507" localSheetId="7">#REF!</definedName>
    <definedName name="_YE507">#REF!</definedName>
    <definedName name="a" localSheetId="15">#REF!</definedName>
    <definedName name="a" localSheetId="4">#REF!</definedName>
    <definedName name="a" localSheetId="12">#REF!</definedName>
    <definedName name="a" localSheetId="5">#REF!</definedName>
    <definedName name="a" localSheetId="13">#REF!</definedName>
    <definedName name="a" localSheetId="6">#REF!</definedName>
    <definedName name="a" localSheetId="11">#REF!</definedName>
    <definedName name="a" localSheetId="8">#REF!</definedName>
    <definedName name="a" localSheetId="7">#REF!</definedName>
    <definedName name="a" localSheetId="0">#REF!</definedName>
    <definedName name="a">#REF!</definedName>
    <definedName name="A.8.301.03" localSheetId="15">#REF!</definedName>
    <definedName name="A.8.301.03" localSheetId="12">'[3]F. MEDIÇAO'!#REF!</definedName>
    <definedName name="A.8.301.03" localSheetId="13">#REF!</definedName>
    <definedName name="A.8.301.03" localSheetId="6">#REF!</definedName>
    <definedName name="A.8.301.03" localSheetId="11">#REF!</definedName>
    <definedName name="A.8.301.03" localSheetId="8">#REF!</definedName>
    <definedName name="A.8.301.03" localSheetId="7">#REF!</definedName>
    <definedName name="A.8.301.03" localSheetId="0">#REF!</definedName>
    <definedName name="A.8.301.03">#REF!</definedName>
    <definedName name="A_Brita_25" localSheetId="8">#REF!</definedName>
    <definedName name="A_Brita_25" localSheetId="7">#REF!</definedName>
    <definedName name="A_Brita_25">#REF!</definedName>
    <definedName name="A_Chapisco" localSheetId="8">#REF!</definedName>
    <definedName name="A_Chapisco" localSheetId="7">#REF!</definedName>
    <definedName name="A_Chapisco">#REF!</definedName>
    <definedName name="A_Comprimento" localSheetId="8">#REF!</definedName>
    <definedName name="A_Comprimento" localSheetId="7">#REF!</definedName>
    <definedName name="A_Comprimento">#REF!</definedName>
    <definedName name="A_Concreto_A" localSheetId="8">#REF!</definedName>
    <definedName name="A_Concreto_A" localSheetId="7">#REF!</definedName>
    <definedName name="A_Concreto_A">#REF!</definedName>
    <definedName name="A_Concreto_M" localSheetId="8">#REF!</definedName>
    <definedName name="A_Concreto_M" localSheetId="7">#REF!</definedName>
    <definedName name="A_Concreto_M">#REF!</definedName>
    <definedName name="A_Concreto_S" localSheetId="8">#REF!</definedName>
    <definedName name="A_Concreto_S" localSheetId="7">#REF!</definedName>
    <definedName name="A_Concreto_S">#REF!</definedName>
    <definedName name="A_Escavação" localSheetId="8">#REF!</definedName>
    <definedName name="A_Escavação" localSheetId="7">#REF!</definedName>
    <definedName name="A_Escavação">#REF!</definedName>
    <definedName name="A_Espessura" localSheetId="8">#REF!</definedName>
    <definedName name="A_Espessura" localSheetId="7">#REF!</definedName>
    <definedName name="A_Espessura">#REF!</definedName>
    <definedName name="A_km" localSheetId="15">#REF!</definedName>
    <definedName name="A_km" localSheetId="12">'[12]Fresagem de Pista Ago-98'!#REF!</definedName>
    <definedName name="A_km" localSheetId="13">#REF!</definedName>
    <definedName name="A_km" localSheetId="6">#REF!</definedName>
    <definedName name="A_km" localSheetId="11">#REF!</definedName>
    <definedName name="A_km" localSheetId="8">#REF!</definedName>
    <definedName name="A_km" localSheetId="7">#REF!</definedName>
    <definedName name="A_km" localSheetId="0">#REF!</definedName>
    <definedName name="A_km">#REF!</definedName>
    <definedName name="A_Largura" localSheetId="8">#REF!</definedName>
    <definedName name="A_Largura" localSheetId="7">#REF!</definedName>
    <definedName name="A_Largura">#REF!</definedName>
    <definedName name="A_Massa_única" localSheetId="8">#REF!</definedName>
    <definedName name="A_Massa_única" localSheetId="7">#REF!</definedName>
    <definedName name="A_Massa_única">#REF!</definedName>
    <definedName name="A_Pintura" localSheetId="8">#REF!</definedName>
    <definedName name="A_Pintura" localSheetId="7">#REF!</definedName>
    <definedName name="A_Pintura">#REF!</definedName>
    <definedName name="A_Profundidade" localSheetId="8">#REF!</definedName>
    <definedName name="A_Profundidade" localSheetId="7">#REF!</definedName>
    <definedName name="A_Profundidade">#REF!</definedName>
    <definedName name="A_reaterro" localSheetId="8">#REF!</definedName>
    <definedName name="A_reaterro" localSheetId="7">#REF!</definedName>
    <definedName name="A_reaterro">#REF!</definedName>
    <definedName name="A0.333.17" localSheetId="15">#REF!</definedName>
    <definedName name="A0.333.17" localSheetId="12">'[3]F. MEDIÇAO'!#REF!</definedName>
    <definedName name="A0.333.17" localSheetId="13">#REF!</definedName>
    <definedName name="A0.333.17" localSheetId="6">#REF!</definedName>
    <definedName name="A0.333.17" localSheetId="11">#REF!</definedName>
    <definedName name="A0.333.17" localSheetId="8">#REF!</definedName>
    <definedName name="A0.333.17" localSheetId="7">#REF!</definedName>
    <definedName name="A0.333.17" localSheetId="0">#REF!</definedName>
    <definedName name="A0.333.17">#REF!</definedName>
    <definedName name="A0.333.18" localSheetId="15">#REF!</definedName>
    <definedName name="A0.333.18" localSheetId="12">'[3]F. MEDIÇAO'!#REF!</definedName>
    <definedName name="A0.333.18" localSheetId="13">#REF!</definedName>
    <definedName name="A0.333.18" localSheetId="6">#REF!</definedName>
    <definedName name="A0.333.18" localSheetId="11">#REF!</definedName>
    <definedName name="A0.333.18" localSheetId="8">#REF!</definedName>
    <definedName name="A0.333.18" localSheetId="7">#REF!</definedName>
    <definedName name="A0.333.18" localSheetId="0">#REF!</definedName>
    <definedName name="A0.333.18">#REF!</definedName>
    <definedName name="A2.0.353.17" localSheetId="12">'[13]F. MEDIÇAO'!#REF!</definedName>
    <definedName name="A2.0.353.17" localSheetId="13">#REF!</definedName>
    <definedName name="A2.0.353.17" localSheetId="8">#REF!</definedName>
    <definedName name="A2.0.353.17" localSheetId="7">#REF!</definedName>
    <definedName name="A2.0.353.17" localSheetId="0">#REF!</definedName>
    <definedName name="A2.0.353.17">#REF!</definedName>
    <definedName name="A2.0.353.18" localSheetId="12">'[13]F. MEDIÇAO'!#REF!</definedName>
    <definedName name="A2.0.353.18" localSheetId="13">#REF!</definedName>
    <definedName name="A2.0.353.18" localSheetId="8">#REF!</definedName>
    <definedName name="A2.0.353.18" localSheetId="7">#REF!</definedName>
    <definedName name="A2.0.353.18" localSheetId="0">#REF!</definedName>
    <definedName name="A2.0.353.18">#REF!</definedName>
    <definedName name="A2.530.03" localSheetId="15">#REF!</definedName>
    <definedName name="A2.530.03" localSheetId="12">'[3]F. MEDIÇAO'!#REF!</definedName>
    <definedName name="A2.530.03" localSheetId="13">#REF!</definedName>
    <definedName name="A2.530.03" localSheetId="6">#REF!</definedName>
    <definedName name="A2.530.03" localSheetId="11">#REF!</definedName>
    <definedName name="A2.530.03" localSheetId="8">#REF!</definedName>
    <definedName name="A2.530.03" localSheetId="7">#REF!</definedName>
    <definedName name="A2.530.03" localSheetId="0">#REF!</definedName>
    <definedName name="A2.530.03">#REF!</definedName>
    <definedName name="A2.530.04" localSheetId="15">#REF!</definedName>
    <definedName name="A2.530.04" localSheetId="12">'[3]F. MEDIÇAO'!$J$18</definedName>
    <definedName name="A2.530.04" localSheetId="13">#REF!</definedName>
    <definedName name="A2.530.04" localSheetId="6">#REF!</definedName>
    <definedName name="A2.530.04" localSheetId="11">#REF!</definedName>
    <definedName name="A2.530.04" localSheetId="8">#REF!</definedName>
    <definedName name="A2.530.04" localSheetId="7">#REF!</definedName>
    <definedName name="A2.530.04">#REF!</definedName>
    <definedName name="A2.540.01" localSheetId="15">#REF!</definedName>
    <definedName name="A2.540.01" localSheetId="12">'[3]F. MEDIÇAO'!#REF!</definedName>
    <definedName name="A2.540.01" localSheetId="13">#REF!</definedName>
    <definedName name="A2.540.01" localSheetId="6">#REF!</definedName>
    <definedName name="A2.540.01" localSheetId="11">#REF!</definedName>
    <definedName name="A2.540.01" localSheetId="8">#REF!</definedName>
    <definedName name="A2.540.01" localSheetId="7">#REF!</definedName>
    <definedName name="A2.540.01" localSheetId="0">#REF!</definedName>
    <definedName name="A2.540.01">#REF!</definedName>
    <definedName name="A3.329.00" localSheetId="12">'[14]F. MEDIÇAO'!$J$12</definedName>
    <definedName name="A3.329.00" localSheetId="8">#REF!</definedName>
    <definedName name="A3.329.00" localSheetId="7">#REF!</definedName>
    <definedName name="A3.329.00">#REF!</definedName>
    <definedName name="A8.001.00" localSheetId="15">#REF!</definedName>
    <definedName name="A8.001.00" localSheetId="12">'[3]F. MEDIÇAO'!#REF!</definedName>
    <definedName name="A8.001.00" localSheetId="13">#REF!</definedName>
    <definedName name="A8.001.00" localSheetId="6">#REF!</definedName>
    <definedName name="A8.001.00" localSheetId="11">#REF!</definedName>
    <definedName name="A8.001.00" localSheetId="8">#REF!</definedName>
    <definedName name="A8.001.00" localSheetId="7">#REF!</definedName>
    <definedName name="A8.001.00" localSheetId="0">#REF!</definedName>
    <definedName name="A8.001.00">#REF!</definedName>
    <definedName name="A8.100.00" localSheetId="15">#REF!</definedName>
    <definedName name="A8.100.00" localSheetId="12">'[3]F. MEDIÇAO'!$J$35</definedName>
    <definedName name="A8.100.00" localSheetId="13">#REF!</definedName>
    <definedName name="A8.100.00" localSheetId="6">#REF!</definedName>
    <definedName name="A8.100.00" localSheetId="11">#REF!</definedName>
    <definedName name="A8.100.00" localSheetId="8">#REF!</definedName>
    <definedName name="A8.100.00" localSheetId="7">#REF!</definedName>
    <definedName name="A8.100.00">#REF!</definedName>
    <definedName name="A8.100.01" localSheetId="15">#REF!</definedName>
    <definedName name="A8.100.01" localSheetId="12">'[3]F. MEDIÇAO'!#REF!</definedName>
    <definedName name="A8.100.01" localSheetId="13">#REF!</definedName>
    <definedName name="A8.100.01" localSheetId="6">#REF!</definedName>
    <definedName name="A8.100.01" localSheetId="11">#REF!</definedName>
    <definedName name="A8.100.01" localSheetId="8">#REF!</definedName>
    <definedName name="A8.100.01" localSheetId="7">#REF!</definedName>
    <definedName name="A8.100.01" localSheetId="0">#REF!</definedName>
    <definedName name="A8.100.01">#REF!</definedName>
    <definedName name="A8.103.00" localSheetId="12">'[13]F. MEDIÇAO'!#REF!</definedName>
    <definedName name="A8.103.00" localSheetId="13">#REF!</definedName>
    <definedName name="A8.103.00" localSheetId="6">#REF!</definedName>
    <definedName name="A8.103.00" localSheetId="11">#REF!</definedName>
    <definedName name="A8.103.00" localSheetId="8">#REF!</definedName>
    <definedName name="A8.103.00" localSheetId="7">#REF!</definedName>
    <definedName name="A8.103.00" localSheetId="0">#REF!</definedName>
    <definedName name="A8.103.00">#REF!</definedName>
    <definedName name="A8.109.00" localSheetId="15">#REF!</definedName>
    <definedName name="A8.109.00" localSheetId="12">'[3]F. MEDIÇAO'!$J$38</definedName>
    <definedName name="A8.109.00" localSheetId="13">#REF!</definedName>
    <definedName name="A8.109.00" localSheetId="6">#REF!</definedName>
    <definedName name="A8.109.00" localSheetId="11">#REF!</definedName>
    <definedName name="A8.109.00" localSheetId="8">#REF!</definedName>
    <definedName name="A8.109.00" localSheetId="7">#REF!</definedName>
    <definedName name="A8.109.00">#REF!</definedName>
    <definedName name="A8.300.01" localSheetId="15">#REF!</definedName>
    <definedName name="A8.300.01" localSheetId="12">'[3]F. MEDIÇAO'!$J$40</definedName>
    <definedName name="A8.300.01" localSheetId="13">#REF!</definedName>
    <definedName name="A8.300.01" localSheetId="6">#REF!</definedName>
    <definedName name="A8.300.01" localSheetId="11">#REF!</definedName>
    <definedName name="A8.300.01" localSheetId="8">#REF!</definedName>
    <definedName name="A8.300.01" localSheetId="7">#REF!</definedName>
    <definedName name="A8.300.01">#REF!</definedName>
    <definedName name="A8.302.05" localSheetId="15">#REF!</definedName>
    <definedName name="A8.302.05" localSheetId="12">'[3]F. MEDIÇAO'!#REF!</definedName>
    <definedName name="A8.302.05" localSheetId="13">#REF!</definedName>
    <definedName name="A8.302.05" localSheetId="6">#REF!</definedName>
    <definedName name="A8.302.05" localSheetId="11">#REF!</definedName>
    <definedName name="A8.302.05" localSheetId="8">#REF!</definedName>
    <definedName name="A8.302.05" localSheetId="7">#REF!</definedName>
    <definedName name="A8.302.05" localSheetId="0">#REF!</definedName>
    <definedName name="A8.302.05">#REF!</definedName>
    <definedName name="A8.401.00" localSheetId="12">'[13]F. MEDIÇAO'!#REF!</definedName>
    <definedName name="A8.401.00" localSheetId="13">#REF!</definedName>
    <definedName name="A8.401.00" localSheetId="6">#REF!</definedName>
    <definedName name="A8.401.00" localSheetId="11">#REF!</definedName>
    <definedName name="A8.401.00" localSheetId="8">#REF!</definedName>
    <definedName name="A8.401.00" localSheetId="7">#REF!</definedName>
    <definedName name="A8.401.00" localSheetId="0">#REF!</definedName>
    <definedName name="A8.401.00">#REF!</definedName>
    <definedName name="A8.402.02" localSheetId="12">'[13]F. MEDIÇAO'!#REF!</definedName>
    <definedName name="A8.402.02" localSheetId="13">#REF!</definedName>
    <definedName name="A8.402.02" localSheetId="6">#REF!</definedName>
    <definedName name="A8.402.02" localSheetId="8">#REF!</definedName>
    <definedName name="A8.402.02" localSheetId="7">#REF!</definedName>
    <definedName name="A8.402.02" localSheetId="0">#REF!</definedName>
    <definedName name="A8.402.02">#REF!</definedName>
    <definedName name="A8.901.00" localSheetId="15">#REF!</definedName>
    <definedName name="A8.901.00" localSheetId="12">'[3]F. MEDIÇAO'!$J$53</definedName>
    <definedName name="A8.901.00" localSheetId="13">#REF!</definedName>
    <definedName name="A8.901.00" localSheetId="6">#REF!</definedName>
    <definedName name="A8.901.00" localSheetId="11">#REF!</definedName>
    <definedName name="A8.901.00" localSheetId="8">#REF!</definedName>
    <definedName name="A8.901.00" localSheetId="7">#REF!</definedName>
    <definedName name="A8.901.00">#REF!</definedName>
    <definedName name="aa" localSheetId="15">#REF!</definedName>
    <definedName name="aa" localSheetId="4">#REF!</definedName>
    <definedName name="aa" localSheetId="12">[7]Original!#REF!</definedName>
    <definedName name="aa" localSheetId="5">#REF!</definedName>
    <definedName name="aa" localSheetId="13">#REF!</definedName>
    <definedName name="AA" localSheetId="6">DMT!AA</definedName>
    <definedName name="aa" localSheetId="11">#REF!</definedName>
    <definedName name="aa" localSheetId="8">#REF!</definedName>
    <definedName name="aa" localSheetId="7">#REF!</definedName>
    <definedName name="aa" localSheetId="2">#REF!</definedName>
    <definedName name="aa" localSheetId="1">#REF!</definedName>
    <definedName name="aa" localSheetId="0">#REF!</definedName>
    <definedName name="aa">#REF!</definedName>
    <definedName name="aaa" localSheetId="8">#REF!</definedName>
    <definedName name="aaa" localSheetId="7">#REF!</definedName>
    <definedName name="aaa">#REF!</definedName>
    <definedName name="AAAA" localSheetId="15">#REF!</definedName>
    <definedName name="AAAA" localSheetId="4">#REF!</definedName>
    <definedName name="AAAA" localSheetId="12">#REF!</definedName>
    <definedName name="AAAA" localSheetId="5">#REF!</definedName>
    <definedName name="AAAA" localSheetId="13">#REF!</definedName>
    <definedName name="AAAA" localSheetId="6">#REF!</definedName>
    <definedName name="AAAA" localSheetId="11">#REF!</definedName>
    <definedName name="AAAA" localSheetId="8">#REF!</definedName>
    <definedName name="AAAA" localSheetId="7">#REF!</definedName>
    <definedName name="AAAA" localSheetId="0">#REF!</definedName>
    <definedName name="AAAA">#REF!</definedName>
    <definedName name="aaaaaa" localSheetId="8">#REF!</definedName>
    <definedName name="aaaaaa" localSheetId="7">#REF!</definedName>
    <definedName name="aaaaaa">#REF!</definedName>
    <definedName name="AAAAAAAAA" localSheetId="15">'CALÇADA E ACESS.'!AAAAAAAAA</definedName>
    <definedName name="AAAAAAAAA" localSheetId="4">#N/A</definedName>
    <definedName name="AAAAAAAAA" localSheetId="12">COMPLEMENTARES!AAAAAAAAA</definedName>
    <definedName name="AAAAAAAAA" localSheetId="5">#N/A</definedName>
    <definedName name="AAAAAAAAA" localSheetId="13">'DISP. DRENAGEM'!AAAAAAAAA</definedName>
    <definedName name="AAAAAAAAA" localSheetId="6">DMT!AAAAAAAAA</definedName>
    <definedName name="AAAAAAAAA" localSheetId="11">DRENAGEM!AAAAAAAAA</definedName>
    <definedName name="AAAAAAAAA" localSheetId="8">GRELHA!AAAAAAAAA</definedName>
    <definedName name="AAAAAAAAA" localSheetId="7">'MAT BET'!AAAAAAAAA</definedName>
    <definedName name="AAAAAAAAA" localSheetId="2">'ORÇ. SINTÉTICO'!AAAAAAAAA</definedName>
    <definedName name="AAAAAAAAA" localSheetId="14">#N/A</definedName>
    <definedName name="AAAAAAAAA" localSheetId="9">PRELIMINARES!AAAAAAAAA</definedName>
    <definedName name="AAAAAAAAA" localSheetId="1">RESUMO!AAAAAAAAA</definedName>
    <definedName name="AAAAAAAAA" localSheetId="0">'RESUMO DES'!AAAAAAAAA</definedName>
    <definedName name="AAAAAAAAA" localSheetId="16">SINALIZAÇÃO!AAAAAAAAA</definedName>
    <definedName name="AAAAAAAAA">[0]!AAAAAAAAA</definedName>
    <definedName name="ABC" localSheetId="8">#REF!</definedName>
    <definedName name="ABC" localSheetId="7">#REF!</definedName>
    <definedName name="ABC" localSheetId="14" hidden="1">#REF!</definedName>
    <definedName name="ABC" localSheetId="16">#REF!</definedName>
    <definedName name="ABC">#REF!</definedName>
    <definedName name="Ac" localSheetId="8">#REF!</definedName>
    <definedName name="Ac" localSheetId="7">#REF!</definedName>
    <definedName name="Ac">#REF!</definedName>
    <definedName name="AccessDatabase" hidden="1">"C:\Documents and Settings\JPMELLO\Meus documentos\ARQUIVOS 2004\MONITORAMENTO OAC\Monitoramento de OAC.mdb"</definedName>
    <definedName name="AÇO_PESO.ESP" localSheetId="12">#REF!</definedName>
    <definedName name="AÇO_PESO.ESP" localSheetId="8">#REF!</definedName>
    <definedName name="AÇO_PESO.ESP" localSheetId="7">#REF!</definedName>
    <definedName name="AÇO_PESO.ESP" localSheetId="14">#REF!</definedName>
    <definedName name="AÇO_PESO.ESP">#REF!</definedName>
    <definedName name="ACOMPANHAMENTO" localSheetId="12" hidden="1">IF(VALUE(#REF!)=2,"BM","PLE")</definedName>
    <definedName name="ACOMPANHAMENTO" localSheetId="8" hidden="1">IF(VALUE(#REF!)=2,"BM","PLE")</definedName>
    <definedName name="ACOMPANHAMENTO" localSheetId="7" hidden="1">IF(VALUE(#REF!)=2,"BM","PLE")</definedName>
    <definedName name="ACOMPANHAMENTO" localSheetId="14" hidden="1">IF(VALUE(#REF!)=2,"BM","PLE")</definedName>
    <definedName name="ACOMPANHAMENTO" hidden="1">IF(VALUE(#REF!)=2,"BM","PLE")</definedName>
    <definedName name="AD" localSheetId="8">#REF!</definedName>
    <definedName name="AD" localSheetId="7">#REF!</definedName>
    <definedName name="AD">#REF!</definedName>
    <definedName name="ADDDD" localSheetId="8">#REF!</definedName>
    <definedName name="ADDDD" localSheetId="7">#REF!</definedName>
    <definedName name="ADDDD">#REF!</definedName>
    <definedName name="adf" localSheetId="8">#REF!</definedName>
    <definedName name="adf" localSheetId="7">#REF!</definedName>
    <definedName name="adf">#REF!</definedName>
    <definedName name="adfhdfhsd" localSheetId="15">#REF!</definedName>
    <definedName name="adfhdfhsd" localSheetId="4">#REF!</definedName>
    <definedName name="adfhdfhsd" localSheetId="12">[1]SID_NI_5!#REF!</definedName>
    <definedName name="adfhdfhsd" localSheetId="5">#REF!</definedName>
    <definedName name="adfhdfhsd" localSheetId="13">#REF!</definedName>
    <definedName name="adfhdfhsd" localSheetId="6">#REF!</definedName>
    <definedName name="adfhdfhsd" localSheetId="11">#REF!</definedName>
    <definedName name="adfhdfhsd" localSheetId="8">#REF!</definedName>
    <definedName name="adfhdfhsd" localSheetId="7">#REF!</definedName>
    <definedName name="adfhdfhsd" localSheetId="2">#REF!</definedName>
    <definedName name="adfhdfhsd" localSheetId="1">#REF!</definedName>
    <definedName name="adfhdfhsd" localSheetId="0">#REF!</definedName>
    <definedName name="adfhdfhsd">#REF!</definedName>
    <definedName name="ADPL" localSheetId="8">#REF!</definedName>
    <definedName name="ADPL" localSheetId="7">#REF!</definedName>
    <definedName name="ADPL">#REF!</definedName>
    <definedName name="ADS" localSheetId="8">#REF!</definedName>
    <definedName name="ADS" localSheetId="7">#REF!</definedName>
    <definedName name="ADS">#REF!</definedName>
    <definedName name="AFSDF" localSheetId="8">#REF!</definedName>
    <definedName name="AFSDF" localSheetId="7">#REF!</definedName>
    <definedName name="AFSDF">#REF!</definedName>
    <definedName name="AFSF" localSheetId="8">#REF!</definedName>
    <definedName name="AFSF" localSheetId="7">#REF!</definedName>
    <definedName name="AFSF">#REF!</definedName>
    <definedName name="AGERGADO0" localSheetId="8">#REF!</definedName>
    <definedName name="AGERGADO0" localSheetId="7">#REF!</definedName>
    <definedName name="AGERGADO0">#REF!</definedName>
    <definedName name="AGREGADO">#REF!</definedName>
    <definedName name="AGREGADOS" localSheetId="8">#REF!</definedName>
    <definedName name="AGREGADOS" localSheetId="7">#REF!</definedName>
    <definedName name="AGREGADOS">#REF!</definedName>
    <definedName name="AGSD" localSheetId="8">#REF!</definedName>
    <definedName name="AGSD" localSheetId="7">#REF!</definedName>
    <definedName name="AGSD">#REF!</definedName>
    <definedName name="AGSDG" localSheetId="8">#REF!</definedName>
    <definedName name="AGSDG" localSheetId="7">#REF!</definedName>
    <definedName name="AGSDG">#REF!</definedName>
    <definedName name="AKSDGL" localSheetId="8">#REF!</definedName>
    <definedName name="AKSDGL" localSheetId="7">#REF!</definedName>
    <definedName name="AKSDGL">#REF!</definedName>
    <definedName name="Alex" localSheetId="8">#REF!</definedName>
    <definedName name="Alex" localSheetId="7">#REF!</definedName>
    <definedName name="Alex">#REF!</definedName>
    <definedName name="ALTA" localSheetId="15">#REF!</definedName>
    <definedName name="ALTA" localSheetId="12">'[15]PRO-08'!#REF!</definedName>
    <definedName name="ALTA" localSheetId="13">#REF!</definedName>
    <definedName name="ALTA" localSheetId="11">#REF!</definedName>
    <definedName name="ALTA" localSheetId="8">#REF!</definedName>
    <definedName name="ALTA" localSheetId="7">#REF!</definedName>
    <definedName name="ALTA" localSheetId="0">#REF!</definedName>
    <definedName name="ALTA">#REF!</definedName>
    <definedName name="alvenaria_1" localSheetId="8">#REF!</definedName>
    <definedName name="alvenaria_1" localSheetId="7">#REF!</definedName>
    <definedName name="alvenaria_1">#REF!</definedName>
    <definedName name="alvenaria_1_1_2" localSheetId="8">#REF!</definedName>
    <definedName name="alvenaria_1_1_2" localSheetId="7">#REF!</definedName>
    <definedName name="alvenaria_1_1_2">#REF!</definedName>
    <definedName name="alvenaria_1_2" localSheetId="8">#REF!</definedName>
    <definedName name="alvenaria_1_2" localSheetId="7">#REF!</definedName>
    <definedName name="alvenaria_1_2">#REF!</definedName>
    <definedName name="amarela" localSheetId="15">#REF!</definedName>
    <definedName name="amarela" localSheetId="4">#REF!</definedName>
    <definedName name="amarela" localSheetId="12">#REF!</definedName>
    <definedName name="amarela" localSheetId="5">#REF!</definedName>
    <definedName name="amarela" localSheetId="13">#REF!</definedName>
    <definedName name="amarela" localSheetId="11">#REF!</definedName>
    <definedName name="amarela" localSheetId="8">#REF!</definedName>
    <definedName name="amarela" localSheetId="7">#REF!</definedName>
    <definedName name="amarela" localSheetId="0">#REF!</definedName>
    <definedName name="amarela">#REF!</definedName>
    <definedName name="ANA">#REF!</definedName>
    <definedName name="ANDRE" localSheetId="8">#REF!</definedName>
    <definedName name="ANDRE" localSheetId="7">#REF!</definedName>
    <definedName name="ANDRE">#REF!</definedName>
    <definedName name="anel" localSheetId="8">#REF!</definedName>
    <definedName name="anel" localSheetId="7">#REF!</definedName>
    <definedName name="anel">#REF!</definedName>
    <definedName name="anscount" hidden="1">1</definedName>
    <definedName name="AQCAP" localSheetId="15">#REF!</definedName>
    <definedName name="AQCAP" localSheetId="12">[16]AQ_CAP!$H$65</definedName>
    <definedName name="AQCAP" localSheetId="13">#REF!</definedName>
    <definedName name="AQCAP" localSheetId="11">#REF!</definedName>
    <definedName name="AQCAP" localSheetId="8">#REF!</definedName>
    <definedName name="AQCAP" localSheetId="7">#REF!</definedName>
    <definedName name="AQCAP">#REF!</definedName>
    <definedName name="AQCM30" localSheetId="15">#REF!</definedName>
    <definedName name="AQCM30" localSheetId="12">[16]AQ_CM30!$H$65</definedName>
    <definedName name="AQCM30" localSheetId="13">#REF!</definedName>
    <definedName name="AQCM30" localSheetId="11">#REF!</definedName>
    <definedName name="AQCM30" localSheetId="8">#REF!</definedName>
    <definedName name="AQCM30" localSheetId="7">#REF!</definedName>
    <definedName name="AQCM30">#REF!</definedName>
    <definedName name="AQRC1C" localSheetId="15">#REF!</definedName>
    <definedName name="AQRC1C" localSheetId="12">[16]AQ_RC1C!$H$65</definedName>
    <definedName name="AQRC1C" localSheetId="13">#REF!</definedName>
    <definedName name="AQRC1C" localSheetId="11">#REF!</definedName>
    <definedName name="AQRC1C" localSheetId="8">#REF!</definedName>
    <definedName name="AQRC1C" localSheetId="7">#REF!</definedName>
    <definedName name="AQRC1C">#REF!</definedName>
    <definedName name="AQRR1C" localSheetId="15">#REF!</definedName>
    <definedName name="AQRR1C" localSheetId="12">[16]AQ_RR1C!$H$65</definedName>
    <definedName name="AQRR1C" localSheetId="13">#REF!</definedName>
    <definedName name="AQRR1C" localSheetId="11">#REF!</definedName>
    <definedName name="AQRR1C" localSheetId="8">#REF!</definedName>
    <definedName name="AQRR1C" localSheetId="7">#REF!</definedName>
    <definedName name="AQRR1C">#REF!</definedName>
    <definedName name="AQRR2C" localSheetId="15">#REF!</definedName>
    <definedName name="AQRR2C" localSheetId="12">[16]AQ_RR2C!$H$65</definedName>
    <definedName name="AQRR2C" localSheetId="13">#REF!</definedName>
    <definedName name="AQRR2C" localSheetId="11">#REF!</definedName>
    <definedName name="AQRR2C" localSheetId="8">#REF!</definedName>
    <definedName name="AQRR2C" localSheetId="7">#REF!</definedName>
    <definedName name="AQRR2C">#REF!</definedName>
    <definedName name="ÀREA" localSheetId="15">#REF!</definedName>
    <definedName name="ÀREA" localSheetId="12">'[12]Fresagem de Pista Ago-98'!#REF!</definedName>
    <definedName name="ÀREA" localSheetId="13">#REF!</definedName>
    <definedName name="ÀREA" localSheetId="6">#REF!</definedName>
    <definedName name="ÀREA" localSheetId="11">#REF!</definedName>
    <definedName name="ÀREA" localSheetId="8">#REF!</definedName>
    <definedName name="ÀREA" localSheetId="7">#REF!</definedName>
    <definedName name="ÀREA" localSheetId="0">#REF!</definedName>
    <definedName name="ÀREA">#REF!</definedName>
    <definedName name="ÀREA_ACUM" localSheetId="15">#REF!</definedName>
    <definedName name="ÀREA_ACUM" localSheetId="12">'[12]Fresagem de Pista Ago-98'!#REF!</definedName>
    <definedName name="ÀREA_ACUM" localSheetId="13">#REF!</definedName>
    <definedName name="ÀREA_ACUM" localSheetId="6">#REF!</definedName>
    <definedName name="ÀREA_ACUM" localSheetId="11">#REF!</definedName>
    <definedName name="ÀREA_ACUM" localSheetId="8">#REF!</definedName>
    <definedName name="ÀREA_ACUM" localSheetId="7">#REF!</definedName>
    <definedName name="ÀREA_ACUM" localSheetId="0">#REF!</definedName>
    <definedName name="ÀREA_ACUM">#REF!</definedName>
    <definedName name="_xlnm.Extract" localSheetId="12">#REF!</definedName>
    <definedName name="_xlnm.Extract" localSheetId="8">#REF!</definedName>
    <definedName name="_xlnm.Extract">#REF!</definedName>
    <definedName name="_xlnm.Print_Area" localSheetId="15">'CALÇADA E ACESS.'!$B$2:$AI$39</definedName>
    <definedName name="_xlnm.Print_Area" localSheetId="4">CFF!$B$2:$L$21</definedName>
    <definedName name="_xlnm.Print_Area" localSheetId="12">COMPLEMENTARES!$B$1:$F$23</definedName>
    <definedName name="_xlnm.Print_Area" localSheetId="5">CPU!$B$3:$K$317</definedName>
    <definedName name="_xlnm.Print_Area" localSheetId="10">'DEMOLIÇÕES E RETIRADAS'!$F$1:$P$16</definedName>
    <definedName name="_xlnm.Print_Area" localSheetId="13">'DISP. DRENAGEM'!$B$2:$L$42</definedName>
    <definedName name="_xlnm.Print_Area" localSheetId="6">DMT!$B$2:$F$13</definedName>
    <definedName name="_xlnm.Print_Area" localSheetId="11">DRENAGEM!$B$10:$AS$28</definedName>
    <definedName name="_xlnm.Print_Area" localSheetId="8">GRELHA!$A$1:$L$35</definedName>
    <definedName name="_xlnm.Print_Area" localSheetId="7">'MAT BET'!$A$1:$N$39</definedName>
    <definedName name="_xlnm.Print_Area" localSheetId="2">'ORÇ. SINTÉTICO'!$B$3:$U$136</definedName>
    <definedName name="_xlnm.Print_Area" localSheetId="3">'Orçamento Analítico'!$B$1:$M$1211</definedName>
    <definedName name="_xlnm.Print_Area" localSheetId="14">PAVIMENTAÇÃO!$B$1:$AK$29</definedName>
    <definedName name="_xlnm.Print_Area" localSheetId="9">PRELIMINARES!$A$1:$H$23</definedName>
    <definedName name="_xlnm.Print_Area" localSheetId="1">RESUMO!$B$2:$J$16</definedName>
    <definedName name="_xlnm.Print_Area" localSheetId="0">'RESUMO DES'!$B$2:$J$15</definedName>
    <definedName name="_xlnm.Print_Area" localSheetId="16">SINALIZAÇÃO!$B$2:$H$25</definedName>
    <definedName name="Área_impressão_IM" localSheetId="15">#REF!</definedName>
    <definedName name="Área_impressão_IM" localSheetId="4">#REF!</definedName>
    <definedName name="Área_impressão_IM" localSheetId="12">#REF!</definedName>
    <definedName name="Área_impressão_IM" localSheetId="5">#REF!</definedName>
    <definedName name="Área_impressão_IM" localSheetId="13">#REF!</definedName>
    <definedName name="Área_impressão_IM" localSheetId="6">#REF!</definedName>
    <definedName name="Área_impressão_IM" localSheetId="11">#REF!</definedName>
    <definedName name="Área_impressão_IM" localSheetId="8">#REF!</definedName>
    <definedName name="Área_impressão_IM" localSheetId="7">#REF!</definedName>
    <definedName name="Área_impressão_IM" localSheetId="0">#REF!</definedName>
    <definedName name="Área_impressão_IM">#REF!</definedName>
    <definedName name="AREAL" localSheetId="15">#REF!</definedName>
    <definedName name="AREAL" localSheetId="12">'[17]Vínculo (2)'!$Y$10</definedName>
    <definedName name="AREAL" localSheetId="13">#REF!</definedName>
    <definedName name="AREAL" localSheetId="11">#REF!</definedName>
    <definedName name="AREAL" localSheetId="8">#REF!</definedName>
    <definedName name="AREAL" localSheetId="7">#REF!</definedName>
    <definedName name="AREAL">#REF!</definedName>
    <definedName name="AREIA" localSheetId="15">#REF!</definedName>
    <definedName name="AREIA" localSheetId="4">#REF!</definedName>
    <definedName name="AREIA" localSheetId="12">#REF!</definedName>
    <definedName name="AREIA" localSheetId="5">#REF!</definedName>
    <definedName name="AREIA" localSheetId="13">#REF!</definedName>
    <definedName name="AREIA" localSheetId="6">#REF!</definedName>
    <definedName name="AREIA" localSheetId="11">#REF!</definedName>
    <definedName name="AREIA" localSheetId="8">#REF!</definedName>
    <definedName name="AREIA" localSheetId="7">#REF!</definedName>
    <definedName name="AREIA" localSheetId="0">#REF!</definedName>
    <definedName name="AREIA">#REF!</definedName>
    <definedName name="ARMADURA" localSheetId="12">[11]Serviços!$G$18</definedName>
    <definedName name="ARMADURA" localSheetId="8">#REF!</definedName>
    <definedName name="ARMADURA" localSheetId="7">#REF!</definedName>
    <definedName name="ARMADURA">#REF!</definedName>
    <definedName name="ARRUMADA" localSheetId="12">[11]Serviços!$G$22</definedName>
    <definedName name="ARRUMADA" localSheetId="8">#REF!</definedName>
    <definedName name="ARRUMADA" localSheetId="7">#REF!</definedName>
    <definedName name="ARRUMADA">#REF!</definedName>
    <definedName name="as" localSheetId="15">#REF!</definedName>
    <definedName name="as" localSheetId="4">#REF!</definedName>
    <definedName name="as" localSheetId="12">#REF!</definedName>
    <definedName name="as" localSheetId="5">#REF!</definedName>
    <definedName name="as" localSheetId="13">#REF!</definedName>
    <definedName name="as" localSheetId="6">#REF!</definedName>
    <definedName name="as" localSheetId="11">#REF!</definedName>
    <definedName name="as" localSheetId="8">#REF!</definedName>
    <definedName name="as" localSheetId="7">#REF!</definedName>
    <definedName name="as" localSheetId="0">#REF!</definedName>
    <definedName name="as">#REF!</definedName>
    <definedName name="ASA" localSheetId="8">#REF!</definedName>
    <definedName name="ASA" localSheetId="7">#REF!</definedName>
    <definedName name="ASA">#REF!</definedName>
    <definedName name="ASCAS" localSheetId="8">#REF!</definedName>
    <definedName name="ASCAS" localSheetId="7">#REF!</definedName>
    <definedName name="ASCAS">#REF!</definedName>
    <definedName name="asd" localSheetId="8">#REF!</definedName>
    <definedName name="asd" localSheetId="7">#REF!</definedName>
    <definedName name="asd">#REF!</definedName>
    <definedName name="asdf" localSheetId="8">#REF!</definedName>
    <definedName name="asdf" localSheetId="7">#REF!</definedName>
    <definedName name="asdf">#REF!</definedName>
    <definedName name="asdfas" localSheetId="8">#REF!</definedName>
    <definedName name="asdfas" localSheetId="7">#REF!</definedName>
    <definedName name="asdfas">#REF!</definedName>
    <definedName name="ASDFF" localSheetId="8">#REF!</definedName>
    <definedName name="ASDFF" localSheetId="7">#REF!</definedName>
    <definedName name="ASDFF">#REF!</definedName>
    <definedName name="asfasgas" localSheetId="15">#REF!</definedName>
    <definedName name="asfasgas" localSheetId="4">#REF!</definedName>
    <definedName name="asfasgas" localSheetId="12">#REF!</definedName>
    <definedName name="asfasgas" localSheetId="5">#REF!</definedName>
    <definedName name="asfasgas" localSheetId="13">#REF!</definedName>
    <definedName name="asfasgas" localSheetId="8">#REF!</definedName>
    <definedName name="asfasgas" localSheetId="7">#REF!</definedName>
    <definedName name="asfasgas" localSheetId="0">#REF!</definedName>
    <definedName name="asfasgas">#REF!</definedName>
    <definedName name="ASFDG" localSheetId="8">#REF!</definedName>
    <definedName name="ASFDG" localSheetId="7">#REF!</definedName>
    <definedName name="ASFDG">#REF!</definedName>
    <definedName name="ASFDGD" localSheetId="8">#REF!</definedName>
    <definedName name="ASFDGD" localSheetId="7">#REF!</definedName>
    <definedName name="ASFDGD">#REF!</definedName>
    <definedName name="ASFVASV" localSheetId="8">#REF!</definedName>
    <definedName name="ASFVASV" localSheetId="7">#REF!</definedName>
    <definedName name="ASFVASV">#REF!</definedName>
    <definedName name="ASG" localSheetId="8">#REF!</definedName>
    <definedName name="ASG" localSheetId="7">#REF!</definedName>
    <definedName name="ASG">#REF!</definedName>
    <definedName name="ASGD" localSheetId="8">#REF!</definedName>
    <definedName name="ASGD" localSheetId="7">#REF!</definedName>
    <definedName name="ASGD">#REF!</definedName>
    <definedName name="ASGDF" localSheetId="8">#REF!</definedName>
    <definedName name="ASGDF" localSheetId="7">#REF!</definedName>
    <definedName name="ASGDF">#REF!</definedName>
    <definedName name="ASVDVFA" localSheetId="8">#REF!</definedName>
    <definedName name="ASVDVFA" localSheetId="7">#REF!</definedName>
    <definedName name="ASVDVFA">#REF!</definedName>
    <definedName name="ATENÇÃO" localSheetId="15" hidden="1">{#N/A,#N/A,FALSE,"MO (2)"}</definedName>
    <definedName name="ATENÇÃO" localSheetId="12" hidden="1">{#N/A,#N/A,FALSE,"MO (2)"}</definedName>
    <definedName name="ATENÇÃO" localSheetId="8" hidden="1">{#N/A,#N/A,FALSE,"MO (2)"}</definedName>
    <definedName name="ATENÇÃO" localSheetId="14" hidden="1">{#N/A,#N/A,FALSE,"MO (2)"}</definedName>
    <definedName name="ATENÇÃO" localSheetId="16" hidden="1">{#N/A,#N/A,FALSE,"MO (2)"}</definedName>
    <definedName name="ATENÇÃO" hidden="1">{#N/A,#N/A,FALSE,"MO (2)"}</definedName>
    <definedName name="Aut_original" localSheetId="15">#REF!</definedName>
    <definedName name="Aut_original" localSheetId="4">#REF!</definedName>
    <definedName name="Aut_original" localSheetId="12">[18]PROJETO!#REF!</definedName>
    <definedName name="Aut_original" localSheetId="5">#REF!</definedName>
    <definedName name="Aut_original" localSheetId="13">#REF!</definedName>
    <definedName name="Aut_original" localSheetId="11">#REF!</definedName>
    <definedName name="Aut_original" localSheetId="8">#REF!</definedName>
    <definedName name="Aut_original" localSheetId="7">#REF!</definedName>
    <definedName name="Aut_original" localSheetId="2">#REF!</definedName>
    <definedName name="Aut_original" localSheetId="1">#REF!</definedName>
    <definedName name="Aut_original" localSheetId="0">#REF!</definedName>
    <definedName name="Aut_original">#REF!</definedName>
    <definedName name="Aut_resumo" localSheetId="12">[19]RESUMO_AUT1!#REF!</definedName>
    <definedName name="Aut_resumo" localSheetId="13">#REF!</definedName>
    <definedName name="Aut_resumo" localSheetId="11">#REF!</definedName>
    <definedName name="Aut_resumo" localSheetId="8">#REF!</definedName>
    <definedName name="Aut_resumo" localSheetId="7">#REF!</definedName>
    <definedName name="Aut_resumo" localSheetId="0">#REF!</definedName>
    <definedName name="Aut_resumo">#REF!</definedName>
    <definedName name="aux" localSheetId="8">#REF!</definedName>
    <definedName name="aux" localSheetId="7">#REF!</definedName>
    <definedName name="aux">#REF!</definedName>
    <definedName name="avenida" localSheetId="8">#REF!</definedName>
    <definedName name="avenida" localSheetId="7">#REF!</definedName>
    <definedName name="avenida">#REF!</definedName>
    <definedName name="azul" localSheetId="15">#REF!</definedName>
    <definedName name="azul" localSheetId="4">#REF!</definedName>
    <definedName name="azul" localSheetId="12">#REF!</definedName>
    <definedName name="azul" localSheetId="5">#REF!</definedName>
    <definedName name="azul" localSheetId="13">#REF!</definedName>
    <definedName name="azul" localSheetId="11">#REF!</definedName>
    <definedName name="azul" localSheetId="8">#REF!</definedName>
    <definedName name="azul" localSheetId="7">#REF!</definedName>
    <definedName name="azul" localSheetId="0">#REF!</definedName>
    <definedName name="azul">#REF!</definedName>
    <definedName name="AZULSINAL" localSheetId="15">#REF!</definedName>
    <definedName name="AZULSINAL" localSheetId="4">#REF!</definedName>
    <definedName name="AZULSINAL" localSheetId="12">#REF!</definedName>
    <definedName name="AZULSINAL" localSheetId="5">#REF!</definedName>
    <definedName name="AZULSINAL" localSheetId="13">#REF!</definedName>
    <definedName name="AZULSINAL" localSheetId="8">#REF!</definedName>
    <definedName name="AZULSINAL" localSheetId="7">#REF!</definedName>
    <definedName name="AZULSINAL" localSheetId="0">#REF!</definedName>
    <definedName name="AZULSINAL">#REF!</definedName>
    <definedName name="B" localSheetId="15" hidden="1">{#N/A,#N/A,FALSE,"MO (2)"}</definedName>
    <definedName name="B" localSheetId="12" hidden="1">{#N/A,#N/A,FALSE,"MO (2)"}</definedName>
    <definedName name="B" localSheetId="8" hidden="1">{#N/A,#N/A,FALSE,"MO (2)"}</definedName>
    <definedName name="B" localSheetId="14" hidden="1">{#N/A,#N/A,FALSE,"MO (2)"}</definedName>
    <definedName name="B" localSheetId="16" hidden="1">{#N/A,#N/A,FALSE,"MO (2)"}</definedName>
    <definedName name="B" hidden="1">{#N/A,#N/A,FALSE,"MO (2)"}</definedName>
    <definedName name="BACIA_3" localSheetId="8">#REF!</definedName>
    <definedName name="BACIA_3" localSheetId="7">#REF!</definedName>
    <definedName name="BACIA_3" localSheetId="14">#REF!</definedName>
    <definedName name="BACIA_3">#REF!</definedName>
    <definedName name="bacia15" localSheetId="8">#REF!</definedName>
    <definedName name="bacia15" localSheetId="7">#REF!</definedName>
    <definedName name="bacia15">#REF!</definedName>
    <definedName name="bacia16" localSheetId="8">#REF!</definedName>
    <definedName name="bacia16" localSheetId="7">#REF!</definedName>
    <definedName name="bacia16">#REF!</definedName>
    <definedName name="BACIA160" localSheetId="8">#REF!</definedName>
    <definedName name="BACIA160" localSheetId="7">#REF!</definedName>
    <definedName name="BACIA160">#REF!</definedName>
    <definedName name="BACIA17" localSheetId="8">#REF!</definedName>
    <definedName name="BACIA17" localSheetId="7">#REF!</definedName>
    <definedName name="BACIA17">#REF!</definedName>
    <definedName name="BAIANO" localSheetId="8">#REF!</definedName>
    <definedName name="BAIANO" localSheetId="7">#REF!</definedName>
    <definedName name="BAIANO">#REF!</definedName>
    <definedName name="Banco_dados_IM" localSheetId="8">#REF!</definedName>
    <definedName name="Banco_dados_IM" localSheetId="7">#REF!</definedName>
    <definedName name="Banco_dados_IM">#REF!</definedName>
    <definedName name="Banco_dados_IM2" localSheetId="8">#REF!</definedName>
    <definedName name="Banco_dados_IM2" localSheetId="7">#REF!</definedName>
    <definedName name="Banco_dados_IM2">#REF!</definedName>
    <definedName name="_xlnm.Database" localSheetId="15">#REF!</definedName>
    <definedName name="_xlnm.Database" localSheetId="4">#REF!</definedName>
    <definedName name="_xlnm.Database" localSheetId="12">#REF!</definedName>
    <definedName name="_xlnm.Database" localSheetId="5">#REF!</definedName>
    <definedName name="_xlnm.Database" localSheetId="13">#REF!</definedName>
    <definedName name="_xlnm.Database" localSheetId="6">#REF!</definedName>
    <definedName name="_xlnm.Database" localSheetId="8">#REF!</definedName>
    <definedName name="_xlnm.Database" localSheetId="7">#REF!</definedName>
    <definedName name="_xlnm.Database" localSheetId="0">#REF!</definedName>
    <definedName name="_xlnm.Database">#REF!</definedName>
    <definedName name="BB" localSheetId="15">#REF!</definedName>
    <definedName name="BB" localSheetId="4">#REF!</definedName>
    <definedName name="BB" localSheetId="5">#REF!</definedName>
    <definedName name="BB" localSheetId="13">#REF!</definedName>
    <definedName name="BB" localSheetId="6">#REF!</definedName>
    <definedName name="BB" localSheetId="8">#REF!</definedName>
    <definedName name="BB" localSheetId="7">#REF!</definedName>
    <definedName name="BB" localSheetId="0">#REF!</definedName>
    <definedName name="BB">#REF!</definedName>
    <definedName name="BD" localSheetId="8">#REF!</definedName>
    <definedName name="BD" localSheetId="7">#REF!</definedName>
    <definedName name="BD">#REF!</definedName>
    <definedName name="bdgfsb" localSheetId="8">#REF!</definedName>
    <definedName name="bdgfsb" localSheetId="7">#REF!</definedName>
    <definedName name="bdgfsb">#REF!</definedName>
    <definedName name="BDI" localSheetId="15">#REF!</definedName>
    <definedName name="BDI" localSheetId="12">[20]INVENTÁRIO!$B$3</definedName>
    <definedName name="BDI" localSheetId="13">#REF!</definedName>
    <definedName name="BDI" localSheetId="6">#REF!</definedName>
    <definedName name="BDI" localSheetId="11">#REF!</definedName>
    <definedName name="BDI" localSheetId="8">#REF!</definedName>
    <definedName name="BDI" localSheetId="7">#REF!</definedName>
    <definedName name="BDI">#REF!</definedName>
    <definedName name="BDI_7">#N/A</definedName>
    <definedName name="BDI_8">#N/A</definedName>
    <definedName name="BDIc" localSheetId="8">#REF!</definedName>
    <definedName name="BDIc" localSheetId="7">#REF!</definedName>
    <definedName name="BDIc" localSheetId="14">#REF!</definedName>
    <definedName name="BDIc">#REF!</definedName>
    <definedName name="BDIf" localSheetId="8">#REF!</definedName>
    <definedName name="BDIf" localSheetId="7">#REF!</definedName>
    <definedName name="BDIf">#REF!</definedName>
    <definedName name="BG" localSheetId="15">#REF!</definedName>
    <definedName name="BG" localSheetId="4">#REF!</definedName>
    <definedName name="BG" localSheetId="12">#REF!</definedName>
    <definedName name="BG" localSheetId="5">#REF!</definedName>
    <definedName name="BG" localSheetId="13">#REF!</definedName>
    <definedName name="BG" localSheetId="11">#REF!</definedName>
    <definedName name="BG" localSheetId="8">#REF!</definedName>
    <definedName name="BG" localSheetId="7">#REF!</definedName>
    <definedName name="BG" localSheetId="2">#REF!</definedName>
    <definedName name="BG" localSheetId="1">#REF!</definedName>
    <definedName name="BG" localSheetId="0">#REF!</definedName>
    <definedName name="BG">#REF!</definedName>
    <definedName name="BGU" localSheetId="15">#REF!</definedName>
    <definedName name="BGU" localSheetId="4">#REF!</definedName>
    <definedName name="BGU" localSheetId="12">#REF!</definedName>
    <definedName name="BGU" localSheetId="5">#REF!</definedName>
    <definedName name="BGU" localSheetId="13">#REF!</definedName>
    <definedName name="BGU" localSheetId="8">#REF!</definedName>
    <definedName name="BGU" localSheetId="7">#REF!</definedName>
    <definedName name="BGU" localSheetId="0">#REF!</definedName>
    <definedName name="BGU">#REF!</definedName>
    <definedName name="Bloco" localSheetId="15" hidden="1">#REF!</definedName>
    <definedName name="Bloco" localSheetId="4" hidden="1">#REF!</definedName>
    <definedName name="Bloco" localSheetId="12" hidden="1">#REF!</definedName>
    <definedName name="Bloco" localSheetId="5" hidden="1">#REF!</definedName>
    <definedName name="Bloco" localSheetId="13" hidden="1">#REF!</definedName>
    <definedName name="Bloco" localSheetId="8" hidden="1">#REF!</definedName>
    <definedName name="Bloco" localSheetId="7" hidden="1">#REF!</definedName>
    <definedName name="Bloco" localSheetId="0" hidden="1">#REF!</definedName>
    <definedName name="Bloco" localSheetId="16" hidden="1">#REF!</definedName>
    <definedName name="Bloco" hidden="1">#REF!</definedName>
    <definedName name="Bloco2" localSheetId="15" hidden="1">#REF!</definedName>
    <definedName name="Bloco2" localSheetId="4" hidden="1">#REF!</definedName>
    <definedName name="Bloco2" localSheetId="5" hidden="1">#REF!</definedName>
    <definedName name="Bloco2" localSheetId="13" hidden="1">#REF!</definedName>
    <definedName name="Bloco2" localSheetId="8" hidden="1">#REF!</definedName>
    <definedName name="Bloco2" localSheetId="7" hidden="1">#REF!</definedName>
    <definedName name="Bloco2" localSheetId="0" hidden="1">#REF!</definedName>
    <definedName name="Bloco2" hidden="1">#REF!</definedName>
    <definedName name="BOLETIM" localSheetId="15">#REF!</definedName>
    <definedName name="BOLETIM" localSheetId="4">#REF!</definedName>
    <definedName name="BOLETIM" localSheetId="5">#REF!</definedName>
    <definedName name="BOLETIM" localSheetId="13">#REF!</definedName>
    <definedName name="BOLETIM" localSheetId="6">#REF!</definedName>
    <definedName name="BOLETIM" localSheetId="8">#REF!</definedName>
    <definedName name="BOLETIM" localSheetId="7">#REF!</definedName>
    <definedName name="BOLETIM" localSheetId="0">#REF!</definedName>
    <definedName name="BOLETIM">#REF!</definedName>
    <definedName name="BR" localSheetId="12">[9]INDICES!$C$126</definedName>
    <definedName name="BR" localSheetId="8">#REF!</definedName>
    <definedName name="BR" localSheetId="7">#REF!</definedName>
    <definedName name="BR">#REF!</definedName>
    <definedName name="BRITA" localSheetId="15">#REF!</definedName>
    <definedName name="BRITA" localSheetId="4">#REF!</definedName>
    <definedName name="BRITA" localSheetId="12">#REF!</definedName>
    <definedName name="BRITA" localSheetId="5">#REF!</definedName>
    <definedName name="BRITA" localSheetId="13">#REF!</definedName>
    <definedName name="BRITA" localSheetId="6">#REF!</definedName>
    <definedName name="BRITA" localSheetId="11">#REF!</definedName>
    <definedName name="BRITA" localSheetId="8">#REF!</definedName>
    <definedName name="BRITA" localSheetId="7">#REF!</definedName>
    <definedName name="BRITA" localSheetId="0">#REF!</definedName>
    <definedName name="BRITA">#REF!</definedName>
    <definedName name="BRITAREM" localSheetId="12">[11]Serviços!$G$12</definedName>
    <definedName name="BRITAREM" localSheetId="8">#REF!</definedName>
    <definedName name="BRITAREM" localSheetId="7">#REF!</definedName>
    <definedName name="BRITAREM">#REF!</definedName>
    <definedName name="bruno" localSheetId="8">#REF!</definedName>
    <definedName name="bruno" localSheetId="7">#REF!</definedName>
    <definedName name="bruno">#REF!</definedName>
    <definedName name="BSCC" localSheetId="15">#REF!</definedName>
    <definedName name="BSCC" localSheetId="12">'[3]F. MEDIÇAO'!#REF!</definedName>
    <definedName name="BSCC" localSheetId="13">#REF!</definedName>
    <definedName name="BSCC" localSheetId="6">#REF!</definedName>
    <definedName name="BSCC" localSheetId="11">#REF!</definedName>
    <definedName name="BSCC" localSheetId="8">#REF!</definedName>
    <definedName name="BSCC" localSheetId="7">#REF!</definedName>
    <definedName name="BSCC" localSheetId="0">#REF!</definedName>
    <definedName name="BSCC">#REF!</definedName>
    <definedName name="bsdbsd" localSheetId="8">#REF!</definedName>
    <definedName name="bsdbsd" localSheetId="7">#REF!</definedName>
    <definedName name="bsdbsd">#REF!</definedName>
    <definedName name="bsdbsgfdzb" localSheetId="8">#REF!</definedName>
    <definedName name="bsdbsgfdzb" localSheetId="7">#REF!</definedName>
    <definedName name="bsdbsgfdzb">#REF!</definedName>
    <definedName name="bsgfdbsgfdb" localSheetId="8">#REF!</definedName>
    <definedName name="bsgfdbsgfdb" localSheetId="7">#REF!</definedName>
    <definedName name="bsgfdbsgfdb">#REF!</definedName>
    <definedName name="BuiltIn_Print_Area___0" localSheetId="8">#REF!</definedName>
    <definedName name="BuiltIn_Print_Area___0" localSheetId="7">#REF!</definedName>
    <definedName name="BuiltIn_Print_Area___0">#REF!</definedName>
    <definedName name="BuiltIn_Print_Area___0___0" localSheetId="8">#REF!</definedName>
    <definedName name="BuiltIn_Print_Area___0___0" localSheetId="7">#REF!</definedName>
    <definedName name="BuiltIn_Print_Area___0___0">#REF!</definedName>
    <definedName name="BuiltIn_Print_Area___0___0___0___0" localSheetId="8">#REF!</definedName>
    <definedName name="BuiltIn_Print_Area___0___0___0___0" localSheetId="7">#REF!</definedName>
    <definedName name="BuiltIn_Print_Area___0___0___0___0">#REF!</definedName>
    <definedName name="BuiltIn_Print_Area___0___0___0___0___0" localSheetId="8">#REF!</definedName>
    <definedName name="BuiltIn_Print_Area___0___0___0___0___0" localSheetId="7">#REF!</definedName>
    <definedName name="BuiltIn_Print_Area___0___0___0___0___0">#REF!</definedName>
    <definedName name="BuiltIn_Print_Area___0___0___0___0___0___0" localSheetId="8">#REF!</definedName>
    <definedName name="BuiltIn_Print_Area___0___0___0___0___0___0" localSheetId="7">#REF!</definedName>
    <definedName name="BuiltIn_Print_Area___0___0___0___0___0___0">#REF!</definedName>
    <definedName name="BuiltIn_Print_Titles" localSheetId="8">#REF!</definedName>
    <definedName name="BuiltIn_Print_Titles" localSheetId="7">#REF!</definedName>
    <definedName name="BuiltIn_Print_Titles">#REF!</definedName>
    <definedName name="BuiltIn_Print_Titles___0" localSheetId="8">#REF!</definedName>
    <definedName name="BuiltIn_Print_Titles___0" localSheetId="7">#REF!</definedName>
    <definedName name="BuiltIn_Print_Titles___0">#REF!</definedName>
    <definedName name="BuiltIn_Print_Titles___0___0___0" localSheetId="8">#REF!</definedName>
    <definedName name="BuiltIn_Print_Titles___0___0___0" localSheetId="7">#REF!</definedName>
    <definedName name="BuiltIn_Print_Titles___0___0___0">#REF!</definedName>
    <definedName name="BuiltIn_Print_Titles___0___0___0___0" localSheetId="8">#REF!</definedName>
    <definedName name="BuiltIn_Print_Titles___0___0___0___0" localSheetId="7">#REF!</definedName>
    <definedName name="BuiltIn_Print_Titles___0___0___0___0">#REF!</definedName>
    <definedName name="BuiltIn_Print_Titles___0___0___0___0___0___0" localSheetId="8">#REF!</definedName>
    <definedName name="BuiltIn_Print_Titles___0___0___0___0___0___0" localSheetId="7">#REF!</definedName>
    <definedName name="BuiltIn_Print_Titles___0___0___0___0___0___0">#REF!</definedName>
    <definedName name="Button_3">"Monitoramento_de_OAC_Caixas_de_ligação_Reg_I_Lista"</definedName>
    <definedName name="Button_4">"Monitoramento_de_OAC_Caixas_de_ligação_Reg_I_Lista"</definedName>
    <definedName name="ca" localSheetId="12">'[12]Fresagem de Pista Ago-98'!#REF!</definedName>
    <definedName name="ca" localSheetId="13">#REF!</definedName>
    <definedName name="ca" localSheetId="6">#REF!</definedName>
    <definedName name="ca" localSheetId="11">#REF!</definedName>
    <definedName name="ca" localSheetId="8">#REF!</definedName>
    <definedName name="ca" localSheetId="7">#REF!</definedName>
    <definedName name="ca" localSheetId="0">#REF!</definedName>
    <definedName name="ca">#REF!</definedName>
    <definedName name="CadIns" localSheetId="15" hidden="1">#REF!</definedName>
    <definedName name="CadIns" localSheetId="4" hidden="1">#REF!</definedName>
    <definedName name="CadIns" localSheetId="12" hidden="1">#REF!</definedName>
    <definedName name="CadIns" localSheetId="5" hidden="1">#REF!</definedName>
    <definedName name="CadIns" localSheetId="13" hidden="1">#REF!</definedName>
    <definedName name="CadIns" localSheetId="11" hidden="1">#REF!</definedName>
    <definedName name="CadIns" localSheetId="8" hidden="1">#REF!</definedName>
    <definedName name="CadIns" localSheetId="7" hidden="1">#REF!</definedName>
    <definedName name="CadIns" localSheetId="0" hidden="1">#REF!</definedName>
    <definedName name="CadIns" hidden="1">#REF!</definedName>
    <definedName name="CadSrv" localSheetId="15" hidden="1">#REF!</definedName>
    <definedName name="CadSrv" localSheetId="4" hidden="1">#REF!</definedName>
    <definedName name="CadSrv" localSheetId="12" hidden="1">#REF!</definedName>
    <definedName name="CadSrv" localSheetId="5" hidden="1">#REF!</definedName>
    <definedName name="CadSrv" localSheetId="13" hidden="1">#REF!</definedName>
    <definedName name="CadSrv" localSheetId="8" hidden="1">#REF!</definedName>
    <definedName name="CadSrv" localSheetId="7" hidden="1">#REF!</definedName>
    <definedName name="CadSrv" localSheetId="0" hidden="1">#REF!</definedName>
    <definedName name="CadSrv" hidden="1">#REF!</definedName>
    <definedName name="CAIAÇÃO" localSheetId="15">#REF!</definedName>
    <definedName name="CAIAÇÃO" localSheetId="4">#REF!</definedName>
    <definedName name="CAIAÇÃO" localSheetId="12">#REF!</definedName>
    <definedName name="CAIAÇÃO" localSheetId="5">#REF!</definedName>
    <definedName name="CAIAÇÃO" localSheetId="13">#REF!</definedName>
    <definedName name="CAIAÇÃO" localSheetId="6">#REF!</definedName>
    <definedName name="CAIAÇÃO" localSheetId="8">#REF!</definedName>
    <definedName name="CAIAÇÃO" localSheetId="7">#REF!</definedName>
    <definedName name="CAIAÇÃO" localSheetId="0">#REF!</definedName>
    <definedName name="CAIAÇÃO">#REF!</definedName>
    <definedName name="CAMINHAO" localSheetId="12">[11]Serviços!$G$63</definedName>
    <definedName name="CAMINHAO" localSheetId="8">#REF!</definedName>
    <definedName name="CAMINHAO" localSheetId="7">#REF!</definedName>
    <definedName name="CAMINHAO">#REF!</definedName>
    <definedName name="CANTEIRO" localSheetId="15">#REF!</definedName>
    <definedName name="CANTEIRO" localSheetId="12">'[16]Inst. de Canteiro'!$H$65</definedName>
    <definedName name="CANTEIRO" localSheetId="13">#REF!</definedName>
    <definedName name="CANTEIRO" localSheetId="11">#REF!</definedName>
    <definedName name="CANTEIRO" localSheetId="8">#REF!</definedName>
    <definedName name="CANTEIRO" localSheetId="7">#REF!</definedName>
    <definedName name="CANTEIRO">#REF!</definedName>
    <definedName name="CAP" localSheetId="12">#REF!</definedName>
    <definedName name="CAP" localSheetId="8">#REF!</definedName>
    <definedName name="CAP">#REF!</definedName>
    <definedName name="CAPASELANTE" localSheetId="15">#REF!</definedName>
    <definedName name="CAPASELANTE" localSheetId="4">#REF!</definedName>
    <definedName name="CAPASELANTE" localSheetId="12">#REF!</definedName>
    <definedName name="CAPASELANTE" localSheetId="5">#REF!</definedName>
    <definedName name="CAPASELANTE" localSheetId="13">#REF!</definedName>
    <definedName name="CAPASELANTE" localSheetId="6">#REF!</definedName>
    <definedName name="CAPASELANTE" localSheetId="11">#REF!</definedName>
    <definedName name="CAPASELANTE" localSheetId="8">#REF!</definedName>
    <definedName name="CAPASELANTE" localSheetId="7">#REF!</definedName>
    <definedName name="CAPASELANTE" localSheetId="0">#REF!</definedName>
    <definedName name="CAPASELANTE">#REF!</definedName>
    <definedName name="CAPINA" localSheetId="15">#REF!</definedName>
    <definedName name="CAPINA" localSheetId="4">#REF!</definedName>
    <definedName name="CAPINA" localSheetId="12">#REF!</definedName>
    <definedName name="CAPINA" localSheetId="5">#REF!</definedName>
    <definedName name="CAPINA" localSheetId="13">#REF!</definedName>
    <definedName name="CAPINA" localSheetId="6">#REF!</definedName>
    <definedName name="CAPINA" localSheetId="11">#REF!</definedName>
    <definedName name="CAPINA" localSheetId="8">#REF!</definedName>
    <definedName name="CAPINA" localSheetId="7">#REF!</definedName>
    <definedName name="CAPINA" localSheetId="0">#REF!</definedName>
    <definedName name="CAPINA">#REF!</definedName>
    <definedName name="CARRO" localSheetId="12">[11]Serviços!$G$59</definedName>
    <definedName name="CARRO" localSheetId="8">#REF!</definedName>
    <definedName name="CARRO" localSheetId="7">#REF!</definedName>
    <definedName name="CARRO">#REF!</definedName>
    <definedName name="CASCALHO_MS_299" localSheetId="8">#REF!</definedName>
    <definedName name="CASCALHO_MS_299" localSheetId="7">#REF!</definedName>
    <definedName name="CASCALHO_MS_299">#REF!</definedName>
    <definedName name="CBU" localSheetId="15">#REF!</definedName>
    <definedName name="CBU" localSheetId="4">#REF!</definedName>
    <definedName name="CBU" localSheetId="12">#REF!</definedName>
    <definedName name="CBU" localSheetId="5">#REF!</definedName>
    <definedName name="CBU" localSheetId="13">#REF!</definedName>
    <definedName name="CBU" localSheetId="11">#REF!</definedName>
    <definedName name="CBU" localSheetId="8">#REF!</definedName>
    <definedName name="CBU" localSheetId="7">#REF!</definedName>
    <definedName name="CBU" localSheetId="0">#REF!</definedName>
    <definedName name="CBU">#REF!</definedName>
    <definedName name="CBUII" localSheetId="15">#REF!</definedName>
    <definedName name="CBUII" localSheetId="4">#REF!</definedName>
    <definedName name="CBUII" localSheetId="12">#REF!</definedName>
    <definedName name="CBUII" localSheetId="5">#REF!</definedName>
    <definedName name="CBUII" localSheetId="13">#REF!</definedName>
    <definedName name="CBUII" localSheetId="8">#REF!</definedName>
    <definedName name="CBUII" localSheetId="7">#REF!</definedName>
    <definedName name="CBUII" localSheetId="0">#REF!</definedName>
    <definedName name="CBUII">#REF!</definedName>
    <definedName name="CBUQ" localSheetId="15">#REF!</definedName>
    <definedName name="CBUQ" localSheetId="12">'[16]5 S 02 540 71'!$H$65</definedName>
    <definedName name="CBUQ" localSheetId="13">#REF!</definedName>
    <definedName name="CBUQ" localSheetId="11">#REF!</definedName>
    <definedName name="CBUQ" localSheetId="8">#REF!</definedName>
    <definedName name="CBUQ" localSheetId="7">#REF!</definedName>
    <definedName name="CBUQ">#REF!</definedName>
    <definedName name="CBUQB" localSheetId="15">#REF!</definedName>
    <definedName name="CBUQB" localSheetId="4">#REF!</definedName>
    <definedName name="CBUQB" localSheetId="12">#REF!</definedName>
    <definedName name="CBUQB" localSheetId="5">#REF!</definedName>
    <definedName name="CBUQB" localSheetId="13">#REF!</definedName>
    <definedName name="CBUQB" localSheetId="11">#REF!</definedName>
    <definedName name="CBUQB" localSheetId="8">#REF!</definedName>
    <definedName name="CBUQB" localSheetId="7">#REF!</definedName>
    <definedName name="CBUQB" localSheetId="0">#REF!</definedName>
    <definedName name="CBUQB">#REF!</definedName>
    <definedName name="CBUQc" localSheetId="15">#REF!</definedName>
    <definedName name="CBUQc" localSheetId="4">#REF!</definedName>
    <definedName name="CBUQc" localSheetId="12">#REF!</definedName>
    <definedName name="CBUQc" localSheetId="5">#REF!</definedName>
    <definedName name="CBUQc" localSheetId="13">#REF!</definedName>
    <definedName name="CBUQc" localSheetId="11">#REF!</definedName>
    <definedName name="CBUQc" localSheetId="8">#REF!</definedName>
    <definedName name="CBUQc" localSheetId="7">#REF!</definedName>
    <definedName name="CBUQc" localSheetId="0">#REF!</definedName>
    <definedName name="CBUQc">#REF!</definedName>
    <definedName name="CBUQFINA" localSheetId="15">#REF!</definedName>
    <definedName name="CBUQFINA" localSheetId="12">'[16]CBUQ Sem codigo'!$H$65</definedName>
    <definedName name="CBUQFINA" localSheetId="13">#REF!</definedName>
    <definedName name="CBUQFINA" localSheetId="11">#REF!</definedName>
    <definedName name="CBUQFINA" localSheetId="8">#REF!</definedName>
    <definedName name="CBUQFINA" localSheetId="7">#REF!</definedName>
    <definedName name="CBUQFINA">#REF!</definedName>
    <definedName name="ccc" localSheetId="8">#REF!</definedName>
    <definedName name="ccc" localSheetId="7">#REF!</definedName>
    <definedName name="ccc">#REF!</definedName>
    <definedName name="CCCCCCCCCCC" localSheetId="15">'CALÇADA E ACESS.'!CCCCCCCCCCC</definedName>
    <definedName name="CCCCCCCCCCC" localSheetId="4">#N/A</definedName>
    <definedName name="CCCCCCCCCCC" localSheetId="12">COMPLEMENTARES!CCCCCCCCCCC</definedName>
    <definedName name="CCCCCCCCCCC" localSheetId="5">#N/A</definedName>
    <definedName name="CCCCCCCCCCC" localSheetId="13">'DISP. DRENAGEM'!CCCCCCCCCCC</definedName>
    <definedName name="CCCCCCCCCCC" localSheetId="6">DMT!CCCCCCCCCCC</definedName>
    <definedName name="CCCCCCCCCCC" localSheetId="11">DRENAGEM!CCCCCCCCCCC</definedName>
    <definedName name="CCCCCCCCCCC" localSheetId="8">GRELHA!CCCCCCCCCCC</definedName>
    <definedName name="CCCCCCCCCCC" localSheetId="7">'MAT BET'!CCCCCCCCCCC</definedName>
    <definedName name="CCCCCCCCCCC" localSheetId="2">'ORÇ. SINTÉTICO'!CCCCCCCCCCC</definedName>
    <definedName name="CCCCCCCCCCC" localSheetId="14">#N/A</definedName>
    <definedName name="CCCCCCCCCCC" localSheetId="9">PRELIMINARES!CCCCCCCCCCC</definedName>
    <definedName name="CCCCCCCCCCC" localSheetId="1">RESUMO!CCCCCCCCCCC</definedName>
    <definedName name="CCCCCCCCCCC" localSheetId="0">'RESUMO DES'!CCCCCCCCCCC</definedName>
    <definedName name="CCCCCCCCCCC" localSheetId="16">SINALIZAÇÃO!CCCCCCCCCCC</definedName>
    <definedName name="CCCCCCCCCCC">[0]!CCCCCCCCCCC</definedName>
    <definedName name="cch" hidden="1">#N/A</definedName>
    <definedName name="CCONST" localSheetId="15">#REF!</definedName>
    <definedName name="CCONST" localSheetId="12">[16]SINAPI!$H$65</definedName>
    <definedName name="CCONST" localSheetId="13">#REF!</definedName>
    <definedName name="CCONST" localSheetId="11">#REF!</definedName>
    <definedName name="CCONST" localSheetId="8">#REF!</definedName>
    <definedName name="CCONST" localSheetId="7">#REF!</definedName>
    <definedName name="CCONST">#REF!</definedName>
    <definedName name="CD" localSheetId="12">[11]Serviços!$G$30</definedName>
    <definedName name="CD" localSheetId="8">#REF!</definedName>
    <definedName name="CD" localSheetId="7">#REF!</definedName>
    <definedName name="CD">#REF!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Qtd">5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ELIA" localSheetId="8">#REF!</definedName>
    <definedName name="CELIA" localSheetId="7">#REF!</definedName>
    <definedName name="CELIA" localSheetId="14">#REF!</definedName>
    <definedName name="CELIA">#REF!</definedName>
    <definedName name="CELSO" localSheetId="15">'CALÇADA E ACESS.'!CELSO</definedName>
    <definedName name="CELSO" localSheetId="4">#N/A</definedName>
    <definedName name="CELSO" localSheetId="12">COMPLEMENTARES!CELSO</definedName>
    <definedName name="CELSO" localSheetId="5">#N/A</definedName>
    <definedName name="CELSO" localSheetId="13">'DISP. DRENAGEM'!CELSO</definedName>
    <definedName name="CELSO" localSheetId="6">DMT!CELSO</definedName>
    <definedName name="CELSO" localSheetId="11">DRENAGEM!CELSO</definedName>
    <definedName name="CELSO" localSheetId="8">GRELHA!CELSO</definedName>
    <definedName name="CELSO" localSheetId="7">'MAT BET'!CELSO</definedName>
    <definedName name="CELSO" localSheetId="2">'ORÇ. SINTÉTICO'!CELSO</definedName>
    <definedName name="CELSO" localSheetId="14">#N/A</definedName>
    <definedName name="CELSO" localSheetId="9">PRELIMINARES!CELSO</definedName>
    <definedName name="CELSO" localSheetId="1">RESUMO!CELSO</definedName>
    <definedName name="CELSO" localSheetId="0">'RESUMO DES'!CELSO</definedName>
    <definedName name="CELSO" localSheetId="16">SINALIZAÇÃO!CELSO</definedName>
    <definedName name="CELSO">[0]!CELSO</definedName>
    <definedName name="CÉLULA" localSheetId="15">#REF!</definedName>
    <definedName name="CÉLULA" localSheetId="4">#REF!</definedName>
    <definedName name="CÉLULA" localSheetId="12">#REF!</definedName>
    <definedName name="CÉLULA" localSheetId="5">#REF!</definedName>
    <definedName name="CÉLULA" localSheetId="13">#REF!</definedName>
    <definedName name="CÉLULA" localSheetId="6">#REF!</definedName>
    <definedName name="CÉLULA" localSheetId="11">#REF!</definedName>
    <definedName name="CÉLULA" localSheetId="8">#REF!</definedName>
    <definedName name="CÉLULA" localSheetId="7">#REF!</definedName>
    <definedName name="CÉLULA" localSheetId="0">#REF!</definedName>
    <definedName name="CÉLULA">#REF!</definedName>
    <definedName name="Chave" localSheetId="15" hidden="1">#REF!</definedName>
    <definedName name="Chave" localSheetId="4" hidden="1">#REF!</definedName>
    <definedName name="Chave" localSheetId="12" hidden="1">#REF!</definedName>
    <definedName name="Chave" localSheetId="5" hidden="1">#REF!</definedName>
    <definedName name="Chave" localSheetId="13" hidden="1">#REF!</definedName>
    <definedName name="Chave" localSheetId="11" hidden="1">#REF!</definedName>
    <definedName name="Chave" localSheetId="8" hidden="1">#REF!</definedName>
    <definedName name="Chave" localSheetId="7" hidden="1">#REF!</definedName>
    <definedName name="Chave" localSheetId="0" hidden="1">#REF!</definedName>
    <definedName name="Chave" localSheetId="16" hidden="1">#REF!</definedName>
    <definedName name="Chave" hidden="1">#REF!</definedName>
    <definedName name="Chave1" localSheetId="15" hidden="1">#REF!</definedName>
    <definedName name="Chave1" localSheetId="4" hidden="1">#REF!</definedName>
    <definedName name="Chave1" localSheetId="12" hidden="1">#REF!</definedName>
    <definedName name="Chave1" localSheetId="5" hidden="1">#REF!</definedName>
    <definedName name="Chave1" localSheetId="13" hidden="1">#REF!</definedName>
    <definedName name="Chave1" localSheetId="8" hidden="1">#REF!</definedName>
    <definedName name="Chave1" localSheetId="7" hidden="1">#REF!</definedName>
    <definedName name="Chave1" localSheetId="0" hidden="1">#REF!</definedName>
    <definedName name="Chave1" localSheetId="16" hidden="1">#REF!</definedName>
    <definedName name="Chave1" hidden="1">#REF!</definedName>
    <definedName name="CIMENTO" localSheetId="15">#REF!</definedName>
    <definedName name="CIMENTO" localSheetId="4">#REF!</definedName>
    <definedName name="CIMENTO" localSheetId="5">#REF!</definedName>
    <definedName name="CIMENTO" localSheetId="13">#REF!</definedName>
    <definedName name="CIMENTO" localSheetId="6">#REF!</definedName>
    <definedName name="CIMENTO" localSheetId="8">#REF!</definedName>
    <definedName name="CIMENTO" localSheetId="7">#REF!</definedName>
    <definedName name="CIMENTO" localSheetId="0">#REF!</definedName>
    <definedName name="CIMENTO">#REF!</definedName>
    <definedName name="çl" localSheetId="8">#REF!</definedName>
    <definedName name="çl" localSheetId="7">#REF!</definedName>
    <definedName name="çl">#REF!</definedName>
    <definedName name="Clas" localSheetId="15" hidden="1">MAX(LEN(#REF!))</definedName>
    <definedName name="Clas" localSheetId="4" hidden="1">MAX(LEN(#REF!))</definedName>
    <definedName name="Clas" localSheetId="5" hidden="1">MAX(LEN(#REF!))</definedName>
    <definedName name="Clas" localSheetId="13" hidden="1">MAX(LEN(#REF!))</definedName>
    <definedName name="Clas" localSheetId="8" hidden="1">MAX(LEN(#REF!))</definedName>
    <definedName name="Clas" localSheetId="7" hidden="1">MAX(LEN(#REF!))</definedName>
    <definedName name="Clas" localSheetId="0" hidden="1">MAX(LEN(#REF!))</definedName>
    <definedName name="Clas" localSheetId="16" hidden="1">MAX(LEN(#REF!))</definedName>
    <definedName name="Clas" hidden="1">MAX(LEN(#REF!))</definedName>
    <definedName name="Cliente" hidden="1">""</definedName>
    <definedName name="Cls" hidden="1">#N/A</definedName>
    <definedName name="CM.30" localSheetId="15">#REF!</definedName>
    <definedName name="CM.30" localSheetId="4">#REF!</definedName>
    <definedName name="CM.30" localSheetId="12">#REF!</definedName>
    <definedName name="CM.30" localSheetId="5">#REF!</definedName>
    <definedName name="CM.30" localSheetId="13">#REF!</definedName>
    <definedName name="CM.30" localSheetId="6">#REF!</definedName>
    <definedName name="CM.30" localSheetId="11">#REF!</definedName>
    <definedName name="CM.30" localSheetId="8">#REF!</definedName>
    <definedName name="CM.30" localSheetId="7">#REF!</definedName>
    <definedName name="CM.30" localSheetId="0">#REF!</definedName>
    <definedName name="CM.30">#REF!</definedName>
    <definedName name="CNVDFNVN" localSheetId="8">#REF!</definedName>
    <definedName name="CNVDFNVN" localSheetId="7">#REF!</definedName>
    <definedName name="CNVDFNVN">#REF!</definedName>
    <definedName name="cocacola" localSheetId="8">#REF!</definedName>
    <definedName name="cocacola" localSheetId="7">#REF!</definedName>
    <definedName name="cocacola">#REF!</definedName>
    <definedName name="cocaina" localSheetId="8">#REF!</definedName>
    <definedName name="cocaina" localSheetId="7">#REF!</definedName>
    <definedName name="cocaina">#REF!</definedName>
    <definedName name="Cod" localSheetId="15" hidden="1">#REF!</definedName>
    <definedName name="Cod" localSheetId="4" hidden="1">#REF!</definedName>
    <definedName name="Cod" localSheetId="12" hidden="1">#REF!</definedName>
    <definedName name="Cod" localSheetId="5" hidden="1">#REF!</definedName>
    <definedName name="Cod" localSheetId="13" hidden="1">#REF!</definedName>
    <definedName name="Cod" localSheetId="8" hidden="1">#REF!</definedName>
    <definedName name="Cod" localSheetId="7" hidden="1">#REF!</definedName>
    <definedName name="Cod" localSheetId="0" hidden="1">#REF!</definedName>
    <definedName name="Cod" localSheetId="16" hidden="1">#REF!</definedName>
    <definedName name="Cod" hidden="1">#REF!</definedName>
    <definedName name="Cód." localSheetId="15">#REF!</definedName>
    <definedName name="Cód." localSheetId="12">'[21]TPU-MARÇO_2002'!$B$2:$B$1965</definedName>
    <definedName name="Cód." localSheetId="13">#REF!</definedName>
    <definedName name="Cód." localSheetId="11">#REF!</definedName>
    <definedName name="Cód." localSheetId="8">#REF!</definedName>
    <definedName name="Cód." localSheetId="7">#REF!</definedName>
    <definedName name="Cód.">#REF!</definedName>
    <definedName name="cod.1" localSheetId="15">#REF!</definedName>
    <definedName name="cod.1" localSheetId="4">#REF!</definedName>
    <definedName name="cod.1" localSheetId="12">#REF!</definedName>
    <definedName name="cod.1" localSheetId="5">#REF!</definedName>
    <definedName name="cod.1" localSheetId="13">#REF!</definedName>
    <definedName name="cod.1" localSheetId="11">#REF!</definedName>
    <definedName name="cod.1" localSheetId="8">#REF!</definedName>
    <definedName name="cod.1" localSheetId="7">#REF!</definedName>
    <definedName name="cod.1" localSheetId="0">#REF!</definedName>
    <definedName name="cod.1">#REF!</definedName>
    <definedName name="cod.2" localSheetId="15">#REF!</definedName>
    <definedName name="cod.2" localSheetId="4">#REF!</definedName>
    <definedName name="cod.2" localSheetId="12">#REF!</definedName>
    <definedName name="cod.2" localSheetId="5">#REF!</definedName>
    <definedName name="cod.2" localSheetId="13">#REF!</definedName>
    <definedName name="cod.2" localSheetId="11">#REF!</definedName>
    <definedName name="cod.2" localSheetId="8">#REF!</definedName>
    <definedName name="cod.2" localSheetId="7">#REF!</definedName>
    <definedName name="cod.2" localSheetId="0">#REF!</definedName>
    <definedName name="cod.2">#REF!</definedName>
    <definedName name="Cód.3" localSheetId="15">#REF!</definedName>
    <definedName name="Cód.3" localSheetId="4">#REF!</definedName>
    <definedName name="Cód.3" localSheetId="12">#REF!</definedName>
    <definedName name="Cód.3" localSheetId="5">#REF!</definedName>
    <definedName name="Cód.3" localSheetId="13">#REF!</definedName>
    <definedName name="Cód.3" localSheetId="8">#REF!</definedName>
    <definedName name="Cód.3" localSheetId="7">#REF!</definedName>
    <definedName name="Cód.3" localSheetId="0">#REF!</definedName>
    <definedName name="Cód.3">#REF!</definedName>
    <definedName name="Cód.4" localSheetId="15">#REF!</definedName>
    <definedName name="Cód.4" localSheetId="12">'[21]TPU-MARÇO_2002'!$D$2:$D$1965</definedName>
    <definedName name="Cód.4" localSheetId="13">#REF!</definedName>
    <definedName name="Cód.4" localSheetId="11">#REF!</definedName>
    <definedName name="Cód.4" localSheetId="8">#REF!</definedName>
    <definedName name="Cód.4" localSheetId="7">#REF!</definedName>
    <definedName name="Cód.4">#REF!</definedName>
    <definedName name="Cód.Equip." localSheetId="15">#REF!</definedName>
    <definedName name="Cód.Equip." localSheetId="4">#REF!</definedName>
    <definedName name="Cód.Equip." localSheetId="12">#REF!</definedName>
    <definedName name="Cód.Equip." localSheetId="5">#REF!</definedName>
    <definedName name="Cód.Equip." localSheetId="13">#REF!</definedName>
    <definedName name="Cód.Equip." localSheetId="11">#REF!</definedName>
    <definedName name="Cód.Equip." localSheetId="8">#REF!</definedName>
    <definedName name="Cód.Equip." localSheetId="7">#REF!</definedName>
    <definedName name="Cód.Equip." localSheetId="0">#REF!</definedName>
    <definedName name="Cód.Equip.">#REF!</definedName>
    <definedName name="Cód.SER" localSheetId="15">#REF!</definedName>
    <definedName name="Cód.SER" localSheetId="12">'[21]TPU-MARÇO_2002'!$H$2:$H$20</definedName>
    <definedName name="Cód.SER" localSheetId="13">#REF!</definedName>
    <definedName name="Cód.SER" localSheetId="11">#REF!</definedName>
    <definedName name="Cód.SER" localSheetId="8">#REF!</definedName>
    <definedName name="Cód.SER" localSheetId="7">#REF!</definedName>
    <definedName name="Cód.SER">#REF!</definedName>
    <definedName name="Cód.serv." localSheetId="15">#REF!</definedName>
    <definedName name="Cód.serv." localSheetId="4">#REF!</definedName>
    <definedName name="Cód.serv." localSheetId="12">#REF!</definedName>
    <definedName name="Cód.serv." localSheetId="5">#REF!</definedName>
    <definedName name="Cód.serv." localSheetId="13">#REF!</definedName>
    <definedName name="Cód.serv." localSheetId="11">#REF!</definedName>
    <definedName name="Cód.serv." localSheetId="8">#REF!</definedName>
    <definedName name="Cód.serv." localSheetId="7">#REF!</definedName>
    <definedName name="Cód.serv." localSheetId="0">#REF!</definedName>
    <definedName name="Cód.serv.">#REF!</definedName>
    <definedName name="Codigo" localSheetId="15" hidden="1">#REF!</definedName>
    <definedName name="Codigo" localSheetId="4" hidden="1">#REF!</definedName>
    <definedName name="Codigo" localSheetId="12" hidden="1">#REF!</definedName>
    <definedName name="Codigo" localSheetId="5" hidden="1">#REF!</definedName>
    <definedName name="Codigo" localSheetId="13" hidden="1">#REF!</definedName>
    <definedName name="Codigo" localSheetId="11" hidden="1">#REF!</definedName>
    <definedName name="Codigo" localSheetId="8" hidden="1">#REF!</definedName>
    <definedName name="Codigo" localSheetId="7" hidden="1">#REF!</definedName>
    <definedName name="Codigo" localSheetId="0" hidden="1">#REF!</definedName>
    <definedName name="Codigo" localSheetId="16" hidden="1">#REF!</definedName>
    <definedName name="Codigo" hidden="1">#REF!</definedName>
    <definedName name="Coluna" localSheetId="15" hidden="1">#REF!</definedName>
    <definedName name="Coluna" localSheetId="4" hidden="1">#REF!</definedName>
    <definedName name="Coluna" localSheetId="12" hidden="1">#REF!</definedName>
    <definedName name="Coluna" localSheetId="5" hidden="1">#REF!</definedName>
    <definedName name="Coluna" localSheetId="13" hidden="1">#REF!</definedName>
    <definedName name="Coluna" localSheetId="8" hidden="1">#REF!</definedName>
    <definedName name="Coluna" localSheetId="7" hidden="1">#REF!</definedName>
    <definedName name="Coluna" localSheetId="0" hidden="1">#REF!</definedName>
    <definedName name="Coluna" localSheetId="16" hidden="1">#REF!</definedName>
    <definedName name="Coluna" hidden="1">#REF!</definedName>
    <definedName name="comp" localSheetId="15">#REF!</definedName>
    <definedName name="comp" localSheetId="4">#REF!</definedName>
    <definedName name="comp" localSheetId="5">#REF!</definedName>
    <definedName name="comp" localSheetId="13">#REF!</definedName>
    <definedName name="comp" localSheetId="6">#REF!</definedName>
    <definedName name="comp" localSheetId="8">#REF!</definedName>
    <definedName name="comp" localSheetId="7">#REF!</definedName>
    <definedName name="comp" localSheetId="0">#REF!</definedName>
    <definedName name="comp">#REF!</definedName>
    <definedName name="CONCIM" localSheetId="15">#REF!</definedName>
    <definedName name="CONCIM" localSheetId="12">[9]SERVIÇOS!#REF!</definedName>
    <definedName name="CONCIM" localSheetId="13">#REF!</definedName>
    <definedName name="CONCIM" localSheetId="6">#REF!</definedName>
    <definedName name="CONCIM" localSheetId="11">#REF!</definedName>
    <definedName name="CONCIM" localSheetId="8">#REF!</definedName>
    <definedName name="CONCIM" localSheetId="7">#REF!</definedName>
    <definedName name="CONCIM" localSheetId="0">#REF!</definedName>
    <definedName name="CONCIM">#REF!</definedName>
    <definedName name="CONCR" localSheetId="12">[11]Serviços!$G$17</definedName>
    <definedName name="CONCR" localSheetId="8">#REF!</definedName>
    <definedName name="CONCR" localSheetId="7">#REF!</definedName>
    <definedName name="CONCR">#REF!</definedName>
    <definedName name="CONCRETO" localSheetId="15">#REF!</definedName>
    <definedName name="CONCRETO" localSheetId="4">#REF!</definedName>
    <definedName name="CONCRETO" localSheetId="12">#REF!</definedName>
    <definedName name="CONCRETO" localSheetId="5">#REF!</definedName>
    <definedName name="CONCRETO" localSheetId="13">#REF!</definedName>
    <definedName name="CONCRETO" localSheetId="6">#REF!</definedName>
    <definedName name="CONCRETO" localSheetId="11">#REF!</definedName>
    <definedName name="CONCRETO" localSheetId="8">#REF!</definedName>
    <definedName name="CONCRETO" localSheetId="7">#REF!</definedName>
    <definedName name="CONCRETO" localSheetId="0">#REF!</definedName>
    <definedName name="CONCRETO">#REF!</definedName>
    <definedName name="CONSERVA1" localSheetId="15">#REF!</definedName>
    <definedName name="CONSERVA1" localSheetId="12">'[16]Q15-Manut-1° Ano'!$F$23</definedName>
    <definedName name="CONSERVA1" localSheetId="13">#REF!</definedName>
    <definedName name="CONSERVA1" localSheetId="11">#REF!</definedName>
    <definedName name="CONSERVA1" localSheetId="8">#REF!</definedName>
    <definedName name="CONSERVA1" localSheetId="7">#REF!</definedName>
    <definedName name="CONSERVA1">#REF!</definedName>
    <definedName name="CONSERVA2" localSheetId="15">#REF!</definedName>
    <definedName name="CONSERVA2" localSheetId="12">'[16]Q15-Manut-2° Ano'!$F$22</definedName>
    <definedName name="CONSERVA2" localSheetId="13">#REF!</definedName>
    <definedName name="CONSERVA2" localSheetId="11">#REF!</definedName>
    <definedName name="CONSERVA2" localSheetId="8">#REF!</definedName>
    <definedName name="CONSERVA2" localSheetId="7">#REF!</definedName>
    <definedName name="CONSERVA2">#REF!</definedName>
    <definedName name="consumo.2" localSheetId="15">#REF!</definedName>
    <definedName name="consumo.2" localSheetId="4">#REF!</definedName>
    <definedName name="consumo.2" localSheetId="12">#REF!</definedName>
    <definedName name="consumo.2" localSheetId="5">#REF!</definedName>
    <definedName name="consumo.2" localSheetId="13">#REF!</definedName>
    <definedName name="consumo.2" localSheetId="11">#REF!</definedName>
    <definedName name="consumo.2" localSheetId="8">#REF!</definedName>
    <definedName name="consumo.2" localSheetId="7">#REF!</definedName>
    <definedName name="consumo.2" localSheetId="0">#REF!</definedName>
    <definedName name="consumo.2">#REF!</definedName>
    <definedName name="CONTAINER" localSheetId="8">#REF!</definedName>
    <definedName name="CONTAINER">[22]DMT!$G$7</definedName>
    <definedName name="CONTRATO" localSheetId="15">#REF!</definedName>
    <definedName name="CONTRATO" localSheetId="12">[5]DADOS!$C$3</definedName>
    <definedName name="CONTRATO" localSheetId="13">#REF!</definedName>
    <definedName name="CONTRATO" localSheetId="6">#REF!</definedName>
    <definedName name="CONTRATO" localSheetId="11">#REF!</definedName>
    <definedName name="CONTRATO" localSheetId="8">#REF!</definedName>
    <definedName name="CONTRATO" localSheetId="7">#REF!</definedName>
    <definedName name="CONTRATO">#REF!</definedName>
    <definedName name="cópia" localSheetId="8">#REF!</definedName>
    <definedName name="cópia" localSheetId="7">#REF!</definedName>
    <definedName name="cópia">#REF!</definedName>
    <definedName name="correção" localSheetId="15">#REF!</definedName>
    <definedName name="correção" localSheetId="12">[3]correção!$I$26</definedName>
    <definedName name="correção" localSheetId="13">#REF!</definedName>
    <definedName name="correção" localSheetId="6">#REF!</definedName>
    <definedName name="correção" localSheetId="11">#REF!</definedName>
    <definedName name="correção" localSheetId="8">#REF!</definedName>
    <definedName name="correção" localSheetId="7">#REF!</definedName>
    <definedName name="correção">#REF!</definedName>
    <definedName name="CpuAux" localSheetId="15" hidden="1">#REF!</definedName>
    <definedName name="CpuAux" localSheetId="4" hidden="1">#REF!</definedName>
    <definedName name="CpuAux" localSheetId="12" hidden="1">#REF!</definedName>
    <definedName name="CpuAux" localSheetId="5" hidden="1">#REF!</definedName>
    <definedName name="CpuAux" localSheetId="13" hidden="1">#REF!</definedName>
    <definedName name="CpuAux" localSheetId="11" hidden="1">#REF!</definedName>
    <definedName name="CpuAux" localSheetId="8" hidden="1">#REF!</definedName>
    <definedName name="CpuAux" localSheetId="7" hidden="1">#REF!</definedName>
    <definedName name="CpuAux" localSheetId="0" hidden="1">#REF!</definedName>
    <definedName name="CpuAux" hidden="1">#REF!</definedName>
    <definedName name="CPUs" localSheetId="15" hidden="1">#REF!</definedName>
    <definedName name="CPUs" localSheetId="4" hidden="1">#REF!</definedName>
    <definedName name="CPUs" localSheetId="12" hidden="1">#REF!</definedName>
    <definedName name="CPUs" localSheetId="5" hidden="1">#REF!</definedName>
    <definedName name="CPUs" localSheetId="13" hidden="1">#REF!</definedName>
    <definedName name="CPUs" localSheetId="8" hidden="1">#REF!</definedName>
    <definedName name="CPUs" localSheetId="7" hidden="1">#REF!</definedName>
    <definedName name="CPUs" localSheetId="0" hidden="1">#REF!</definedName>
    <definedName name="CPUs" hidden="1">#REF!</definedName>
    <definedName name="CRC" localSheetId="15">#REF!</definedName>
    <definedName name="CRC" localSheetId="12">[9]SERVIÇOS!#REF!</definedName>
    <definedName name="CRC" localSheetId="13">#REF!</definedName>
    <definedName name="CRC" localSheetId="6">#REF!</definedName>
    <definedName name="CRC" localSheetId="11">#REF!</definedName>
    <definedName name="CRC" localSheetId="8">#REF!</definedName>
    <definedName name="CRC" localSheetId="7">#REF!</definedName>
    <definedName name="CRC" localSheetId="0">#REF!</definedName>
    <definedName name="CRC">#REF!</definedName>
    <definedName name="CRIT" localSheetId="15" hidden="1">#REF!</definedName>
    <definedName name="CRIT" localSheetId="4" hidden="1">#REF!</definedName>
    <definedName name="CRIT" localSheetId="12" hidden="1">#REF!</definedName>
    <definedName name="CRIT" localSheetId="5" hidden="1">#REF!</definedName>
    <definedName name="CRIT" localSheetId="13" hidden="1">#REF!</definedName>
    <definedName name="CRIT" localSheetId="11" hidden="1">#REF!</definedName>
    <definedName name="CRIT" localSheetId="8" hidden="1">#REF!</definedName>
    <definedName name="CRIT" localSheetId="7" hidden="1">#REF!</definedName>
    <definedName name="CRIT" localSheetId="0" hidden="1">#REF!</definedName>
    <definedName name="CRIT" hidden="1">#REF!</definedName>
    <definedName name="Criteria" localSheetId="15">#REF!</definedName>
    <definedName name="Criteria" localSheetId="4">#REF!</definedName>
    <definedName name="Criteria" localSheetId="12">#REF!</definedName>
    <definedName name="Criteria" localSheetId="5">#REF!</definedName>
    <definedName name="Criteria" localSheetId="13">#REF!</definedName>
    <definedName name="Criteria" localSheetId="6">#REF!</definedName>
    <definedName name="Criteria" localSheetId="8">#REF!</definedName>
    <definedName name="Criteria" localSheetId="7">#REF!</definedName>
    <definedName name="Criteria" localSheetId="0">#REF!</definedName>
    <definedName name="Criteria">#REF!</definedName>
    <definedName name="_xlnm.Criteria" localSheetId="15">#REF!</definedName>
    <definedName name="_xlnm.Criteria" localSheetId="4">#REF!</definedName>
    <definedName name="_xlnm.Criteria" localSheetId="12">#REF!</definedName>
    <definedName name="_xlnm.Criteria" localSheetId="5">#REF!</definedName>
    <definedName name="_xlnm.Criteria" localSheetId="13">#REF!</definedName>
    <definedName name="_xlnm.Criteria" localSheetId="6" hidden="1">#REF!</definedName>
    <definedName name="_xlnm.Criteria" localSheetId="8">#REF!</definedName>
    <definedName name="_xlnm.Criteria" localSheetId="7">#REF!</definedName>
    <definedName name="_xlnm.Criteria" localSheetId="0">#REF!</definedName>
    <definedName name="_xlnm.Criteria">#REF!</definedName>
    <definedName name="crono" localSheetId="8">#REF!</definedName>
    <definedName name="crono" localSheetId="7">#REF!</definedName>
    <definedName name="crono">#REF!</definedName>
    <definedName name="Cronograma" localSheetId="12">[23]APONT!$B$5:$G$426</definedName>
    <definedName name="Cronograma" localSheetId="8">#REF!</definedName>
    <definedName name="Cronograma" localSheetId="7">#REF!</definedName>
    <definedName name="Cronograma">#REF!</definedName>
    <definedName name="CSA" localSheetId="15">#REF!</definedName>
    <definedName name="CSA" localSheetId="12">[9]SERVIÇOS!#REF!</definedName>
    <definedName name="CSA" localSheetId="13">#REF!</definedName>
    <definedName name="CSA" localSheetId="6">#REF!</definedName>
    <definedName name="CSA" localSheetId="11">#REF!</definedName>
    <definedName name="CSA" localSheetId="8">#REF!</definedName>
    <definedName name="CSA" localSheetId="7">#REF!</definedName>
    <definedName name="CSA" localSheetId="0">#REF!</definedName>
    <definedName name="CSA">#REF!</definedName>
    <definedName name="CT" localSheetId="8">#REF!</definedName>
    <definedName name="CT" localSheetId="7">#REF!</definedName>
    <definedName name="CT">#REF!</definedName>
    <definedName name="CU" localSheetId="8">#REF!</definedName>
    <definedName name="CU" localSheetId="7">#REF!</definedName>
    <definedName name="CU">#REF!</definedName>
    <definedName name="CUN" localSheetId="15">#REF!</definedName>
    <definedName name="CUN" localSheetId="4">#REF!</definedName>
    <definedName name="CUN" localSheetId="12">#REF!</definedName>
    <definedName name="CUN" localSheetId="5">#REF!</definedName>
    <definedName name="CUN" localSheetId="13">#REF!</definedName>
    <definedName name="CUN" localSheetId="11">#REF!</definedName>
    <definedName name="CUN" localSheetId="8">#REF!</definedName>
    <definedName name="CUN" localSheetId="7">#REF!</definedName>
    <definedName name="CUN" localSheetId="0">#REF!</definedName>
    <definedName name="CUN">#REF!</definedName>
    <definedName name="CunEq" localSheetId="15" hidden="1">SUM(IF(#REF! =#REF!,(#REF!)*(#REF!="EQ")))</definedName>
    <definedName name="CunEq" localSheetId="4" hidden="1">SUM(IF(#REF! =#REF!,(#REF!)*(#REF!="EQ")))</definedName>
    <definedName name="CunEq" localSheetId="12" hidden="1">SUM(IF(#REF! =#REF!,(#REF!)*(#REF!="EQ")))</definedName>
    <definedName name="CunEq" localSheetId="5" hidden="1">SUM(IF(#REF! =#REF!,(#REF!)*(#REF!="EQ")))</definedName>
    <definedName name="CunEq" localSheetId="13" hidden="1">SUM(IF(#REF! =#REF!,(#REF!)*(#REF!="EQ")))</definedName>
    <definedName name="CunEq" localSheetId="11" hidden="1">SUM(IF(#REF! =#REF!,(#REF!)*(#REF!="EQ")))</definedName>
    <definedName name="CunEq" localSheetId="8" hidden="1">SUM(IF(#REF! =#REF!,(#REF!)*(#REF!="EQ")))</definedName>
    <definedName name="CunEq" localSheetId="7" hidden="1">SUM(IF(#REF! =#REF!,(#REF!)*(#REF!="EQ")))</definedName>
    <definedName name="CunEq" localSheetId="2" hidden="1">SUM(IF(#REF! =#REF!,(#REF!)*(#REF!="EQ")))</definedName>
    <definedName name="CunEq" localSheetId="1" hidden="1">SUM(IF(#REF! =#REF!,(#REF!)*(#REF!="EQ")))</definedName>
    <definedName name="CunEq" localSheetId="0" hidden="1">SUM(IF(#REF! =#REF!,(#REF!)*(#REF!="EQ")))</definedName>
    <definedName name="CunEq" localSheetId="16" hidden="1">SUM(IF(#REF! =#REF!,(#REF!)*(#REF!="EQ")))</definedName>
    <definedName name="CunEq" hidden="1">SUM(IF(#REF! =#REF!,(#REF!)*(#REF!="EQ")))</definedName>
    <definedName name="CunImp">0</definedName>
    <definedName name="CunMo" localSheetId="15" hidden="1">SUM(IF(#REF! =#REF!,(#REF!)*(#REF!="MO")))</definedName>
    <definedName name="CunMo" localSheetId="4" hidden="1">SUM(IF(#REF! =#REF!,(#REF!)*(#REF!="MO")))</definedName>
    <definedName name="CunMo" localSheetId="12" hidden="1">SUM(IF(#REF! =#REF!,(#REF!)*(#REF!="MO")))</definedName>
    <definedName name="CunMo" localSheetId="5" hidden="1">SUM(IF(#REF! =#REF!,(#REF!)*(#REF!="MO")))</definedName>
    <definedName name="CunMo" localSheetId="13" hidden="1">SUM(IF(#REF! =#REF!,(#REF!)*(#REF!="MO")))</definedName>
    <definedName name="CunMo" localSheetId="11" hidden="1">SUM(IF(#REF! =#REF!,(#REF!)*(#REF!="MO")))</definedName>
    <definedName name="CunMo" localSheetId="8" hidden="1">SUM(IF(#REF! =#REF!,(#REF!)*(#REF!="MO")))</definedName>
    <definedName name="CunMo" localSheetId="7" hidden="1">SUM(IF(#REF! =#REF!,(#REF!)*(#REF!="MO")))</definedName>
    <definedName name="CunMo" localSheetId="2" hidden="1">SUM(IF(#REF! =#REF!,(#REF!)*(#REF!="MO")))</definedName>
    <definedName name="CunMo" localSheetId="1" hidden="1">SUM(IF(#REF! =#REF!,(#REF!)*(#REF!="MO")))</definedName>
    <definedName name="CunMo" localSheetId="0" hidden="1">SUM(IF(#REF! =#REF!,(#REF!)*(#REF!="MO")))</definedName>
    <definedName name="CunMo" localSheetId="16" hidden="1">SUM(IF(#REF! =#REF!,(#REF!)*(#REF!="MO")))</definedName>
    <definedName name="CunMo" hidden="1">SUM(IF(#REF! =#REF!,(#REF!)*(#REF!="MO")))</definedName>
    <definedName name="CunMp" localSheetId="15" hidden="1">SUM(IF(#REF! =#REF!,(#REF!)*(#REF!="MP")))</definedName>
    <definedName name="CunMp" localSheetId="4" hidden="1">SUM(IF(#REF! =#REF!,(#REF!)*(#REF!="MP")))</definedName>
    <definedName name="CunMp" localSheetId="12" hidden="1">SUM(IF(#REF! =#REF!,(#REF!)*(#REF!="MP")))</definedName>
    <definedName name="CunMp" localSheetId="5" hidden="1">SUM(IF(#REF! =#REF!,(#REF!)*(#REF!="MP")))</definedName>
    <definedName name="CunMp" localSheetId="13" hidden="1">SUM(IF(#REF! =#REF!,(#REF!)*(#REF!="MP")))</definedName>
    <definedName name="CunMp" localSheetId="11" hidden="1">SUM(IF(#REF! =#REF!,(#REF!)*(#REF!="MP")))</definedName>
    <definedName name="CunMp" localSheetId="8" hidden="1">SUM(IF(#REF! =#REF!,(#REF!)*(#REF!="MP")))</definedName>
    <definedName name="CunMp" localSheetId="7" hidden="1">SUM(IF(#REF! =#REF!,(#REF!)*(#REF!="MP")))</definedName>
    <definedName name="CunMp" localSheetId="2" hidden="1">SUM(IF(#REF! =#REF!,(#REF!)*(#REF!="MP")))</definedName>
    <definedName name="CunMp" localSheetId="1" hidden="1">SUM(IF(#REF! =#REF!,(#REF!)*(#REF!="MP")))</definedName>
    <definedName name="CunMp" localSheetId="0" hidden="1">SUM(IF(#REF! =#REF!,(#REF!)*(#REF!="MP")))</definedName>
    <definedName name="CunMp" localSheetId="16" hidden="1">SUM(IF(#REF! =#REF!,(#REF!)*(#REF!="MP")))</definedName>
    <definedName name="CunMp" hidden="1">SUM(IF(#REF! =#REF!,(#REF!)*(#REF!="MP")))</definedName>
    <definedName name="CustoReal" localSheetId="8">#REF!</definedName>
    <definedName name="CustoReal" localSheetId="7">#REF!</definedName>
    <definedName name="CustoReal">#REF!</definedName>
    <definedName name="cx" localSheetId="15">#REF!</definedName>
    <definedName name="cx" localSheetId="4">#REF!</definedName>
    <definedName name="cx" localSheetId="12">'[12]Fresagem de Pista Ago-98'!#REF!</definedName>
    <definedName name="cx" localSheetId="5">#REF!</definedName>
    <definedName name="cx" localSheetId="13">#REF!</definedName>
    <definedName name="cx" localSheetId="6">#REF!</definedName>
    <definedName name="cx" localSheetId="11">#REF!</definedName>
    <definedName name="cx" localSheetId="8">#REF!</definedName>
    <definedName name="cx" localSheetId="7">#REF!</definedName>
    <definedName name="cx" localSheetId="2">#REF!</definedName>
    <definedName name="cx" localSheetId="1">#REF!</definedName>
    <definedName name="cx" localSheetId="0">#REF!</definedName>
    <definedName name="cx">#REF!</definedName>
    <definedName name="d" localSheetId="15">#REF!</definedName>
    <definedName name="d" localSheetId="4">#REF!</definedName>
    <definedName name="d" localSheetId="12">#REF!</definedName>
    <definedName name="d" localSheetId="5">#REF!</definedName>
    <definedName name="d" localSheetId="13">#REF!</definedName>
    <definedName name="d" localSheetId="6">#REF!</definedName>
    <definedName name="d" localSheetId="11">#REF!</definedName>
    <definedName name="d" localSheetId="8">#REF!</definedName>
    <definedName name="d" localSheetId="7">#REF!</definedName>
    <definedName name="d" localSheetId="0">#REF!</definedName>
    <definedName name="d">#REF!</definedName>
    <definedName name="dadinho" localSheetId="15">#REF!</definedName>
    <definedName name="dadinho" localSheetId="4">#REF!</definedName>
    <definedName name="dadinho" localSheetId="12">#REF!</definedName>
    <definedName name="dadinho" localSheetId="5">#REF!</definedName>
    <definedName name="dadinho" localSheetId="13">#REF!</definedName>
    <definedName name="dadinho" localSheetId="11">#REF!</definedName>
    <definedName name="dadinho" localSheetId="8">#REF!</definedName>
    <definedName name="dadinho" localSheetId="7">#REF!</definedName>
    <definedName name="dadinho" localSheetId="0">#REF!</definedName>
    <definedName name="dadinho">#REF!</definedName>
    <definedName name="DADOS" localSheetId="15">#REF!</definedName>
    <definedName name="DADOS" localSheetId="12">[8]DADOS!$A$1:$M$625</definedName>
    <definedName name="DADOS" localSheetId="13">#REF!</definedName>
    <definedName name="DADOS" localSheetId="6">#REF!</definedName>
    <definedName name="DADOS" localSheetId="11">#REF!</definedName>
    <definedName name="DADOS" localSheetId="8">#REF!</definedName>
    <definedName name="DADOS" localSheetId="7">#REF!</definedName>
    <definedName name="DADOS">#REF!</definedName>
    <definedName name="dal" localSheetId="15">#REF!</definedName>
    <definedName name="dal" localSheetId="12">'[12]Fresagem de Pista Ago-98'!#REF!</definedName>
    <definedName name="dal" localSheetId="13">#REF!</definedName>
    <definedName name="dal" localSheetId="6">#REF!</definedName>
    <definedName name="dal" localSheetId="11">#REF!</definedName>
    <definedName name="dal" localSheetId="8">#REF!</definedName>
    <definedName name="dal" localSheetId="7">#REF!</definedName>
    <definedName name="dal" localSheetId="0">#REF!</definedName>
    <definedName name="dal">#REF!</definedName>
    <definedName name="danilo" localSheetId="8">#REF!</definedName>
    <definedName name="danilo" localSheetId="7">#REF!</definedName>
    <definedName name="danilo">#REF!</definedName>
    <definedName name="DAR" localSheetId="15">#REF!</definedName>
    <definedName name="DAR" localSheetId="12">'[16]2 S 04 940 02'!$H$65</definedName>
    <definedName name="DAR" localSheetId="13">#REF!</definedName>
    <definedName name="DAR" localSheetId="11">#REF!</definedName>
    <definedName name="DAR" localSheetId="8">#REF!</definedName>
    <definedName name="DAR" localSheetId="7">#REF!</definedName>
    <definedName name="DAR">#REF!</definedName>
    <definedName name="dasd" localSheetId="8">#REF!</definedName>
    <definedName name="dasd" localSheetId="7">#REF!</definedName>
    <definedName name="dasd">#REF!</definedName>
    <definedName name="DATA" localSheetId="15">#REF!</definedName>
    <definedName name="DATA" localSheetId="12">'[12]Fresagem de Pista Ago-98'!#REF!</definedName>
    <definedName name="DATA" localSheetId="13">#REF!</definedName>
    <definedName name="Data" localSheetId="6">#REF!</definedName>
    <definedName name="DATA" localSheetId="11">#REF!</definedName>
    <definedName name="DATA" localSheetId="8">#REF!</definedName>
    <definedName name="DATA" localSheetId="7">#REF!</definedName>
    <definedName name="DATA" localSheetId="0">#REF!</definedName>
    <definedName name="DATA">#REF!</definedName>
    <definedName name="DATA_AT" localSheetId="15">#REF!</definedName>
    <definedName name="DATA_AT" localSheetId="12">[5]DADOS!$C$29</definedName>
    <definedName name="DATA_AT" localSheetId="13">#REF!</definedName>
    <definedName name="DATA_AT" localSheetId="6">#REF!</definedName>
    <definedName name="DATA_AT" localSheetId="11">#REF!</definedName>
    <definedName name="DATA_AT" localSheetId="8">#REF!</definedName>
    <definedName name="DATA_AT" localSheetId="7">#REF!</definedName>
    <definedName name="DATA_AT">#REF!</definedName>
    <definedName name="Data_Final" localSheetId="15">#REF!</definedName>
    <definedName name="Data_Final" localSheetId="4">#REF!</definedName>
    <definedName name="Data_Final" localSheetId="12">#REF!</definedName>
    <definedName name="Data_Final" localSheetId="5">#REF!</definedName>
    <definedName name="Data_Final" localSheetId="13">#REF!</definedName>
    <definedName name="Data_Final" localSheetId="11">#REF!</definedName>
    <definedName name="Data_Final" localSheetId="8">#REF!</definedName>
    <definedName name="Data_Final" localSheetId="7">#REF!</definedName>
    <definedName name="Data_Final" localSheetId="0">#REF!</definedName>
    <definedName name="Data_Final">#REF!</definedName>
    <definedName name="Data_Início" localSheetId="15">#REF!</definedName>
    <definedName name="Data_Início" localSheetId="4">#REF!</definedName>
    <definedName name="Data_Início" localSheetId="12">#REF!</definedName>
    <definedName name="Data_Início" localSheetId="5">#REF!</definedName>
    <definedName name="Data_Início" localSheetId="13">#REF!</definedName>
    <definedName name="Data_Início" localSheetId="11">#REF!</definedName>
    <definedName name="Data_Início" localSheetId="8">#REF!</definedName>
    <definedName name="Data_Início" localSheetId="7">#REF!</definedName>
    <definedName name="Data_Início" localSheetId="0">#REF!</definedName>
    <definedName name="Data_Início">#REF!</definedName>
    <definedName name="DATA_M" localSheetId="15">#REF!</definedName>
    <definedName name="DATA_M" localSheetId="12">[5]DADOS!$C$23</definedName>
    <definedName name="DATA_M" localSheetId="13">#REF!</definedName>
    <definedName name="DATA_M" localSheetId="6">#REF!</definedName>
    <definedName name="DATA_M" localSheetId="11">#REF!</definedName>
    <definedName name="DATA_M" localSheetId="8">#REF!</definedName>
    <definedName name="DATA_M" localSheetId="7">#REF!</definedName>
    <definedName name="DATA_M">#REF!</definedName>
    <definedName name="DATA_NF" localSheetId="15">#REF!</definedName>
    <definedName name="DATA_NF" localSheetId="12">[5]DADOS!$C$25</definedName>
    <definedName name="DATA_NF" localSheetId="13">#REF!</definedName>
    <definedName name="DATA_NF" localSheetId="6">#REF!</definedName>
    <definedName name="DATA_NF" localSheetId="11">#REF!</definedName>
    <definedName name="DATA_NF" localSheetId="8">#REF!</definedName>
    <definedName name="DATA_NF" localSheetId="7">#REF!</definedName>
    <definedName name="DATA_NF">#REF!</definedName>
    <definedName name="data1" localSheetId="15">#REF!</definedName>
    <definedName name="data1" localSheetId="12">[24]TRAÇOS!$A$40</definedName>
    <definedName name="data1" localSheetId="8">#REF!</definedName>
    <definedName name="data1" localSheetId="7">#REF!</definedName>
    <definedName name="data1">#REF!</definedName>
    <definedName name="Database" localSheetId="15">#REF!</definedName>
    <definedName name="Database" localSheetId="4">#REF!</definedName>
    <definedName name="Database" localSheetId="12">#REF!</definedName>
    <definedName name="Database" localSheetId="5">#REF!</definedName>
    <definedName name="Database" localSheetId="13">#REF!</definedName>
    <definedName name="Database" localSheetId="6">#REF!</definedName>
    <definedName name="Database" localSheetId="11">#REF!</definedName>
    <definedName name="Database" localSheetId="8">#REF!</definedName>
    <definedName name="Database" localSheetId="7">#REF!</definedName>
    <definedName name="Database" localSheetId="0">#REF!</definedName>
    <definedName name="Database">#REF!</definedName>
    <definedName name="DATAMEDIÇÃO" localSheetId="15">#REF!</definedName>
    <definedName name="DATAMEDIÇÃO" localSheetId="12">'[3]F. MEDIÇAO'!$C$144</definedName>
    <definedName name="DATAMEDIÇÃO" localSheetId="13">#REF!</definedName>
    <definedName name="DATAMEDIÇÃO" localSheetId="6">#REF!</definedName>
    <definedName name="DATAMEDIÇÃO" localSheetId="11">#REF!</definedName>
    <definedName name="DATAMEDIÇÃO" localSheetId="8">#REF!</definedName>
    <definedName name="DATAMEDIÇÃO" localSheetId="7">#REF!</definedName>
    <definedName name="DATAMEDIÇÃO">#REF!</definedName>
    <definedName name="DB" localSheetId="12">[11]Serviços!$G$37</definedName>
    <definedName name="DB" localSheetId="8">#REF!</definedName>
    <definedName name="DB" localSheetId="7">#REF!</definedName>
    <definedName name="DB">#REF!</definedName>
    <definedName name="DD" localSheetId="15">#REF!</definedName>
    <definedName name="DD" localSheetId="4">#REF!</definedName>
    <definedName name="DD" localSheetId="12">#REF!</definedName>
    <definedName name="DD" localSheetId="5">#REF!</definedName>
    <definedName name="DD" localSheetId="13">#REF!</definedName>
    <definedName name="DD" localSheetId="6">#REF!</definedName>
    <definedName name="DD" localSheetId="11">#REF!</definedName>
    <definedName name="DD" localSheetId="8">#REF!</definedName>
    <definedName name="DD" localSheetId="7">#REF!</definedName>
    <definedName name="DD" localSheetId="0">#REF!</definedName>
    <definedName name="DD">#REF!</definedName>
    <definedName name="DDDD" localSheetId="15">#REF!</definedName>
    <definedName name="DDDD" localSheetId="4">#REF!</definedName>
    <definedName name="DDDD" localSheetId="12">[2]COMPOS1!#REF!</definedName>
    <definedName name="DDDD" localSheetId="5">#REF!</definedName>
    <definedName name="DDDD" localSheetId="13">#REF!</definedName>
    <definedName name="DDDD" localSheetId="11">#REF!</definedName>
    <definedName name="DDDD" localSheetId="8">#REF!</definedName>
    <definedName name="DDDD" localSheetId="7">#REF!</definedName>
    <definedName name="DDDD" localSheetId="2">#REF!</definedName>
    <definedName name="DDDD" localSheetId="1">#REF!</definedName>
    <definedName name="DDDD" localSheetId="0">#REF!</definedName>
    <definedName name="DDDD">#REF!</definedName>
    <definedName name="dddddddd" localSheetId="15">#REF!</definedName>
    <definedName name="dddddddd" localSheetId="4">#REF!</definedName>
    <definedName name="dddddddd" localSheetId="12">#REF!</definedName>
    <definedName name="dddddddd" localSheetId="5">#REF!</definedName>
    <definedName name="dddddddd" localSheetId="13">#REF!</definedName>
    <definedName name="dddddddd" localSheetId="11">#REF!</definedName>
    <definedName name="dddddddd" localSheetId="8">#REF!</definedName>
    <definedName name="dddddddd" localSheetId="7">#REF!</definedName>
    <definedName name="dddddddd" localSheetId="0">#REF!</definedName>
    <definedName name="dddddddd">#REF!</definedName>
    <definedName name="DE_km" localSheetId="15">#REF!</definedName>
    <definedName name="DE_km" localSheetId="12">'[12]Fresagem de Pista Ago-98'!#REF!</definedName>
    <definedName name="DE_km" localSheetId="13">#REF!</definedName>
    <definedName name="DE_km" localSheetId="6">#REF!</definedName>
    <definedName name="DE_km" localSheetId="11">#REF!</definedName>
    <definedName name="DE_km" localSheetId="8">#REF!</definedName>
    <definedName name="DE_km" localSheetId="7">#REF!</definedName>
    <definedName name="DE_km" localSheetId="0">#REF!</definedName>
    <definedName name="DE_km">#REF!</definedName>
    <definedName name="Declividade" localSheetId="8">#REF!</definedName>
    <definedName name="Declividade">'[25]Dimensionamento de Calhas Circu'!$V$6:$V$8</definedName>
    <definedName name="Deco" localSheetId="8">#REF!</definedName>
    <definedName name="Deco" localSheetId="7">#REF!</definedName>
    <definedName name="Deco">#REF!</definedName>
    <definedName name="dedss" localSheetId="15">#REF!</definedName>
    <definedName name="dedss" localSheetId="12">'[3]F. MEDIÇAO'!#REF!</definedName>
    <definedName name="dedss" localSheetId="13">#REF!</definedName>
    <definedName name="dedss" localSheetId="6">#REF!</definedName>
    <definedName name="dedss" localSheetId="11">#REF!</definedName>
    <definedName name="dedss" localSheetId="8">#REF!</definedName>
    <definedName name="dedss" localSheetId="7">#REF!</definedName>
    <definedName name="dedss" localSheetId="0">#REF!</definedName>
    <definedName name="dedss">#REF!</definedName>
    <definedName name="DEMONSTRATIVO_DO_RESULTADO_GERENCIAL___DGR" localSheetId="15">#REF!</definedName>
    <definedName name="DEMONSTRATIVO_DO_RESULTADO_GERENCIAL___DGR" localSheetId="4">#REF!</definedName>
    <definedName name="DEMONSTRATIVO_DO_RESULTADO_GERENCIAL___DGR" localSheetId="12">#REF!</definedName>
    <definedName name="DEMONSTRATIVO_DO_RESULTADO_GERENCIAL___DGR" localSheetId="5">#REF!</definedName>
    <definedName name="DEMONSTRATIVO_DO_RESULTADO_GERENCIAL___DGR" localSheetId="13">#REF!</definedName>
    <definedName name="DEMONSTRATIVO_DO_RESULTADO_GERENCIAL___DGR" localSheetId="6">#REF!</definedName>
    <definedName name="DEMONSTRATIVO_DO_RESULTADO_GERENCIAL___DGR" localSheetId="11">#REF!</definedName>
    <definedName name="DEMONSTRATIVO_DO_RESULTADO_GERENCIAL___DGR" localSheetId="8">#REF!</definedName>
    <definedName name="DEMONSTRATIVO_DO_RESULTADO_GERENCIAL___DGR" localSheetId="7">#REF!</definedName>
    <definedName name="DEMONSTRATIVO_DO_RESULTADO_GERENCIAL___DGR" localSheetId="0">#REF!</definedName>
    <definedName name="DEMONSTRATIVO_DO_RESULTADO_GERENCIAL___DGR">#REF!</definedName>
    <definedName name="DER" localSheetId="15">#REF!</definedName>
    <definedName name="DER" localSheetId="12">'[21]TPU-MARÇO_2002'!$E$2:$E$1965</definedName>
    <definedName name="DER" localSheetId="13">#REF!</definedName>
    <definedName name="DER" localSheetId="11">#REF!</definedName>
    <definedName name="DER" localSheetId="8">#REF!</definedName>
    <definedName name="DER" localSheetId="7">#REF!</definedName>
    <definedName name="DER">#REF!</definedName>
    <definedName name="des" localSheetId="15">#REF!</definedName>
    <definedName name="des" localSheetId="4">#REF!</definedName>
    <definedName name="des" localSheetId="12">#REF!</definedName>
    <definedName name="des" localSheetId="5">#REF!</definedName>
    <definedName name="des" localSheetId="13">#REF!</definedName>
    <definedName name="des" localSheetId="6">#REF!</definedName>
    <definedName name="des" localSheetId="11">#REF!</definedName>
    <definedName name="des" localSheetId="8">#REF!</definedName>
    <definedName name="des" localSheetId="7">#REF!</definedName>
    <definedName name="des" localSheetId="0">#REF!</definedName>
    <definedName name="des">#REF!</definedName>
    <definedName name="DescAux" hidden="1">#N/A</definedName>
    <definedName name="DESCR">"bds"</definedName>
    <definedName name="descricao" localSheetId="15">#REF!</definedName>
    <definedName name="descricao" localSheetId="4">#REF!</definedName>
    <definedName name="descricao" localSheetId="12">#REF!</definedName>
    <definedName name="descricao" localSheetId="5">#REF!</definedName>
    <definedName name="descricao" localSheetId="13">#REF!</definedName>
    <definedName name="descricao" localSheetId="11">#REF!</definedName>
    <definedName name="descricao" localSheetId="8">#REF!</definedName>
    <definedName name="descricao" localSheetId="7">#REF!</definedName>
    <definedName name="descricao" localSheetId="0">#REF!</definedName>
    <definedName name="descricao">#REF!</definedName>
    <definedName name="Desma" localSheetId="15">#REF!</definedName>
    <definedName name="Desma" localSheetId="4">#REF!</definedName>
    <definedName name="Desma" localSheetId="12">#REF!</definedName>
    <definedName name="Desma" localSheetId="5">#REF!</definedName>
    <definedName name="Desma" localSheetId="13">#REF!</definedName>
    <definedName name="Desma" localSheetId="6">#REF!</definedName>
    <definedName name="Desma" localSheetId="11">#REF!</definedName>
    <definedName name="Desma" localSheetId="8">#REF!</definedName>
    <definedName name="Desma" localSheetId="7">#REF!</definedName>
    <definedName name="Desma" localSheetId="0">#REF!</definedName>
    <definedName name="Desma">#REF!</definedName>
    <definedName name="DESOBBUE" localSheetId="15">#REF!</definedName>
    <definedName name="DESOBBUE" localSheetId="4">#REF!</definedName>
    <definedName name="DESOBBUE" localSheetId="12">#REF!</definedName>
    <definedName name="DESOBBUE" localSheetId="5">#REF!</definedName>
    <definedName name="DESOBBUE" localSheetId="13">#REF!</definedName>
    <definedName name="DESOBBUE" localSheetId="6">#REF!</definedName>
    <definedName name="DESOBBUE" localSheetId="8">#REF!</definedName>
    <definedName name="DESOBBUE" localSheetId="7">#REF!</definedName>
    <definedName name="DESOBBUE" localSheetId="0">#REF!</definedName>
    <definedName name="DESOBBUE">#REF!</definedName>
    <definedName name="DESONERACAO" localSheetId="15" hidden="1">IF(OR(Import.Desoneracao="DESONERADO",Import.Desoneracao="SIM"),"SIM","NÃO")</definedName>
    <definedName name="DESONERACAO" localSheetId="12" hidden="1">IF(OR(Import.Desoneracao="DESONERADO",Import.Desoneracao="SIM"),"SIM","NÃO")</definedName>
    <definedName name="DESONERACAO" localSheetId="8" hidden="1">IF(OR(GRELHA!Import.Desoneracao="DESONERADO",GRELHA!Import.Desoneracao="SIM"),"SIM","NÃO")</definedName>
    <definedName name="DESONERACAO" localSheetId="14" hidden="1">IF(OR(PAVIMENTAÇÃO!Import.Desoneracao="DESONERADO",PAVIMENTAÇÃO!Import.Desoneracao="SIM"),"SIM","NÃO")</definedName>
    <definedName name="DESONERACAO" localSheetId="16" hidden="1">IF(OR(Import.Desoneracao="DESONERADO",Import.Desoneracao="SIM"),"SIM","NÃO")</definedName>
    <definedName name="DESONERACAO" hidden="1">IF(OR(Import.Desoneracao="DESONERADO",Import.Desoneracao="SIM"),"SIM","NÃO")</definedName>
    <definedName name="DESTOC15" localSheetId="15">#REF!</definedName>
    <definedName name="DESTOC15" localSheetId="12">[11]Serviços!$G$51</definedName>
    <definedName name="DESTOC15" localSheetId="8">#REF!</definedName>
    <definedName name="DESTOC15" localSheetId="7">#REF!</definedName>
    <definedName name="DESTOC15" localSheetId="16">#REF!</definedName>
    <definedName name="DESTOC15">#REF!</definedName>
    <definedName name="DESTOC30" localSheetId="12">[11]Serviços!$G$52</definedName>
    <definedName name="DESTOC30" localSheetId="8">#REF!</definedName>
    <definedName name="DESTOC30" localSheetId="7">#REF!</definedName>
    <definedName name="DESTOC30">#REF!</definedName>
    <definedName name="Df" localSheetId="8">#REF!</definedName>
    <definedName name="Df" localSheetId="7">#REF!</definedName>
    <definedName name="Df">#REF!</definedName>
    <definedName name="dfdf" localSheetId="15" hidden="1">{#N/A,#N/A,FALSE,"MO (2)"}</definedName>
    <definedName name="dfdf" localSheetId="12" hidden="1">{#N/A,#N/A,FALSE,"MO (2)"}</definedName>
    <definedName name="dfdf" localSheetId="8" hidden="1">{#N/A,#N/A,FALSE,"MO (2)"}</definedName>
    <definedName name="dfdf" localSheetId="14" hidden="1">{#N/A,#N/A,FALSE,"MO (2)"}</definedName>
    <definedName name="dfdf" localSheetId="16" hidden="1">{#N/A,#N/A,FALSE,"MO (2)"}</definedName>
    <definedName name="dfdf" hidden="1">{#N/A,#N/A,FALSE,"MO (2)"}</definedName>
    <definedName name="DGA" localSheetId="15">#REF!</definedName>
    <definedName name="DGA" localSheetId="12">'[15]PRO-08'!#REF!</definedName>
    <definedName name="DGA" localSheetId="13">#REF!</definedName>
    <definedName name="DGA" localSheetId="11">#REF!</definedName>
    <definedName name="DGA" localSheetId="8">#REF!</definedName>
    <definedName name="DGA" localSheetId="7">#REF!</definedName>
    <definedName name="DGA" localSheetId="0">#REF!</definedName>
    <definedName name="DGA">#REF!</definedName>
    <definedName name="dghdfhsdf" localSheetId="15">#REF!</definedName>
    <definedName name="dghdfhsdf" localSheetId="12">[1]SID_NI_5!#REF!</definedName>
    <definedName name="dghdfhsdf" localSheetId="13">#REF!</definedName>
    <definedName name="dghdfhsdf" localSheetId="6">#REF!</definedName>
    <definedName name="dghdfhsdf" localSheetId="11">#REF!</definedName>
    <definedName name="dghdfhsdf" localSheetId="8">#REF!</definedName>
    <definedName name="dghdfhsdf" localSheetId="7">#REF!</definedName>
    <definedName name="dghdfhsdf" localSheetId="0">#REF!</definedName>
    <definedName name="dghdfhsdf">#REF!</definedName>
    <definedName name="dghzdfhsd" localSheetId="15" hidden="1">{#N/A,#N/A,FALSE,"Pla_Preço";#N/A,#N/A,FALSE,"Crono"}</definedName>
    <definedName name="dghzdfhsd" localSheetId="4" hidden="1">{#N/A,#N/A,FALSE,"Pla_Preço";#N/A,#N/A,FALSE,"Crono"}</definedName>
    <definedName name="dghzdfhsd" localSheetId="12" hidden="1">{#N/A,#N/A,FALSE,"Pla_Preço";#N/A,#N/A,FALSE,"Crono"}</definedName>
    <definedName name="dghzdfhsd" localSheetId="5" hidden="1">{#N/A,#N/A,FALSE,"Pla_Preço";#N/A,#N/A,FALSE,"Crono"}</definedName>
    <definedName name="dghzdfhsd" localSheetId="13" hidden="1">{#N/A,#N/A,FALSE,"Pla_Preço";#N/A,#N/A,FALSE,"Crono"}</definedName>
    <definedName name="dghzdfhsd" localSheetId="6" hidden="1">{#N/A,#N/A,FALSE,"Pla_Preço";#N/A,#N/A,FALSE,"Crono"}</definedName>
    <definedName name="dghzdfhsd" localSheetId="11" hidden="1">{#N/A,#N/A,FALSE,"Pla_Preço";#N/A,#N/A,FALSE,"Crono"}</definedName>
    <definedName name="dghzdfhsd" localSheetId="8" hidden="1">{#N/A,#N/A,FALSE,"Pla_Preço";#N/A,#N/A,FALSE,"Crono"}</definedName>
    <definedName name="dghzdfhsd" localSheetId="7" hidden="1">{#N/A,#N/A,FALSE,"Pla_Preço";#N/A,#N/A,FALSE,"Crono"}</definedName>
    <definedName name="dghzdfhsd" localSheetId="2" hidden="1">{#N/A,#N/A,FALSE,"Pla_Preço";#N/A,#N/A,FALSE,"Crono"}</definedName>
    <definedName name="dghzdfhsd" localSheetId="14" hidden="1">{#N/A,#N/A,FALSE,"Pla_Preço";#N/A,#N/A,FALSE,"Crono"}</definedName>
    <definedName name="dghzdfhsd" localSheetId="9" hidden="1">{#N/A,#N/A,FALSE,"Pla_Preço";#N/A,#N/A,FALSE,"Crono"}</definedName>
    <definedName name="dghzdfhsd" localSheetId="1" hidden="1">{#N/A,#N/A,FALSE,"Pla_Preço";#N/A,#N/A,FALSE,"Crono"}</definedName>
    <definedName name="dghzdfhsd" localSheetId="0" hidden="1">{#N/A,#N/A,FALSE,"Pla_Preço";#N/A,#N/A,FALSE,"Crono"}</definedName>
    <definedName name="dghzdfhsd" localSheetId="16" hidden="1">{#N/A,#N/A,FALSE,"Pla_Preço";#N/A,#N/A,FALSE,"Crono"}</definedName>
    <definedName name="dghzdfhsd" hidden="1">{#N/A,#N/A,FALSE,"Pla_Preço";#N/A,#N/A,FALSE,"Crono"}</definedName>
    <definedName name="DIE" localSheetId="15">#REF!</definedName>
    <definedName name="DIE" localSheetId="12">[24]SERV!$E$82</definedName>
    <definedName name="DIE" localSheetId="8">#REF!</definedName>
    <definedName name="DIE" localSheetId="7">#REF!</definedName>
    <definedName name="DIE">#REF!</definedName>
    <definedName name="DIESEL1" localSheetId="12">#REF!</definedName>
    <definedName name="DIESEL1" localSheetId="8">#REF!</definedName>
    <definedName name="DIESEL1">#REF!</definedName>
    <definedName name="DIGITAL" localSheetId="15">'CALÇADA E ACESS.'!DIGITAL</definedName>
    <definedName name="DIGITAL" localSheetId="4">#N/A</definedName>
    <definedName name="DIGITAL" localSheetId="12">COMPLEMENTARES!DIGITAL</definedName>
    <definedName name="DIGITAL" localSheetId="5">#N/A</definedName>
    <definedName name="DIGITAL" localSheetId="13">'DISP. DRENAGEM'!DIGITAL</definedName>
    <definedName name="DIGITAL" localSheetId="6">DMT!DIGITAL</definedName>
    <definedName name="DIGITAL" localSheetId="11">DRENAGEM!DIGITAL</definedName>
    <definedName name="DIGITAL" localSheetId="8">GRELHA!DIGITAL</definedName>
    <definedName name="DIGITAL" localSheetId="7">'MAT BET'!DIGITAL</definedName>
    <definedName name="DIGITAL" localSheetId="2">'ORÇ. SINTÉTICO'!DIGITAL</definedName>
    <definedName name="DIGITAL" localSheetId="14">#N/A</definedName>
    <definedName name="DIGITAL" localSheetId="9">PRELIMINARES!DIGITAL</definedName>
    <definedName name="DIGITAL" localSheetId="1">RESUMO!DIGITAL</definedName>
    <definedName name="DIGITAL" localSheetId="0">'RESUMO DES'!DIGITAL</definedName>
    <definedName name="DIGITAL" localSheetId="16">SINALIZAÇÃO!DIGITAL</definedName>
    <definedName name="DIGITAL">[0]!DIGITAL</definedName>
    <definedName name="DISTAU" localSheetId="15">#REF!</definedName>
    <definedName name="DISTAU" localSheetId="12">[16]DMT!$C$13</definedName>
    <definedName name="DISTAU" localSheetId="13">#REF!</definedName>
    <definedName name="DISTAU" localSheetId="11">#REF!</definedName>
    <definedName name="DISTAU" localSheetId="8">#REF!</definedName>
    <definedName name="DISTAU" localSheetId="7">#REF!</definedName>
    <definedName name="DISTAU">#REF!</definedName>
    <definedName name="DISTBP" localSheetId="15">#REF!</definedName>
    <definedName name="DISTBP" localSheetId="12">[16]DMT!$C$15</definedName>
    <definedName name="DISTBP" localSheetId="13">#REF!</definedName>
    <definedName name="DISTBP" localSheetId="11">#REF!</definedName>
    <definedName name="DISTBP" localSheetId="8">#REF!</definedName>
    <definedName name="DISTBP" localSheetId="7">#REF!</definedName>
    <definedName name="DISTBP">#REF!</definedName>
    <definedName name="DISTBU" localSheetId="15">#REF!</definedName>
    <definedName name="DISTBU" localSheetId="12">[16]DMT!$C$14</definedName>
    <definedName name="DISTBU" localSheetId="13">#REF!</definedName>
    <definedName name="DISTBU" localSheetId="11">#REF!</definedName>
    <definedName name="DISTBU" localSheetId="8">#REF!</definedName>
    <definedName name="DISTBU" localSheetId="7">#REF!</definedName>
    <definedName name="DISTBU">#REF!</definedName>
    <definedName name="DISTCIM" localSheetId="15">#REF!</definedName>
    <definedName name="DISTCIM" localSheetId="12">[16]DMT!$C$23</definedName>
    <definedName name="DISTCIM" localSheetId="13">#REF!</definedName>
    <definedName name="DISTCIM" localSheetId="11">#REF!</definedName>
    <definedName name="DISTCIM" localSheetId="8">#REF!</definedName>
    <definedName name="DISTCIM" localSheetId="7">#REF!</definedName>
    <definedName name="DISTCIM">#REF!</definedName>
    <definedName name="DISTFILLER" localSheetId="15">#REF!</definedName>
    <definedName name="DISTFILLER" localSheetId="12">[16]DMT!$C$20</definedName>
    <definedName name="DISTFILLER" localSheetId="13">#REF!</definedName>
    <definedName name="DISTFILLER" localSheetId="11">#REF!</definedName>
    <definedName name="DISTFILLER" localSheetId="8">#REF!</definedName>
    <definedName name="DISTFILLER" localSheetId="7">#REF!</definedName>
    <definedName name="DISTFILLER">#REF!</definedName>
    <definedName name="DISTFRESADO" localSheetId="15">#REF!</definedName>
    <definedName name="DISTFRESADO" localSheetId="12">[16]DMT!$C$21</definedName>
    <definedName name="DISTFRESADO" localSheetId="13">#REF!</definedName>
    <definedName name="DISTFRESADO" localSheetId="11">#REF!</definedName>
    <definedName name="DISTFRESADO" localSheetId="8">#REF!</definedName>
    <definedName name="DISTFRESADO" localSheetId="7">#REF!</definedName>
    <definedName name="DISTFRESADO">#REF!</definedName>
    <definedName name="DISTMASSA" localSheetId="15">#REF!</definedName>
    <definedName name="DISTMASSA" localSheetId="12">[16]DMT!$C$18</definedName>
    <definedName name="DISTMASSA" localSheetId="13">#REF!</definedName>
    <definedName name="DISTMASSA" localSheetId="11">#REF!</definedName>
    <definedName name="DISTMASSA" localSheetId="8">#REF!</definedName>
    <definedName name="DISTMASSA" localSheetId="7">#REF!</definedName>
    <definedName name="DISTMASSA">#REF!</definedName>
    <definedName name="DISTSOLO" localSheetId="15">#REF!</definedName>
    <definedName name="DISTSOLO" localSheetId="12">[16]DMT!$C$22</definedName>
    <definedName name="DISTSOLO" localSheetId="13">#REF!</definedName>
    <definedName name="DISTSOLO" localSheetId="11">#REF!</definedName>
    <definedName name="DISTSOLO" localSheetId="8">#REF!</definedName>
    <definedName name="DISTSOLO" localSheetId="7">#REF!</definedName>
    <definedName name="DISTSOLO">#REF!</definedName>
    <definedName name="DJ" localSheetId="15">#REF!</definedName>
    <definedName name="DJ" localSheetId="4">#REF!</definedName>
    <definedName name="DJ" localSheetId="12">#REF!</definedName>
    <definedName name="DJ" localSheetId="5">#REF!</definedName>
    <definedName name="DJ" localSheetId="13">#REF!</definedName>
    <definedName name="DJ" localSheetId="11">#REF!</definedName>
    <definedName name="DJ" localSheetId="8">#REF!</definedName>
    <definedName name="DJ" localSheetId="7">#REF!</definedName>
    <definedName name="DJ" localSheetId="0">#REF!</definedName>
    <definedName name="DJ">#REF!</definedName>
    <definedName name="DKJBGKSHAK" localSheetId="8">#REF!</definedName>
    <definedName name="DKJBGKSHAK" localSheetId="7">#REF!</definedName>
    <definedName name="DKJBGKSHAK">#REF!</definedName>
    <definedName name="DMT">2</definedName>
    <definedName name="DMT.BF" localSheetId="12">#REF!</definedName>
    <definedName name="DMT.BF" localSheetId="11">#REF!</definedName>
    <definedName name="DMT.BF" localSheetId="8">#REF!</definedName>
    <definedName name="DMT.BF" localSheetId="7">#REF!</definedName>
    <definedName name="DMT.BF">#REF!</definedName>
    <definedName name="DMT_ADP" localSheetId="12">#REF!</definedName>
    <definedName name="DMT_ADP" localSheetId="11">#REF!</definedName>
    <definedName name="DMT_ADP" localSheetId="8">#REF!</definedName>
    <definedName name="DMT_ADP" localSheetId="7">#REF!</definedName>
    <definedName name="DMT_ADP">#REF!</definedName>
    <definedName name="DMT_ADUELAS" localSheetId="12">#REF!</definedName>
    <definedName name="DMT_ADUELAS" localSheetId="13">#REF!</definedName>
    <definedName name="DMT_ADUELAS" localSheetId="8">#REF!</definedName>
    <definedName name="DMT_ADUELAS" localSheetId="7">#REF!</definedName>
    <definedName name="DMT_ADUELAS">#REF!</definedName>
    <definedName name="DMT_AREIA" localSheetId="8">#REF!</definedName>
    <definedName name="DMT_AREIA" localSheetId="7">#REF!</definedName>
    <definedName name="DMT_AREIA">#REF!</definedName>
    <definedName name="DMT_ARGILA" localSheetId="12">#REF!</definedName>
    <definedName name="DMT_ARGILA" localSheetId="13">#REF!</definedName>
    <definedName name="DMT_ARGILA" localSheetId="8">#REF!</definedName>
    <definedName name="DMT_ARGILA" localSheetId="7">#REF!</definedName>
    <definedName name="DMT_ARGILA">#REF!</definedName>
    <definedName name="DMT_B.ESPERA" localSheetId="12">#REF!</definedName>
    <definedName name="DMT_B.ESPERA" localSheetId="11">#REF!</definedName>
    <definedName name="DMT_B.ESPERA" localSheetId="8">#REF!</definedName>
    <definedName name="DMT_B.ESPERA" localSheetId="7">#REF!</definedName>
    <definedName name="DMT_B.ESPERA">#REF!</definedName>
    <definedName name="DMT_BASE" localSheetId="12">#REF!</definedName>
    <definedName name="DMT_BASE" localSheetId="13">#REF!</definedName>
    <definedName name="DMT_BASE" localSheetId="8">#REF!</definedName>
    <definedName name="DMT_BASE" localSheetId="7">#REF!</definedName>
    <definedName name="DMT_BASE">#REF!</definedName>
    <definedName name="DMT_BASE.SUB.BASE" localSheetId="8">#REF!</definedName>
    <definedName name="DMT_BASE.SUB.BASE">#REF!</definedName>
    <definedName name="DMT_BE" localSheetId="8">#REF!</definedName>
    <definedName name="DMT_BE">#REF!</definedName>
    <definedName name="DMT_BF" localSheetId="12">#REF!</definedName>
    <definedName name="DMT_BF" localSheetId="13">#REF!</definedName>
    <definedName name="DMT_BF" localSheetId="8">#REF!</definedName>
    <definedName name="DMT_BF" localSheetId="7">#REF!</definedName>
    <definedName name="DMT_BF">#REF!</definedName>
    <definedName name="DMT_BOTA.FORA" localSheetId="8">#REF!</definedName>
    <definedName name="DMT_BOTA.FORA">#REF!</definedName>
    <definedName name="DMT_BOTAFORA" localSheetId="8">#REF!</definedName>
    <definedName name="DMT_BOTAFORA" localSheetId="7">#REF!</definedName>
    <definedName name="DMT_BOTAFORA">#REF!</definedName>
    <definedName name="DMT_BRITA">#REF!</definedName>
    <definedName name="DMT_CBUQ" localSheetId="12">#REF!</definedName>
    <definedName name="DMT_CBUQ" localSheetId="13">#REF!</definedName>
    <definedName name="DMT_CBUQ" localSheetId="8">#REF!</definedName>
    <definedName name="DMT_CBUQ" localSheetId="7">#REF!</definedName>
    <definedName name="DMT_CBUQ">#REF!</definedName>
    <definedName name="DMT_CM30" localSheetId="12">#REF!</definedName>
    <definedName name="DMT_CM30" localSheetId="13">#REF!</definedName>
    <definedName name="DMT_CM30" localSheetId="8">#REF!</definedName>
    <definedName name="DMT_CM30" localSheetId="7">#REF!</definedName>
    <definedName name="DMT_CM30">#REF!</definedName>
    <definedName name="DMT_EA" localSheetId="12">#REF!</definedName>
    <definedName name="DMT_EA" localSheetId="8">#REF!</definedName>
    <definedName name="DMT_EA" localSheetId="7">#REF!</definedName>
    <definedName name="DMT_EA">#REF!</definedName>
    <definedName name="DMT_EAI" localSheetId="12">#REF!</definedName>
    <definedName name="DMT_EAI" localSheetId="8">#REF!</definedName>
    <definedName name="DMT_EAI" localSheetId="7">#REF!</definedName>
    <definedName name="DMT_EAI">#REF!</definedName>
    <definedName name="DMT_JAZ.AT" localSheetId="12">#REF!</definedName>
    <definedName name="DMT_JAZ.AT" localSheetId="8">#REF!</definedName>
    <definedName name="DMT_JAZ.AT" localSheetId="7">#REF!</definedName>
    <definedName name="DMT_JAZ.AT">#REF!</definedName>
    <definedName name="DMT_PEDREIRA" localSheetId="12">#REF!</definedName>
    <definedName name="DMT_PEDREIRA" localSheetId="13">#REF!</definedName>
    <definedName name="DMT_PEDREIRA" localSheetId="11">#REF!</definedName>
    <definedName name="DMT_PEDREIRA" localSheetId="8">#REF!</definedName>
    <definedName name="DMT_PEDREIRA" localSheetId="7">#REF!</definedName>
    <definedName name="DMT_PEDREIRA">#REF!</definedName>
    <definedName name="DMT_PISO" localSheetId="12">#REF!</definedName>
    <definedName name="DMT_PISO" localSheetId="13">#REF!</definedName>
    <definedName name="DMT_PISO" localSheetId="8">#REF!</definedName>
    <definedName name="DMT_PISO" localSheetId="7">#REF!</definedName>
    <definedName name="DMT_PISO">#REF!</definedName>
    <definedName name="DMT_RR.2C" localSheetId="8">#REF!</definedName>
    <definedName name="DMT_RR.2C">#REF!</definedName>
    <definedName name="DMT_RR2C" localSheetId="8">#REF!</definedName>
    <definedName name="DMT_RR2C" localSheetId="7">#REF!</definedName>
    <definedName name="DMT_RR2C">#REF!</definedName>
    <definedName name="DMT_TUBOS" localSheetId="12">#REF!</definedName>
    <definedName name="DMT_TUBOS" localSheetId="13">#REF!</definedName>
    <definedName name="DMT_TUBOS" localSheetId="11">#REF!</definedName>
    <definedName name="DMT_TUBOS" localSheetId="8">#REF!</definedName>
    <definedName name="DMT_TUBOS" localSheetId="7">#REF!</definedName>
    <definedName name="DMT_TUBOS">#REF!</definedName>
    <definedName name="dre" localSheetId="15">#REF!</definedName>
    <definedName name="dre" localSheetId="4">#REF!</definedName>
    <definedName name="dre" localSheetId="12">#REF!</definedName>
    <definedName name="dre" localSheetId="5">#REF!</definedName>
    <definedName name="dre" localSheetId="13">#REF!</definedName>
    <definedName name="dre" localSheetId="11">#REF!</definedName>
    <definedName name="dre" localSheetId="8">#REF!</definedName>
    <definedName name="dre" localSheetId="7">#REF!</definedName>
    <definedName name="dre" localSheetId="2">#REF!</definedName>
    <definedName name="dre" localSheetId="1">#REF!</definedName>
    <definedName name="dre" localSheetId="0">#REF!</definedName>
    <definedName name="dre">#REF!</definedName>
    <definedName name="drenae" localSheetId="15">#REF!</definedName>
    <definedName name="drenae" localSheetId="4">#REF!</definedName>
    <definedName name="drenae" localSheetId="5">#REF!</definedName>
    <definedName name="drenae" localSheetId="13">#REF!</definedName>
    <definedName name="drenae" localSheetId="11">#REF!</definedName>
    <definedName name="drenae" localSheetId="8">#REF!</definedName>
    <definedName name="drenae" localSheetId="7">#REF!</definedName>
    <definedName name="drenae" localSheetId="2">#REF!</definedName>
    <definedName name="drenae" localSheetId="1">#REF!</definedName>
    <definedName name="drenae" localSheetId="0">#REF!</definedName>
    <definedName name="drenae">#REF!</definedName>
    <definedName name="drenag" localSheetId="8">#REF!</definedName>
    <definedName name="drenag" localSheetId="7">#REF!</definedName>
    <definedName name="drenag">#REF!</definedName>
    <definedName name="drenagem" localSheetId="8">#REF!</definedName>
    <definedName name="drenagem" localSheetId="7">#REF!</definedName>
    <definedName name="drenagem">#REF!</definedName>
    <definedName name="Dreno1" localSheetId="15">#REF!</definedName>
    <definedName name="Dreno1" localSheetId="4">#REF!</definedName>
    <definedName name="Dreno1" localSheetId="12">'[4]F. MEDIÇAO'!#REF!</definedName>
    <definedName name="Dreno1" localSheetId="5">#REF!</definedName>
    <definedName name="Dreno1" localSheetId="13">#REF!</definedName>
    <definedName name="Dreno1" localSheetId="6">#REF!</definedName>
    <definedName name="Dreno1" localSheetId="11">#REF!</definedName>
    <definedName name="Dreno1" localSheetId="8">#REF!</definedName>
    <definedName name="Dreno1" localSheetId="7">#REF!</definedName>
    <definedName name="Dreno1" localSheetId="2">#REF!</definedName>
    <definedName name="Dreno1" localSheetId="1">#REF!</definedName>
    <definedName name="Dreno1" localSheetId="0">#REF!</definedName>
    <definedName name="Dreno1">#REF!</definedName>
    <definedName name="DRI" localSheetId="8">#REF!</definedName>
    <definedName name="DRI" localSheetId="7">#REF!</definedName>
    <definedName name="DRI">#REF!</definedName>
    <definedName name="dsad" localSheetId="8">#REF!</definedName>
    <definedName name="dsad" localSheetId="7">#REF!</definedName>
    <definedName name="dsad">#REF!</definedName>
    <definedName name="DSASDSA" localSheetId="8">#REF!</definedName>
    <definedName name="DSASDSA">[26]!PassaExtenso</definedName>
    <definedName name="Dsc">#N/A</definedName>
    <definedName name="dsghnfxgvnjxf" localSheetId="15">#REF!</definedName>
    <definedName name="dsghnfxgvnjxf" localSheetId="4">#REF!</definedName>
    <definedName name="dsghnfxgvnjxf" localSheetId="12">#REF!</definedName>
    <definedName name="dsghnfxgvnjxf" localSheetId="5">#REF!</definedName>
    <definedName name="dsghnfxgvnjxf" localSheetId="13">#REF!</definedName>
    <definedName name="dsghnfxgvnjxf" localSheetId="6">#REF!</definedName>
    <definedName name="dsghnfxgvnjxf" localSheetId="11">#REF!</definedName>
    <definedName name="dsghnfxgvnjxf" localSheetId="8">#REF!</definedName>
    <definedName name="dsghnfxgvnjxf" localSheetId="7">#REF!</definedName>
    <definedName name="dsghnfxgvnjxf" localSheetId="0">#REF!</definedName>
    <definedName name="dsghnfxgvnjxf">#REF!</definedName>
    <definedName name="dsgjhxgn" localSheetId="15" hidden="1">{#N/A,#N/A,FALSE,"Pla_Preço";#N/A,#N/A,FALSE,"Crono"}</definedName>
    <definedName name="dsgjhxgn" localSheetId="4" hidden="1">{#N/A,#N/A,FALSE,"Pla_Preço";#N/A,#N/A,FALSE,"Crono"}</definedName>
    <definedName name="dsgjhxgn" localSheetId="12" hidden="1">{#N/A,#N/A,FALSE,"Pla_Preço";#N/A,#N/A,FALSE,"Crono"}</definedName>
    <definedName name="dsgjhxgn" localSheetId="5" hidden="1">{#N/A,#N/A,FALSE,"Pla_Preço";#N/A,#N/A,FALSE,"Crono"}</definedName>
    <definedName name="dsgjhxgn" localSheetId="13" hidden="1">{#N/A,#N/A,FALSE,"Pla_Preço";#N/A,#N/A,FALSE,"Crono"}</definedName>
    <definedName name="dsgjhxgn" localSheetId="6" hidden="1">{#N/A,#N/A,FALSE,"Pla_Preço";#N/A,#N/A,FALSE,"Crono"}</definedName>
    <definedName name="dsgjhxgn" localSheetId="11" hidden="1">{#N/A,#N/A,FALSE,"Pla_Preço";#N/A,#N/A,FALSE,"Crono"}</definedName>
    <definedName name="dsgjhxgn" localSheetId="8" hidden="1">{#N/A,#N/A,FALSE,"Pla_Preço";#N/A,#N/A,FALSE,"Crono"}</definedName>
    <definedName name="dsgjhxgn" localSheetId="7" hidden="1">{#N/A,#N/A,FALSE,"Pla_Preço";#N/A,#N/A,FALSE,"Crono"}</definedName>
    <definedName name="dsgjhxgn" localSheetId="2" hidden="1">{#N/A,#N/A,FALSE,"Pla_Preço";#N/A,#N/A,FALSE,"Crono"}</definedName>
    <definedName name="dsgjhxgn" localSheetId="14" hidden="1">{#N/A,#N/A,FALSE,"Pla_Preço";#N/A,#N/A,FALSE,"Crono"}</definedName>
    <definedName name="dsgjhxgn" localSheetId="9" hidden="1">{#N/A,#N/A,FALSE,"Pla_Preço";#N/A,#N/A,FALSE,"Crono"}</definedName>
    <definedName name="dsgjhxgn" localSheetId="1" hidden="1">{#N/A,#N/A,FALSE,"Pla_Preço";#N/A,#N/A,FALSE,"Crono"}</definedName>
    <definedName name="dsgjhxgn" localSheetId="0" hidden="1">{#N/A,#N/A,FALSE,"Pla_Preço";#N/A,#N/A,FALSE,"Crono"}</definedName>
    <definedName name="dsgjhxgn" localSheetId="16" hidden="1">{#N/A,#N/A,FALSE,"Pla_Preço";#N/A,#N/A,FALSE,"Crono"}</definedName>
    <definedName name="dsgjhxgn" hidden="1">{#N/A,#N/A,FALSE,"Pla_Preço";#N/A,#N/A,FALSE,"Crono"}</definedName>
    <definedName name="dsgsd" localSheetId="12">#REF!</definedName>
    <definedName name="dsgsd" localSheetId="13">#REF!</definedName>
    <definedName name="dsgsd" localSheetId="8">#REF!</definedName>
    <definedName name="dsgsd" localSheetId="7">#REF!</definedName>
    <definedName name="dsgsd" localSheetId="0">#REF!</definedName>
    <definedName name="dsgsd">#REF!</definedName>
    <definedName name="DWD" localSheetId="12">#REF!</definedName>
    <definedName name="DWD" localSheetId="8">#REF!</definedName>
    <definedName name="DWD">#REF!</definedName>
    <definedName name="E" localSheetId="8">#REF!</definedName>
    <definedName name="E" localSheetId="7">#REF!</definedName>
    <definedName name="E">#REF!</definedName>
    <definedName name="e__cm" localSheetId="12">'[12]Fresagem de Pista Ago-98'!#REF!</definedName>
    <definedName name="e__cm" localSheetId="13">#REF!</definedName>
    <definedName name="e__cm" localSheetId="8">#REF!</definedName>
    <definedName name="e__cm" localSheetId="7">#REF!</definedName>
    <definedName name="e__cm" localSheetId="0">#REF!</definedName>
    <definedName name="e__cm">#REF!</definedName>
    <definedName name="ECJ" localSheetId="15">#REF!</definedName>
    <definedName name="ECJ" localSheetId="4">#REF!</definedName>
    <definedName name="ECJ" localSheetId="12">#REF!</definedName>
    <definedName name="ECJ" localSheetId="5">#REF!</definedName>
    <definedName name="ECJ" localSheetId="13">#REF!</definedName>
    <definedName name="ECJ" localSheetId="11">#REF!</definedName>
    <definedName name="ECJ" localSheetId="8">#REF!</definedName>
    <definedName name="ECJ" localSheetId="7">#REF!</definedName>
    <definedName name="ECJ" localSheetId="0">#REF!</definedName>
    <definedName name="ECJ">#REF!</definedName>
    <definedName name="edit" localSheetId="15">#REF!</definedName>
    <definedName name="edit" localSheetId="12">[24]TRAÇOS!$A$23</definedName>
    <definedName name="Edit" localSheetId="6">#REF!</definedName>
    <definedName name="edit" localSheetId="8">#REF!</definedName>
    <definedName name="edit" localSheetId="7">#REF!</definedName>
    <definedName name="edit">#REF!</definedName>
    <definedName name="EDITAL" localSheetId="15">#REF!</definedName>
    <definedName name="EDITAL" localSheetId="12">[24]TRAÇOS!$A$6</definedName>
    <definedName name="EDITAL" localSheetId="6">#REF!</definedName>
    <definedName name="EDITAL" localSheetId="8">#REF!</definedName>
    <definedName name="EDITAL" localSheetId="7">#REF!</definedName>
    <definedName name="EDITAL">#REF!</definedName>
    <definedName name="ee" localSheetId="12">#REF!</definedName>
    <definedName name="ee" localSheetId="8">#REF!</definedName>
    <definedName name="ee">#REF!</definedName>
    <definedName name="eee" localSheetId="8">#REF!</definedName>
    <definedName name="eee" localSheetId="7">#REF!</definedName>
    <definedName name="eee">#REF!</definedName>
    <definedName name="EEEE" localSheetId="15">#REF!</definedName>
    <definedName name="EEEE" localSheetId="4">#REF!</definedName>
    <definedName name="EEEE" localSheetId="12">#REF!</definedName>
    <definedName name="EEEE" localSheetId="5">#REF!</definedName>
    <definedName name="EEEE" localSheetId="13">#REF!</definedName>
    <definedName name="EEEE" localSheetId="6">#REF!</definedName>
    <definedName name="EEEE" localSheetId="11">#REF!</definedName>
    <definedName name="EEEE" localSheetId="8">#REF!</definedName>
    <definedName name="EEEE" localSheetId="7">#REF!</definedName>
    <definedName name="EEEE" localSheetId="0">#REF!</definedName>
    <definedName name="EEEE">#REF!</definedName>
    <definedName name="EEEEE">#REF!</definedName>
    <definedName name="EEEEEEEEE" localSheetId="8">#REF!</definedName>
    <definedName name="EEEEEEEEE" localSheetId="7">#REF!</definedName>
    <definedName name="EEEEEEEEE">#REF!</definedName>
    <definedName name="EJ" localSheetId="15">#REF!</definedName>
    <definedName name="EJ" localSheetId="4">#REF!</definedName>
    <definedName name="EJ" localSheetId="12">#REF!</definedName>
    <definedName name="EJ" localSheetId="5">#REF!</definedName>
    <definedName name="EJ" localSheetId="13">#REF!</definedName>
    <definedName name="EJ" localSheetId="8">#REF!</definedName>
    <definedName name="EJ" localSheetId="7">#REF!</definedName>
    <definedName name="EJ" localSheetId="0">#REF!</definedName>
    <definedName name="EJ">#REF!</definedName>
    <definedName name="eletrica1" localSheetId="15">'CALÇADA E ACESS.'!eletrica1</definedName>
    <definedName name="eletrica1" localSheetId="12">#N/A</definedName>
    <definedName name="eletrica1" localSheetId="8">GRELHA!eletrica1</definedName>
    <definedName name="eletrica1" localSheetId="14">PAVIMENTAÇÃO!eletrica1</definedName>
    <definedName name="eletrica1" localSheetId="16">SINALIZAÇÃO!eletrica1</definedName>
    <definedName name="eletrica1">[0]!eletrica1</definedName>
    <definedName name="eliabe" localSheetId="8">#REF!</definedName>
    <definedName name="eliabe" localSheetId="7">#REF!</definedName>
    <definedName name="eliabe" localSheetId="14">#REF!</definedName>
    <definedName name="eliabe" localSheetId="16">#REF!</definedName>
    <definedName name="eliabe">#REF!</definedName>
    <definedName name="ELLICLAU" localSheetId="8">#REF!</definedName>
    <definedName name="ELLICLAU" localSheetId="7">#REF!</definedName>
    <definedName name="ELLICLAU">#REF!</definedName>
    <definedName name="EM" localSheetId="8">#REF!</definedName>
    <definedName name="EM" localSheetId="7">#REF!</definedName>
    <definedName name="EM">#REF!</definedName>
    <definedName name="EMI" localSheetId="8">#REF!</definedName>
    <definedName name="EMI" localSheetId="7">#REF!</definedName>
    <definedName name="EMI">#REF!</definedName>
    <definedName name="EmpAux" hidden="1">""</definedName>
    <definedName name="Empr" localSheetId="15">#REF!</definedName>
    <definedName name="Empr" localSheetId="4">#REF!</definedName>
    <definedName name="Empr" localSheetId="12">#REF!</definedName>
    <definedName name="Empr" localSheetId="5">#REF!</definedName>
    <definedName name="Empr" localSheetId="13">#REF!</definedName>
    <definedName name="Empr" localSheetId="11">#REF!</definedName>
    <definedName name="Empr" localSheetId="8">#REF!</definedName>
    <definedName name="Empr" localSheetId="7">#REF!</definedName>
    <definedName name="Empr" localSheetId="0">#REF!</definedName>
    <definedName name="Empr">#REF!</definedName>
    <definedName name="EMPRESA" localSheetId="15">#REF!</definedName>
    <definedName name="EMPRESA" localSheetId="12">[16]DADOS!$B$11</definedName>
    <definedName name="EMPRESA" localSheetId="13">#REF!</definedName>
    <definedName name="EMPRESA" localSheetId="11">#REF!</definedName>
    <definedName name="EMPRESA" localSheetId="8">#REF!</definedName>
    <definedName name="EMPRESA" localSheetId="7">#REF!</definedName>
    <definedName name="EMPRESA">#REF!</definedName>
    <definedName name="emprestimo" localSheetId="15">#REF!</definedName>
    <definedName name="emprestimo" localSheetId="12">'[17]Vínculo (2)'!$Y$13</definedName>
    <definedName name="emprestimo" localSheetId="13">#REF!</definedName>
    <definedName name="emprestimo" localSheetId="11">#REF!</definedName>
    <definedName name="emprestimo" localSheetId="8">#REF!</definedName>
    <definedName name="emprestimo" localSheetId="7">#REF!</definedName>
    <definedName name="emprestimo">#REF!</definedName>
    <definedName name="ENC" localSheetId="15">#REF!</definedName>
    <definedName name="ENC" localSheetId="4">#REF!</definedName>
    <definedName name="ENC" localSheetId="12">#REF!</definedName>
    <definedName name="ENC" localSheetId="5">#REF!</definedName>
    <definedName name="ENC" localSheetId="13">#REF!</definedName>
    <definedName name="ENC" localSheetId="11">#REF!</definedName>
    <definedName name="ENC" localSheetId="8">#REF!</definedName>
    <definedName name="ENC" localSheetId="7">#REF!</definedName>
    <definedName name="ENC" localSheetId="0">#REF!</definedName>
    <definedName name="ENC">#REF!</definedName>
    <definedName name="ENCARREGADO" localSheetId="12">[11]Serviços!$G$60</definedName>
    <definedName name="ENCARREGADO" localSheetId="8">#REF!</definedName>
    <definedName name="ENCARREGADO" localSheetId="7">#REF!</definedName>
    <definedName name="ENCARREGADO">#REF!</definedName>
    <definedName name="ENG" localSheetId="15">#REF!</definedName>
    <definedName name="ENG" localSheetId="12">[16]DADOS!$B$12</definedName>
    <definedName name="ENG" localSheetId="13">#REF!</definedName>
    <definedName name="ENG" localSheetId="11">#REF!</definedName>
    <definedName name="ENG" localSheetId="8">#REF!</definedName>
    <definedName name="ENG" localSheetId="7">#REF!</definedName>
    <definedName name="ENG">#REF!</definedName>
    <definedName name="ENROCAMENTO" localSheetId="15">#REF!</definedName>
    <definedName name="ENROCAMENTO" localSheetId="4">#REF!</definedName>
    <definedName name="ENROCAMENTO" localSheetId="12">#REF!</definedName>
    <definedName name="ENROCAMENTO" localSheetId="5">#REF!</definedName>
    <definedName name="ENROCAMENTO" localSheetId="13">#REF!</definedName>
    <definedName name="ENROCAMENTO" localSheetId="6">#REF!</definedName>
    <definedName name="ENROCAMENTO" localSheetId="11">#REF!</definedName>
    <definedName name="ENROCAMENTO" localSheetId="8">#REF!</definedName>
    <definedName name="ENROCAMENTO" localSheetId="7">#REF!</definedName>
    <definedName name="ENROCAMENTO" localSheetId="0">#REF!</definedName>
    <definedName name="ENROCAMENTO">#REF!</definedName>
    <definedName name="ENROCAMENTOJOGADA" localSheetId="15">#REF!</definedName>
    <definedName name="ENROCAMENTOJOGADA" localSheetId="4">#REF!</definedName>
    <definedName name="ENROCAMENTOJOGADA" localSheetId="12">#REF!</definedName>
    <definedName name="ENROCAMENTOJOGADA" localSheetId="5">#REF!</definedName>
    <definedName name="ENROCAMENTOJOGADA" localSheetId="13">#REF!</definedName>
    <definedName name="ENROCAMENTOJOGADA" localSheetId="6">#REF!</definedName>
    <definedName name="ENROCAMENTOJOGADA" localSheetId="11">#REF!</definedName>
    <definedName name="ENROCAMENTOJOGADA" localSheetId="8">#REF!</definedName>
    <definedName name="ENROCAMENTOJOGADA" localSheetId="7">#REF!</definedName>
    <definedName name="ENROCAMENTOJOGADA" localSheetId="0">#REF!</definedName>
    <definedName name="ENROCAMENTOJOGADA">#REF!</definedName>
    <definedName name="EPA" localSheetId="15">#REF!</definedName>
    <definedName name="EPA" localSheetId="12">[9]SERVIÇOS!#REF!</definedName>
    <definedName name="EPA" localSheetId="13">#REF!</definedName>
    <definedName name="EPA" localSheetId="6">#REF!</definedName>
    <definedName name="EPA" localSheetId="11">#REF!</definedName>
    <definedName name="EPA" localSheetId="8">#REF!</definedName>
    <definedName name="EPA" localSheetId="7">#REF!</definedName>
    <definedName name="EPA" localSheetId="0">#REF!</definedName>
    <definedName name="EPA">#REF!</definedName>
    <definedName name="EPJ" localSheetId="12">[9]SERVIÇOS!#REF!</definedName>
    <definedName name="EPJ" localSheetId="13">#REF!</definedName>
    <definedName name="EPJ" localSheetId="6">#REF!</definedName>
    <definedName name="EPJ" localSheetId="11">#REF!</definedName>
    <definedName name="EPJ" localSheetId="8">#REF!</definedName>
    <definedName name="EPJ" localSheetId="7">#REF!</definedName>
    <definedName name="EPJ" localSheetId="0">#REF!</definedName>
    <definedName name="EPJ">#REF!</definedName>
    <definedName name="EQ" localSheetId="15" hidden="1">#REF!</definedName>
    <definedName name="EQ" localSheetId="4" hidden="1">#REF!</definedName>
    <definedName name="EQ" localSheetId="12" hidden="1">#REF!</definedName>
    <definedName name="EQ" localSheetId="5" hidden="1">#REF!</definedName>
    <definedName name="EQ" localSheetId="13" hidden="1">#REF!</definedName>
    <definedName name="EQ" localSheetId="11" hidden="1">#REF!</definedName>
    <definedName name="EQ" localSheetId="8" hidden="1">#REF!</definedName>
    <definedName name="EQ" localSheetId="7" hidden="1">#REF!</definedName>
    <definedName name="EQ" localSheetId="0" hidden="1">#REF!</definedName>
    <definedName name="EQ" localSheetId="16" hidden="1">#REF!</definedName>
    <definedName name="EQ" hidden="1">#REF!</definedName>
    <definedName name="EQUIP" localSheetId="15">#REF!</definedName>
    <definedName name="EQUIP" localSheetId="12">[24]EQUIPMO!$B$11</definedName>
    <definedName name="Equip" localSheetId="6">#REF!</definedName>
    <definedName name="EQUIP" localSheetId="8">#REF!</definedName>
    <definedName name="EQUIP" localSheetId="7">#REF!</definedName>
    <definedName name="EQUIP">#REF!</definedName>
    <definedName name="ER" localSheetId="12">#REF!</definedName>
    <definedName name="ER" localSheetId="8">#REF!</definedName>
    <definedName name="ER">#REF!</definedName>
    <definedName name="erte" localSheetId="8">#REF!</definedName>
    <definedName name="erte" localSheetId="7">#REF!</definedName>
    <definedName name="erte">#REF!</definedName>
    <definedName name="ES" localSheetId="15">#REF!</definedName>
    <definedName name="ES" localSheetId="4">#REF!</definedName>
    <definedName name="ES" localSheetId="12">#REF!</definedName>
    <definedName name="ES" localSheetId="5">#REF!</definedName>
    <definedName name="ES" localSheetId="13">#REF!</definedName>
    <definedName name="ES" localSheetId="11">#REF!</definedName>
    <definedName name="ES" localSheetId="8">#REF!</definedName>
    <definedName name="ES" localSheetId="7">#REF!</definedName>
    <definedName name="ES" localSheetId="0">#REF!</definedName>
    <definedName name="ES">#REF!</definedName>
    <definedName name="ESC1CAT" localSheetId="12">[11]Serviços!$G$21</definedName>
    <definedName name="ESC1CAT" localSheetId="8">#REF!</definedName>
    <definedName name="ESC1CAT" localSheetId="7">#REF!</definedName>
    <definedName name="ESC1CAT">#REF!</definedName>
    <definedName name="ESCAVAÇÃO" localSheetId="15">#REF!</definedName>
    <definedName name="ESCAVAÇÃO" localSheetId="4">#REF!</definedName>
    <definedName name="ESCAVAÇÃO" localSheetId="12">#REF!</definedName>
    <definedName name="ESCAVAÇÃO" localSheetId="5">#REF!</definedName>
    <definedName name="ESCAVAÇÃO" localSheetId="13">#REF!</definedName>
    <definedName name="ESCAVAÇÃO" localSheetId="6">#REF!</definedName>
    <definedName name="ESCAVAÇÃO" localSheetId="11">#REF!</definedName>
    <definedName name="ESCAVAÇÃO" localSheetId="8">#REF!</definedName>
    <definedName name="ESCAVAÇÃO" localSheetId="7">#REF!</definedName>
    <definedName name="ESCAVAÇÃO" localSheetId="0">#REF!</definedName>
    <definedName name="ESCAVAÇÃO">#REF!</definedName>
    <definedName name="Eu" localSheetId="15">#REF!</definedName>
    <definedName name="Eu" localSheetId="4">#REF!</definedName>
    <definedName name="Eu" localSheetId="12">#REF!</definedName>
    <definedName name="Eu" localSheetId="5">#REF!</definedName>
    <definedName name="Eu" localSheetId="13">#REF!</definedName>
    <definedName name="Eu" localSheetId="6">#REF!</definedName>
    <definedName name="Eu" localSheetId="11">#REF!</definedName>
    <definedName name="Eu" localSheetId="8">#REF!</definedName>
    <definedName name="Eu" localSheetId="7">#REF!</definedName>
    <definedName name="Eu" localSheetId="0">#REF!</definedName>
    <definedName name="Eu">#REF!</definedName>
    <definedName name="EX" localSheetId="15">#REF!</definedName>
    <definedName name="EX" localSheetId="4">#REF!</definedName>
    <definedName name="EX" localSheetId="12">#REF!</definedName>
    <definedName name="EX" localSheetId="5">#REF!</definedName>
    <definedName name="EX" localSheetId="13">#REF!</definedName>
    <definedName name="EX" localSheetId="6">#REF!</definedName>
    <definedName name="EX" localSheetId="8">#REF!</definedName>
    <definedName name="EX" localSheetId="7">#REF!</definedName>
    <definedName name="EX" localSheetId="0">#REF!</definedName>
    <definedName name="EX">#REF!</definedName>
    <definedName name="EXA" localSheetId="15">#REF!</definedName>
    <definedName name="EXA" localSheetId="4">#REF!</definedName>
    <definedName name="EXA" localSheetId="12">'[15]PRO-08'!#REF!</definedName>
    <definedName name="EXA" localSheetId="5">#REF!</definedName>
    <definedName name="EXA" localSheetId="13">#REF!</definedName>
    <definedName name="EXA" localSheetId="11">#REF!</definedName>
    <definedName name="EXA" localSheetId="8">#REF!</definedName>
    <definedName name="EXA" localSheetId="7">#REF!</definedName>
    <definedName name="EXA" localSheetId="2">#REF!</definedName>
    <definedName name="EXA" localSheetId="1">#REF!</definedName>
    <definedName name="EXA" localSheetId="0">#REF!</definedName>
    <definedName name="EXA">#REF!</definedName>
    <definedName name="Excel_BuiltIn__FilterDatabase_11" localSheetId="8">#REF!</definedName>
    <definedName name="Excel_BuiltIn__FilterDatabase_11" localSheetId="7">#REF!</definedName>
    <definedName name="Excel_BuiltIn__FilterDatabase_11">#REF!</definedName>
    <definedName name="Excel_BuiltIn__FilterDatabase_12" localSheetId="8">#REF!</definedName>
    <definedName name="Excel_BuiltIn__FilterDatabase_12" localSheetId="7">#REF!</definedName>
    <definedName name="Excel_BuiltIn__FilterDatabase_12">#REF!</definedName>
    <definedName name="Excel_BuiltIn__FilterDatabase_2" localSheetId="8">#REF!</definedName>
    <definedName name="Excel_BuiltIn__FilterDatabase_2" localSheetId="7">#REF!</definedName>
    <definedName name="Excel_BuiltIn__FilterDatabase_2">#REF!</definedName>
    <definedName name="Excel_BuiltIn__FilterDatabase_3" localSheetId="8">#REF!</definedName>
    <definedName name="Excel_BuiltIn__FilterDatabase_3" localSheetId="7">#REF!</definedName>
    <definedName name="Excel_BuiltIn__FilterDatabase_3">#REF!</definedName>
    <definedName name="Excel_BuiltIn__FilterDatabase_4" localSheetId="8">#REF!</definedName>
    <definedName name="Excel_BuiltIn__FilterDatabase_4" localSheetId="7">#REF!</definedName>
    <definedName name="Excel_BuiltIn__FilterDatabase_4">#REF!</definedName>
    <definedName name="Excel_BuiltIn__FilterDatabase_5" localSheetId="8">#REF!</definedName>
    <definedName name="Excel_BuiltIn__FilterDatabase_5" localSheetId="7">#REF!</definedName>
    <definedName name="Excel_BuiltIn__FilterDatabase_5">#REF!</definedName>
    <definedName name="Excel_BuiltIn__FilterDatabase_6" localSheetId="8">#REF!</definedName>
    <definedName name="Excel_BuiltIn__FilterDatabase_6" localSheetId="7">#REF!</definedName>
    <definedName name="Excel_BuiltIn__FilterDatabase_6">#REF!</definedName>
    <definedName name="Excel_BuiltIn__FilterDatabase_7" localSheetId="8">#REF!</definedName>
    <definedName name="Excel_BuiltIn__FilterDatabase_7" localSheetId="7">#REF!</definedName>
    <definedName name="Excel_BuiltIn__FilterDatabase_7">#REF!</definedName>
    <definedName name="Excel_BuiltIn__FilterDatabase_8" localSheetId="8">#REF!</definedName>
    <definedName name="Excel_BuiltIn__FilterDatabase_8" localSheetId="7">#REF!</definedName>
    <definedName name="Excel_BuiltIn__FilterDatabase_8">#REF!</definedName>
    <definedName name="Excel_BuiltIn__FilterDatabase_9" localSheetId="8">#REF!</definedName>
    <definedName name="Excel_BuiltIn__FilterDatabase_9" localSheetId="7">#REF!</definedName>
    <definedName name="Excel_BuiltIn__FilterDatabase_9">#REF!</definedName>
    <definedName name="Excel_BuiltIn_Database" localSheetId="8">#REF!</definedName>
    <definedName name="Excel_BuiltIn_Database" localSheetId="7">#REF!</definedName>
    <definedName name="Excel_BuiltIn_Database">#REF!</definedName>
    <definedName name="Excel_BuiltIn_Database_1" localSheetId="8">#REF!</definedName>
    <definedName name="Excel_BuiltIn_Database_1" localSheetId="7">#REF!</definedName>
    <definedName name="Excel_BuiltIn_Database_1">#REF!</definedName>
    <definedName name="Excel_BuiltIn_Database_6" localSheetId="8">#REF!</definedName>
    <definedName name="Excel_BuiltIn_Database_6" localSheetId="7">#REF!</definedName>
    <definedName name="Excel_BuiltIn_Database_6">#REF!</definedName>
    <definedName name="Excel_BuiltIn_Print_Area_2" localSheetId="15">#REF!</definedName>
    <definedName name="Excel_BuiltIn_Print_Area_2" localSheetId="4">#REF!</definedName>
    <definedName name="Excel_BuiltIn_Print_Area_2" localSheetId="12">#REF!</definedName>
    <definedName name="Excel_BuiltIn_Print_Area_2" localSheetId="5">#REF!</definedName>
    <definedName name="Excel_BuiltIn_Print_Area_2" localSheetId="13">#REF!</definedName>
    <definedName name="Excel_BuiltIn_Print_Area_2" localSheetId="11">#REF!</definedName>
    <definedName name="Excel_BuiltIn_Print_Area_2" localSheetId="8">#REF!</definedName>
    <definedName name="Excel_BuiltIn_Print_Area_2" localSheetId="7">#REF!</definedName>
    <definedName name="Excel_BuiltIn_Print_Area_2" localSheetId="0">#REF!</definedName>
    <definedName name="Excel_BuiltIn_Print_Area_2">#REF!</definedName>
    <definedName name="Excel_BuiltIn_Print_Area_3" localSheetId="8">#REF!</definedName>
    <definedName name="Excel_BuiltIn_Print_Area_3" localSheetId="7">#REF!</definedName>
    <definedName name="Excel_BuiltIn_Print_Area_3">#REF!</definedName>
    <definedName name="Excel_BuiltIn_Print_Area_4" localSheetId="8">#REF!</definedName>
    <definedName name="Excel_BuiltIn_Print_Area_4" localSheetId="7">#REF!</definedName>
    <definedName name="Excel_BuiltIn_Print_Area_4">#REF!</definedName>
    <definedName name="Excel_BuiltIn_Print_Titles_2" localSheetId="8">#REF!</definedName>
    <definedName name="Excel_BuiltIn_Print_Titles_2" localSheetId="7">#REF!</definedName>
    <definedName name="Excel_BuiltIn_Print_Titles_2">#REF!</definedName>
    <definedName name="Excel_BuiltIn_Print_Titles_3" localSheetId="8">#REF!</definedName>
    <definedName name="Excel_BuiltIn_Print_Titles_3" localSheetId="7">#REF!</definedName>
    <definedName name="Excel_BuiltIn_Print_Titles_3">#REF!</definedName>
    <definedName name="Excel_BuiltIn_Print_Titles_3_1">NA()</definedName>
    <definedName name="Excel_BuiltIn_Print_Titles_4" localSheetId="8">#REF!</definedName>
    <definedName name="Excel_BuiltIn_Print_Titles_4" localSheetId="7">#REF!</definedName>
    <definedName name="Excel_BuiltIn_Print_Titles_4" localSheetId="14">#REF!</definedName>
    <definedName name="Excel_BuiltIn_Print_Titles_4">#REF!</definedName>
    <definedName name="Excel_BuiltIn_Print_Titles_6_1" localSheetId="8">#REF!</definedName>
    <definedName name="Excel_BuiltIn_Print_Titles_6_1" localSheetId="7">#REF!</definedName>
    <definedName name="Excel_BuiltIn_Print_Titles_6_1">#REF!</definedName>
    <definedName name="EXT" localSheetId="12">[9]INDICES!$C$129</definedName>
    <definedName name="Ext" localSheetId="6">#REF!</definedName>
    <definedName name="EXT" localSheetId="8">#REF!</definedName>
    <definedName name="EXT" localSheetId="7">#REF!</definedName>
    <definedName name="EXT">#REF!</definedName>
    <definedName name="EXT__m" localSheetId="15">#REF!</definedName>
    <definedName name="EXT__m" localSheetId="12">'[12]Fresagem de Pista Ago-98'!#REF!</definedName>
    <definedName name="EXT__m" localSheetId="13">#REF!</definedName>
    <definedName name="EXT__m" localSheetId="6">#REF!</definedName>
    <definedName name="EXT__m" localSheetId="11">#REF!</definedName>
    <definedName name="EXT__m" localSheetId="8">#REF!</definedName>
    <definedName name="EXT__m" localSheetId="7">#REF!</definedName>
    <definedName name="EXT__m" localSheetId="0">#REF!</definedName>
    <definedName name="EXT__m">#REF!</definedName>
    <definedName name="extenção" localSheetId="15">#REF!</definedName>
    <definedName name="extenção" localSheetId="4">#REF!</definedName>
    <definedName name="extenção" localSheetId="12">#REF!</definedName>
    <definedName name="extenção" localSheetId="5">#REF!</definedName>
    <definedName name="extenção" localSheetId="13">#REF!</definedName>
    <definedName name="extenção" localSheetId="6">#REF!</definedName>
    <definedName name="extenção" localSheetId="11">#REF!</definedName>
    <definedName name="extenção" localSheetId="8">#REF!</definedName>
    <definedName name="extenção" localSheetId="7">#REF!</definedName>
    <definedName name="extenção" localSheetId="0">#REF!</definedName>
    <definedName name="extenção">#REF!</definedName>
    <definedName name="EXTENSÃO" localSheetId="15">#REF!</definedName>
    <definedName name="EXTENSÃO" localSheetId="12">[5]DADOS!$C$16</definedName>
    <definedName name="EXTENSÃO" localSheetId="13">#REF!</definedName>
    <definedName name="EXTENSÃO" localSheetId="6">#REF!</definedName>
    <definedName name="EXTENSÃO" localSheetId="11">#REF!</definedName>
    <definedName name="EXTENSÃO" localSheetId="8">#REF!</definedName>
    <definedName name="EXTENSÃO" localSheetId="7">#REF!</definedName>
    <definedName name="EXTENSÃO">#REF!</definedName>
    <definedName name="Extenso" localSheetId="15">'CALÇADA E ACESS.'!Extenso</definedName>
    <definedName name="Extenso" localSheetId="4">#N/A</definedName>
    <definedName name="Extenso" localSheetId="12">COMPLEMENTARES!Extenso</definedName>
    <definedName name="Extenso" localSheetId="5">#N/A</definedName>
    <definedName name="Extenso" localSheetId="13">'DISP. DRENAGEM'!Extenso</definedName>
    <definedName name="Extenso" localSheetId="6">DMT!Extenso</definedName>
    <definedName name="Extenso" localSheetId="11">DRENAGEM!Extenso</definedName>
    <definedName name="Extenso" localSheetId="8">GRELHA!Extenso</definedName>
    <definedName name="Extenso" localSheetId="7">'MAT BET'!Extenso</definedName>
    <definedName name="Extenso" localSheetId="2">'ORÇ. SINTÉTICO'!Extenso</definedName>
    <definedName name="Extenso" localSheetId="14">#N/A</definedName>
    <definedName name="Extenso" localSheetId="9">PRELIMINARES!Extenso</definedName>
    <definedName name="Extenso" localSheetId="1">RESUMO!Extenso</definedName>
    <definedName name="Extenso" localSheetId="0">'RESUMO DES'!Extenso</definedName>
    <definedName name="Extenso" localSheetId="16">SINALIZAÇÃO!Extenso</definedName>
    <definedName name="Extenso">[0]!Extenso</definedName>
    <definedName name="Extract" localSheetId="15">#REF!</definedName>
    <definedName name="Extract" localSheetId="12">'[8]DESEMP AN'!$B$36:$H$36</definedName>
    <definedName name="Extract" localSheetId="13">#REF!</definedName>
    <definedName name="Extract" localSheetId="6">#REF!</definedName>
    <definedName name="Extract" localSheetId="11">#REF!</definedName>
    <definedName name="Extract" localSheetId="8">#REF!</definedName>
    <definedName name="Extract" localSheetId="7">#REF!</definedName>
    <definedName name="Extract">#REF!</definedName>
    <definedName name="f" localSheetId="4">#REF!</definedName>
    <definedName name="f" localSheetId="12">#REF!</definedName>
    <definedName name="f" localSheetId="5">#REF!</definedName>
    <definedName name="f" localSheetId="13">#REF!</definedName>
    <definedName name="f" localSheetId="11">#REF!</definedName>
    <definedName name="f" localSheetId="8">#REF!</definedName>
    <definedName name="f" localSheetId="7">#REF!</definedName>
    <definedName name="f" localSheetId="2">#REF!</definedName>
    <definedName name="f" localSheetId="1">#REF!</definedName>
    <definedName name="f" localSheetId="0">#REF!</definedName>
    <definedName name="f">#REF!</definedName>
    <definedName name="FAB">"Figura 3"</definedName>
    <definedName name="fator" localSheetId="15">#REF!</definedName>
    <definedName name="fator" localSheetId="4">#REF!</definedName>
    <definedName name="fator" localSheetId="12">#REF!</definedName>
    <definedName name="fator" localSheetId="5">#REF!</definedName>
    <definedName name="fator" localSheetId="13">#REF!</definedName>
    <definedName name="fator" localSheetId="11">#REF!</definedName>
    <definedName name="fator" localSheetId="8">#REF!</definedName>
    <definedName name="fator" localSheetId="7">#REF!</definedName>
    <definedName name="fator" localSheetId="0">#REF!</definedName>
    <definedName name="fator">#REF!</definedName>
    <definedName name="FATOR1" localSheetId="15">#REF!</definedName>
    <definedName name="FATOR1" localSheetId="12">'[21]TPU-MARÇO_2002'!$L$2:$L$20</definedName>
    <definedName name="FATOR1" localSheetId="13">#REF!</definedName>
    <definedName name="FATOR1" localSheetId="11">#REF!</definedName>
    <definedName name="FATOR1" localSheetId="8">#REF!</definedName>
    <definedName name="FATOR1" localSheetId="7">#REF!</definedName>
    <definedName name="FATOR1">#REF!</definedName>
    <definedName name="FatSabadoOut" localSheetId="12">#REF!</definedName>
    <definedName name="FatSabadoOut" localSheetId="8">#REF!</definedName>
    <definedName name="FatSabadoOut">#REF!</definedName>
    <definedName name="FatSextaOut" localSheetId="8">#REF!</definedName>
    <definedName name="FatSextaOut">#REF!</definedName>
    <definedName name="fc1a" localSheetId="15">#REF!</definedName>
    <definedName name="fc1a" localSheetId="12">'[15]PRO-08'!#REF!</definedName>
    <definedName name="fc1a" localSheetId="13">#REF!</definedName>
    <definedName name="fc1a" localSheetId="11">#REF!</definedName>
    <definedName name="fc1a" localSheetId="8">#REF!</definedName>
    <definedName name="fc1a" localSheetId="7">#REF!</definedName>
    <definedName name="fc1a" localSheetId="0">#REF!</definedName>
    <definedName name="fc1a">#REF!</definedName>
    <definedName name="FC2A" localSheetId="15">#REF!</definedName>
    <definedName name="FC2A" localSheetId="12">'[15]PRO-08'!#REF!</definedName>
    <definedName name="FC2A" localSheetId="13">#REF!</definedName>
    <definedName name="FC2A" localSheetId="11">#REF!</definedName>
    <definedName name="FC2A" localSheetId="8">#REF!</definedName>
    <definedName name="FC2A" localSheetId="7">#REF!</definedName>
    <definedName name="FC2A" localSheetId="0">#REF!</definedName>
    <definedName name="FC2A">#REF!</definedName>
    <definedName name="FC3A" localSheetId="15">#REF!</definedName>
    <definedName name="FC3A" localSheetId="12">'[15]PRO-08'!#REF!</definedName>
    <definedName name="FC3A" localSheetId="13">#REF!</definedName>
    <definedName name="FC3A" localSheetId="11">#REF!</definedName>
    <definedName name="FC3A" localSheetId="8">#REF!</definedName>
    <definedName name="FC3A" localSheetId="7">#REF!</definedName>
    <definedName name="FC3A" localSheetId="0">#REF!</definedName>
    <definedName name="FC3A">#REF!</definedName>
    <definedName name="Fd" localSheetId="8">#REF!</definedName>
    <definedName name="Fd" localSheetId="7">#REF!</definedName>
    <definedName name="Fd">#REF!</definedName>
    <definedName name="fdf" localSheetId="15" hidden="1">{#N/A,#N/A,FALSE,"MO (2)"}</definedName>
    <definedName name="fdf" localSheetId="12" hidden="1">{#N/A,#N/A,FALSE,"MO (2)"}</definedName>
    <definedName name="fdf" localSheetId="8" hidden="1">{#N/A,#N/A,FALSE,"MO (2)"}</definedName>
    <definedName name="fdf" localSheetId="14" hidden="1">{#N/A,#N/A,FALSE,"MO (2)"}</definedName>
    <definedName name="fdf" localSheetId="16" hidden="1">{#N/A,#N/A,FALSE,"MO (2)"}</definedName>
    <definedName name="fdf" hidden="1">{#N/A,#N/A,FALSE,"MO (2)"}</definedName>
    <definedName name="fdfd" localSheetId="15" hidden="1">{#N/A,#N/A,FALSE,"MO (2)"}</definedName>
    <definedName name="fdfd" localSheetId="12" hidden="1">{#N/A,#N/A,FALSE,"MO (2)"}</definedName>
    <definedName name="fdfd" localSheetId="8" hidden="1">{#N/A,#N/A,FALSE,"MO (2)"}</definedName>
    <definedName name="fdfd" localSheetId="14" hidden="1">{#N/A,#N/A,FALSE,"MO (2)"}</definedName>
    <definedName name="fdfd" localSheetId="16" hidden="1">{#N/A,#N/A,FALSE,"MO (2)"}</definedName>
    <definedName name="fdfd" hidden="1">{#N/A,#N/A,FALSE,"MO (2)"}</definedName>
    <definedName name="feriados" localSheetId="15">#REF!</definedName>
    <definedName name="feriados" localSheetId="4">#REF!</definedName>
    <definedName name="feriados" localSheetId="12">#REF!</definedName>
    <definedName name="feriados" localSheetId="5">#REF!</definedName>
    <definedName name="feriados" localSheetId="13">#REF!</definedName>
    <definedName name="feriados" localSheetId="6">#REF!</definedName>
    <definedName name="feriados" localSheetId="11">#REF!</definedName>
    <definedName name="feriados" localSheetId="8">#REF!</definedName>
    <definedName name="feriados" localSheetId="7">#REF!</definedName>
    <definedName name="feriados" localSheetId="0">#REF!</definedName>
    <definedName name="feriados">#REF!</definedName>
    <definedName name="fgsagvasdf" localSheetId="8">#REF!</definedName>
    <definedName name="fgsagvasdf" localSheetId="7">#REF!</definedName>
    <definedName name="fgsagvasdf">#REF!</definedName>
    <definedName name="fhdfhsfd" localSheetId="15">#REF!</definedName>
    <definedName name="fhdfhsfd" localSheetId="12">[1]SID_NI_5!#REF!</definedName>
    <definedName name="fhdfhsfd" localSheetId="13">#REF!</definedName>
    <definedName name="fhdfhsfd" localSheetId="6">#REF!</definedName>
    <definedName name="fhdfhsfd" localSheetId="11">#REF!</definedName>
    <definedName name="fhdfhsfd" localSheetId="8">#REF!</definedName>
    <definedName name="fhdfhsfd" localSheetId="7">#REF!</definedName>
    <definedName name="fhdfhsfd" localSheetId="0">#REF!</definedName>
    <definedName name="fhdfhsfd">#REF!</definedName>
    <definedName name="figura1">"Figura 1"</definedName>
    <definedName name="FIM" localSheetId="15">#REF!</definedName>
    <definedName name="FIM" localSheetId="12">'[17]Vínculo (2)'!$Y$12</definedName>
    <definedName name="FIM" localSheetId="13">#REF!</definedName>
    <definedName name="FIM" localSheetId="11">#REF!</definedName>
    <definedName name="FIM" localSheetId="8">#REF!</definedName>
    <definedName name="FIM" localSheetId="7">#REF!</definedName>
    <definedName name="FIM">#REF!</definedName>
    <definedName name="FIRMA" localSheetId="15">#REF!</definedName>
    <definedName name="FIRMA" localSheetId="12">[5]DADOS!$C$2</definedName>
    <definedName name="FIRMA" localSheetId="13">#REF!</definedName>
    <definedName name="FIRMA" localSheetId="6">#REF!</definedName>
    <definedName name="FIRMA" localSheetId="11">#REF!</definedName>
    <definedName name="FIRMA" localSheetId="8">#REF!</definedName>
    <definedName name="FIRMA" localSheetId="7">#REF!</definedName>
    <definedName name="FIRMA">#REF!</definedName>
    <definedName name="FIRMA2" localSheetId="15">#REF!</definedName>
    <definedName name="FIRMA2" localSheetId="12">[24]TRAÇOS!$A$11</definedName>
    <definedName name="FIRMA2" localSheetId="8">#REF!</definedName>
    <definedName name="FIRMA2" localSheetId="7">#REF!</definedName>
    <definedName name="FIRMA2">#REF!</definedName>
    <definedName name="FORMA" localSheetId="15">#REF!</definedName>
    <definedName name="FORMA" localSheetId="4">#REF!</definedName>
    <definedName name="FORMA" localSheetId="12">#REF!</definedName>
    <definedName name="FORMA" localSheetId="5">#REF!</definedName>
    <definedName name="FORMA" localSheetId="13">#REF!</definedName>
    <definedName name="FORMA" localSheetId="6">#REF!</definedName>
    <definedName name="FORMA" localSheetId="11">#REF!</definedName>
    <definedName name="FORMA" localSheetId="8">#REF!</definedName>
    <definedName name="FORMA" localSheetId="7">#REF!</definedName>
    <definedName name="FORMA" localSheetId="0">#REF!</definedName>
    <definedName name="FORMA">#REF!</definedName>
    <definedName name="Formula" localSheetId="8">#REF!</definedName>
    <definedName name="Formula" localSheetId="7">#REF!</definedName>
    <definedName name="Formula">#REF!</definedName>
    <definedName name="Formula_1" localSheetId="8">#REF!</definedName>
    <definedName name="Formula_1" localSheetId="7">#REF!</definedName>
    <definedName name="Formula_1">#REF!</definedName>
    <definedName name="Formula_10" localSheetId="8">#REF!</definedName>
    <definedName name="Formula_10" localSheetId="7">#REF!</definedName>
    <definedName name="Formula_10">#REF!</definedName>
    <definedName name="Formula_2" localSheetId="8">#REF!</definedName>
    <definedName name="Formula_2" localSheetId="7">#REF!</definedName>
    <definedName name="Formula_2">#REF!</definedName>
    <definedName name="Formula_3" localSheetId="8">#REF!</definedName>
    <definedName name="Formula_3" localSheetId="7">#REF!</definedName>
    <definedName name="Formula_3">#REF!</definedName>
    <definedName name="Formula_4" localSheetId="8">#REF!</definedName>
    <definedName name="Formula_4" localSheetId="7">#REF!</definedName>
    <definedName name="Formula_4">#REF!</definedName>
    <definedName name="Formula_5" localSheetId="8">#REF!</definedName>
    <definedName name="Formula_5" localSheetId="7">#REF!</definedName>
    <definedName name="Formula_5">#REF!</definedName>
    <definedName name="Formula_5_1" localSheetId="8">#REF!</definedName>
    <definedName name="Formula_5_1" localSheetId="7">#REF!</definedName>
    <definedName name="Formula_5_1">#REF!</definedName>
    <definedName name="Formula_6" localSheetId="8">#REF!</definedName>
    <definedName name="Formula_6" localSheetId="7">#REF!</definedName>
    <definedName name="Formula_6">#REF!</definedName>
    <definedName name="FRESAGEM" localSheetId="15">#REF!</definedName>
    <definedName name="FRESAGEM" localSheetId="4">#REF!</definedName>
    <definedName name="FRESAGEM" localSheetId="12">'[12]Fresagem de Pista Ago-98'!#REF!</definedName>
    <definedName name="FRESAGEM" localSheetId="5">#REF!</definedName>
    <definedName name="FRESAGEM" localSheetId="13">#REF!</definedName>
    <definedName name="FRESAGEM" localSheetId="6">#REF!</definedName>
    <definedName name="FRESAGEM" localSheetId="11">#REF!</definedName>
    <definedName name="FRESAGEM" localSheetId="8">#REF!</definedName>
    <definedName name="FRESAGEM" localSheetId="7">#REF!</definedName>
    <definedName name="FRESAGEM" localSheetId="2">#REF!</definedName>
    <definedName name="FRESAGEM" localSheetId="1">#REF!</definedName>
    <definedName name="FRESAGEM" localSheetId="0">#REF!</definedName>
    <definedName name="FRESAGEM">#REF!</definedName>
    <definedName name="FuncoesValidas" localSheetId="8">#REF!</definedName>
    <definedName name="FuncoesValidas">[27]MEMORIAL!$X$67:$X$70</definedName>
    <definedName name="fyuk" localSheetId="15">'CALÇADA E ACESS.'!fyuk</definedName>
    <definedName name="fyuk" localSheetId="12">#N/A</definedName>
    <definedName name="fyuk" localSheetId="8">GRELHA!fyuk</definedName>
    <definedName name="fyuk" localSheetId="14">PAVIMENTAÇÃO!fyuk</definedName>
    <definedName name="fyuk" localSheetId="16">SINALIZAÇÃO!fyuk</definedName>
    <definedName name="fyuk">[0]!fyuk</definedName>
    <definedName name="G" localSheetId="15">#REF!</definedName>
    <definedName name="G" localSheetId="4">#REF!</definedName>
    <definedName name="G" localSheetId="12">#REF!</definedName>
    <definedName name="G" localSheetId="5">#REF!</definedName>
    <definedName name="G" localSheetId="13">#REF!</definedName>
    <definedName name="G" localSheetId="6">#REF!</definedName>
    <definedName name="G" localSheetId="11">#REF!</definedName>
    <definedName name="G" localSheetId="8">#REF!</definedName>
    <definedName name="G" localSheetId="7">#REF!</definedName>
    <definedName name="G" localSheetId="0">#REF!</definedName>
    <definedName name="G">#REF!</definedName>
    <definedName name="G1902." localSheetId="8">#REF!</definedName>
    <definedName name="G1902." localSheetId="7">#REF!</definedName>
    <definedName name="G1902.">#REF!</definedName>
    <definedName name="GAS" localSheetId="15">#REF!</definedName>
    <definedName name="GAS" localSheetId="12">[24]SERV!$E$81</definedName>
    <definedName name="GAS" localSheetId="8">#REF!</definedName>
    <definedName name="GAS" localSheetId="7">#REF!</definedName>
    <definedName name="GAS">#REF!</definedName>
    <definedName name="GASG" localSheetId="8">#REF!</definedName>
    <definedName name="GASG" localSheetId="7">#REF!</definedName>
    <definedName name="GASG">#REF!</definedName>
    <definedName name="george" localSheetId="8">#REF!</definedName>
    <definedName name="george" localSheetId="7">#REF!</definedName>
    <definedName name="george">#REF!</definedName>
    <definedName name="GEOVANI" localSheetId="15">#REF!</definedName>
    <definedName name="GEOVANI" localSheetId="4">#REF!</definedName>
    <definedName name="GEOVANI" localSheetId="12">#REF!</definedName>
    <definedName name="GEOVANI" localSheetId="5">#REF!</definedName>
    <definedName name="GEOVANI" localSheetId="13">#REF!</definedName>
    <definedName name="GEOVANI" localSheetId="11">#REF!</definedName>
    <definedName name="GEOVANI" localSheetId="8">#REF!</definedName>
    <definedName name="GEOVANI" localSheetId="7">#REF!</definedName>
    <definedName name="GEOVANI" localSheetId="0">#REF!</definedName>
    <definedName name="GEOVANI">#REF!</definedName>
    <definedName name="GEOVANI2" localSheetId="15">#REF!</definedName>
    <definedName name="GEOVANI2" localSheetId="4">#REF!</definedName>
    <definedName name="GEOVANI2" localSheetId="12">[28]PROJETO!#REF!</definedName>
    <definedName name="GEOVANI2" localSheetId="5">#REF!</definedName>
    <definedName name="GEOVANI2" localSheetId="13">#REF!</definedName>
    <definedName name="GEOVANI2" localSheetId="11">#REF!</definedName>
    <definedName name="GEOVANI2" localSheetId="8">#REF!</definedName>
    <definedName name="GEOVANI2" localSheetId="7">#REF!</definedName>
    <definedName name="GEOVANI2" localSheetId="2">#REF!</definedName>
    <definedName name="GEOVANI2" localSheetId="1">#REF!</definedName>
    <definedName name="GEOVANI2" localSheetId="0">#REF!</definedName>
    <definedName name="GEOVANI2">#REF!</definedName>
    <definedName name="GERADOR" localSheetId="8">#REF!</definedName>
    <definedName name="GERADOR" localSheetId="7">#REF!</definedName>
    <definedName name="GERADOR">#REF!</definedName>
    <definedName name="geral" localSheetId="8">#REF!</definedName>
    <definedName name="geral" localSheetId="7">#REF!</definedName>
    <definedName name="geral">#REF!</definedName>
    <definedName name="ggggg" localSheetId="8">#REF!</definedName>
    <definedName name="ggggg" localSheetId="7">#REF!</definedName>
    <definedName name="ggggg">#REF!</definedName>
    <definedName name="ghgh" localSheetId="15">#REF!</definedName>
    <definedName name="ghgh" localSheetId="4">#REF!</definedName>
    <definedName name="ghgh" localSheetId="12">#REF!</definedName>
    <definedName name="ghgh" localSheetId="5">#REF!</definedName>
    <definedName name="ghgh" localSheetId="13">#REF!</definedName>
    <definedName name="ghgh" localSheetId="6">#REF!</definedName>
    <definedName name="ghgh" localSheetId="11">#REF!</definedName>
    <definedName name="ghgh" localSheetId="8">#REF!</definedName>
    <definedName name="ghgh" localSheetId="7">#REF!</definedName>
    <definedName name="ghgh" localSheetId="0">#REF!</definedName>
    <definedName name="ghgh">#REF!</definedName>
    <definedName name="GRADUADA" localSheetId="15">#REF!</definedName>
    <definedName name="GRADUADA" localSheetId="4">#REF!</definedName>
    <definedName name="GRADUADA" localSheetId="12">#REF!</definedName>
    <definedName name="GRADUADA" localSheetId="5">#REF!</definedName>
    <definedName name="GRADUADA" localSheetId="13">#REF!</definedName>
    <definedName name="GRADUADA" localSheetId="6">#REF!</definedName>
    <definedName name="GRADUADA" localSheetId="8">#REF!</definedName>
    <definedName name="GRADUADA" localSheetId="7">#REF!</definedName>
    <definedName name="GRADUADA" localSheetId="0">#REF!</definedName>
    <definedName name="GRADUADA">#REF!</definedName>
    <definedName name="GRAMA" localSheetId="15">#REF!</definedName>
    <definedName name="GRAMA" localSheetId="4">#REF!</definedName>
    <definedName name="GRAMA" localSheetId="12">#REF!</definedName>
    <definedName name="GRAMA" localSheetId="5">#REF!</definedName>
    <definedName name="GRAMA" localSheetId="13">#REF!</definedName>
    <definedName name="GRAMA" localSheetId="6">#REF!</definedName>
    <definedName name="GRAMA" localSheetId="8">#REF!</definedName>
    <definedName name="GRAMA" localSheetId="7">#REF!</definedName>
    <definedName name="GRAMA" localSheetId="0">#REF!</definedName>
    <definedName name="GRAMA">#REF!</definedName>
    <definedName name="GRAMADA" localSheetId="12">[11]Serviços!$G$47</definedName>
    <definedName name="GRAMADA" localSheetId="8">#REF!</definedName>
    <definedName name="GRAMADA" localSheetId="7">#REF!</definedName>
    <definedName name="GRAMADA">#REF!</definedName>
    <definedName name="_xlnm.Recorder" localSheetId="12">#REF!</definedName>
    <definedName name="_xlnm.Recorder" localSheetId="8">#REF!</definedName>
    <definedName name="_xlnm.Recorder">#REF!</definedName>
    <definedName name="GSADF" localSheetId="8">#REF!</definedName>
    <definedName name="GSADF" localSheetId="7">#REF!</definedName>
    <definedName name="GSADF">#REF!</definedName>
    <definedName name="gsdfhj" localSheetId="15">#REF!</definedName>
    <definedName name="gsdfhj" localSheetId="4">#REF!</definedName>
    <definedName name="gsdfhj" localSheetId="12">#REF!</definedName>
    <definedName name="gsdfhj" localSheetId="5">#REF!</definedName>
    <definedName name="gsdfhj" localSheetId="13">#REF!</definedName>
    <definedName name="gsdfhj" localSheetId="11">#REF!</definedName>
    <definedName name="gsdfhj" localSheetId="8">#REF!</definedName>
    <definedName name="gsdfhj" localSheetId="7">#REF!</definedName>
    <definedName name="gsdfhj" localSheetId="2">#REF!</definedName>
    <definedName name="gsdfhj" localSheetId="1">#REF!</definedName>
    <definedName name="gsdfhj" localSheetId="0">#REF!</definedName>
    <definedName name="gsdfhj">#REF!</definedName>
    <definedName name="Guia">"Figura 1"</definedName>
    <definedName name="haihaah" localSheetId="15">#REF!</definedName>
    <definedName name="haihaah" localSheetId="4">#REF!</definedName>
    <definedName name="haihaah" localSheetId="12">#REF!</definedName>
    <definedName name="haihaah" localSheetId="5">#REF!</definedName>
    <definedName name="haihaah" localSheetId="13">#REF!</definedName>
    <definedName name="haihaah" localSheetId="11">#REF!</definedName>
    <definedName name="haihaah" localSheetId="8">#REF!</definedName>
    <definedName name="haihaah" localSheetId="7">#REF!</definedName>
    <definedName name="haihaah" localSheetId="0">#REF!</definedName>
    <definedName name="haihaah">#REF!</definedName>
    <definedName name="HHHHHHHHHHHHHHHHHHHHHHHHHHHHHHHHHHHHHHH" localSheetId="8">#REF!</definedName>
    <definedName name="HHHHHHHHHHHHHHHHHHHHHHHHHHHHHHHHHHHHHHH" localSheetId="7">#REF!</definedName>
    <definedName name="HHHHHHHHHHHHHHHHHHHHHHHHHHHHHHHHHHHHHHH">#REF!</definedName>
    <definedName name="hi" localSheetId="15">#REF!</definedName>
    <definedName name="hi" localSheetId="4">#REF!</definedName>
    <definedName name="hi" localSheetId="12">#REF!</definedName>
    <definedName name="hi" localSheetId="5">#REF!</definedName>
    <definedName name="hi" localSheetId="13">#REF!</definedName>
    <definedName name="hi" localSheetId="11">#REF!</definedName>
    <definedName name="hi" localSheetId="8">#REF!</definedName>
    <definedName name="hi" localSheetId="7">#REF!</definedName>
    <definedName name="hi" localSheetId="0">#REF!</definedName>
    <definedName name="hi">#REF!</definedName>
    <definedName name="hiper_170" localSheetId="15">#REF!</definedName>
    <definedName name="hiper_170" localSheetId="4">#REF!</definedName>
    <definedName name="hiper_170" localSheetId="12">#REF!</definedName>
    <definedName name="hiper_170" localSheetId="5">#REF!</definedName>
    <definedName name="hiper_170" localSheetId="13">#REF!</definedName>
    <definedName name="hiper_170" localSheetId="6">#REF!</definedName>
    <definedName name="hiper_170" localSheetId="11">#REF!</definedName>
    <definedName name="hiper_170" localSheetId="8">#REF!</definedName>
    <definedName name="hiper_170" localSheetId="7">#REF!</definedName>
    <definedName name="hiper_170" localSheetId="0">#REF!</definedName>
    <definedName name="hiper_170">#REF!</definedName>
    <definedName name="HJJJJJJJJJ" localSheetId="8">#REF!</definedName>
    <definedName name="HJJJJJJJJJ" localSheetId="7">#REF!</definedName>
    <definedName name="HJJJJJJJJJ">#REF!</definedName>
    <definedName name="HP" localSheetId="15">#REF!</definedName>
    <definedName name="HP" localSheetId="4">#REF!</definedName>
    <definedName name="HP" localSheetId="5">#REF!</definedName>
    <definedName name="HP" localSheetId="13">#REF!</definedName>
    <definedName name="HP" localSheetId="11">#REF!</definedName>
    <definedName name="HP" localSheetId="8">#REF!</definedName>
    <definedName name="HP" localSheetId="7">#REF!</definedName>
    <definedName name="HP" localSheetId="0">#REF!</definedName>
    <definedName name="HP">#REF!</definedName>
    <definedName name="HP.1" localSheetId="15">#REF!</definedName>
    <definedName name="HP.1" localSheetId="4">#REF!</definedName>
    <definedName name="HP.1" localSheetId="5">#REF!</definedName>
    <definedName name="HP.1" localSheetId="13">#REF!</definedName>
    <definedName name="HP.1" localSheetId="8">#REF!</definedName>
    <definedName name="HP.1" localSheetId="7">#REF!</definedName>
    <definedName name="HP.1" localSheetId="0">#REF!</definedName>
    <definedName name="HP.1">#REF!</definedName>
    <definedName name="i" localSheetId="8">#REF!</definedName>
    <definedName name="i" localSheetId="7">#REF!</definedName>
    <definedName name="i">#REF!</definedName>
    <definedName name="IM" localSheetId="15">#REF!</definedName>
    <definedName name="IM" localSheetId="4">#REF!</definedName>
    <definedName name="IM" localSheetId="5">#REF!</definedName>
    <definedName name="IM" localSheetId="13">#REF!</definedName>
    <definedName name="IM" localSheetId="8">#REF!</definedName>
    <definedName name="IM" localSheetId="7">#REF!</definedName>
    <definedName name="IM" localSheetId="0">#REF!</definedName>
    <definedName name="IM">#REF!</definedName>
    <definedName name="IMP" localSheetId="15">#REF!</definedName>
    <definedName name="IMP" localSheetId="12">'[16]5 S 02 300 00'!$H$65</definedName>
    <definedName name="IMP" localSheetId="13">#REF!</definedName>
    <definedName name="IMP" localSheetId="11">#REF!</definedName>
    <definedName name="IMP" localSheetId="8">#REF!</definedName>
    <definedName name="IMP" localSheetId="7">#REF!</definedName>
    <definedName name="IMP">#REF!</definedName>
    <definedName name="Import.Desoneracao" localSheetId="8" hidden="1">OFFSET(#REF!,0,-1)</definedName>
    <definedName name="Import.Desoneracao" localSheetId="14" hidden="1">OFFSET(#REF!,0,-1)</definedName>
    <definedName name="Import.Desoneracao" hidden="1">OFFSET(#REF!,0,-1)</definedName>
    <definedName name="IMPR" localSheetId="15">#REF!</definedName>
    <definedName name="IMPR" localSheetId="12">[9]SERVIÇOS!#REF!</definedName>
    <definedName name="IMPR" localSheetId="13">#REF!</definedName>
    <definedName name="IMPR" localSheetId="6">#REF!</definedName>
    <definedName name="IMPR" localSheetId="11">#REF!</definedName>
    <definedName name="IMPR" localSheetId="8">#REF!</definedName>
    <definedName name="IMPR" localSheetId="7">#REF!</definedName>
    <definedName name="IMPR" localSheetId="0">#REF!</definedName>
    <definedName name="IMPR">#REF!</definedName>
    <definedName name="IMPRIMAÇÃO" localSheetId="15">#REF!</definedName>
    <definedName name="IMPRIMAÇÃO" localSheetId="4">#REF!</definedName>
    <definedName name="IMPRIMAÇÃO" localSheetId="12">#REF!</definedName>
    <definedName name="IMPRIMAÇÃO" localSheetId="5">#REF!</definedName>
    <definedName name="IMPRIMAÇÃO" localSheetId="13">#REF!</definedName>
    <definedName name="IMPRIMAÇÃO" localSheetId="6">#REF!</definedName>
    <definedName name="IMPRIMAÇÃO" localSheetId="11">#REF!</definedName>
    <definedName name="IMPRIMAÇÃO" localSheetId="8">#REF!</definedName>
    <definedName name="IMPRIMAÇÃO" localSheetId="7">#REF!</definedName>
    <definedName name="IMPRIMAÇÃO" localSheetId="0">#REF!</definedName>
    <definedName name="IMPRIMAÇÃO">#REF!</definedName>
    <definedName name="INDICE" localSheetId="15">#REF!</definedName>
    <definedName name="INDICE" localSheetId="12">'[16]TRANSP MB'!$C$23</definedName>
    <definedName name="INDICE" localSheetId="13">#REF!</definedName>
    <definedName name="INDICE" localSheetId="11">#REF!</definedName>
    <definedName name="INDICE" localSheetId="8">#REF!</definedName>
    <definedName name="INDICE" localSheetId="7">#REF!</definedName>
    <definedName name="INDICE">#REF!</definedName>
    <definedName name="INICIO" localSheetId="15">#REF!</definedName>
    <definedName name="INICIO" localSheetId="12">'[17]Vínculo (2)'!$Y$8</definedName>
    <definedName name="INICIO" localSheetId="13">#REF!</definedName>
    <definedName name="INICIO" localSheetId="11">#REF!</definedName>
    <definedName name="INICIO" localSheetId="8">#REF!</definedName>
    <definedName name="INICIO" localSheetId="7">#REF!</definedName>
    <definedName name="INICIO">#REF!</definedName>
    <definedName name="INSUMOS" localSheetId="15">#REF!</definedName>
    <definedName name="INSUMOS" localSheetId="4">#REF!</definedName>
    <definedName name="INSUMOS" localSheetId="12">#REF!</definedName>
    <definedName name="INSUMOS" localSheetId="5">#REF!</definedName>
    <definedName name="INSUMOS" localSheetId="13">#REF!</definedName>
    <definedName name="Insumos" localSheetId="6" hidden="1">#REF!</definedName>
    <definedName name="INSUMOS" localSheetId="11">#REF!</definedName>
    <definedName name="INSUMOS" localSheetId="8">#REF!</definedName>
    <definedName name="INSUMOS" localSheetId="7">#REF!</definedName>
    <definedName name="INSUMOS" localSheetId="0">#REF!</definedName>
    <definedName name="INSUMOS">#REF!</definedName>
    <definedName name="Io" localSheetId="8">#REF!</definedName>
    <definedName name="Io" localSheetId="7">#REF!</definedName>
    <definedName name="Io">#REF!</definedName>
    <definedName name="ISS" localSheetId="8">#REF!</definedName>
    <definedName name="ISS" localSheetId="7">#REF!</definedName>
    <definedName name="ISS">#REF!</definedName>
    <definedName name="IT" localSheetId="8">#REF!</definedName>
    <definedName name="IT" localSheetId="7">#REF!</definedName>
    <definedName name="IT">#REF!</definedName>
    <definedName name="item1.1" localSheetId="8">#REF!</definedName>
    <definedName name="item1.1" localSheetId="7">#REF!</definedName>
    <definedName name="item1.1">#REF!</definedName>
    <definedName name="item1.2" localSheetId="8">#REF!</definedName>
    <definedName name="item1.2" localSheetId="7">#REF!</definedName>
    <definedName name="item1.2">#REF!</definedName>
    <definedName name="item1.3" localSheetId="8">#REF!</definedName>
    <definedName name="item1.3" localSheetId="7">#REF!</definedName>
    <definedName name="item1.3">#REF!</definedName>
    <definedName name="item1.4" localSheetId="8">#REF!</definedName>
    <definedName name="item1.4" localSheetId="7">#REF!</definedName>
    <definedName name="item1.4">#REF!</definedName>
    <definedName name="item1.5" localSheetId="8">#REF!</definedName>
    <definedName name="item1.5" localSheetId="7">#REF!</definedName>
    <definedName name="item1.5">#REF!</definedName>
    <definedName name="item1.6" localSheetId="8">#REF!</definedName>
    <definedName name="item1.6" localSheetId="7">#REF!</definedName>
    <definedName name="item1.6">#REF!</definedName>
    <definedName name="item10.1" localSheetId="8">#REF!</definedName>
    <definedName name="item10.1" localSheetId="7">#REF!</definedName>
    <definedName name="item10.1">#REF!</definedName>
    <definedName name="item10.10" localSheetId="8">#REF!</definedName>
    <definedName name="item10.10" localSheetId="7">#REF!</definedName>
    <definedName name="item10.10">#REF!</definedName>
    <definedName name="item10.11" localSheetId="8">#REF!</definedName>
    <definedName name="item10.11" localSheetId="7">#REF!</definedName>
    <definedName name="item10.11">#REF!</definedName>
    <definedName name="item10.12" localSheetId="8">#REF!</definedName>
    <definedName name="item10.12" localSheetId="7">#REF!</definedName>
    <definedName name="item10.12">#REF!</definedName>
    <definedName name="item10.13" localSheetId="8">#REF!</definedName>
    <definedName name="item10.13" localSheetId="7">#REF!</definedName>
    <definedName name="item10.13">#REF!</definedName>
    <definedName name="item10.14" localSheetId="8">#REF!</definedName>
    <definedName name="item10.14" localSheetId="7">#REF!</definedName>
    <definedName name="item10.14">#REF!</definedName>
    <definedName name="item10.15" localSheetId="8">#REF!</definedName>
    <definedName name="item10.15" localSheetId="7">#REF!</definedName>
    <definedName name="item10.15">#REF!</definedName>
    <definedName name="item10.16" localSheetId="8">#REF!</definedName>
    <definedName name="item10.16" localSheetId="7">#REF!</definedName>
    <definedName name="item10.16">#REF!</definedName>
    <definedName name="item10.17" localSheetId="8">#REF!</definedName>
    <definedName name="item10.17" localSheetId="7">#REF!</definedName>
    <definedName name="item10.17">#REF!</definedName>
    <definedName name="item10.18" localSheetId="8">#REF!</definedName>
    <definedName name="item10.18" localSheetId="7">#REF!</definedName>
    <definedName name="item10.18">#REF!</definedName>
    <definedName name="item10.19" localSheetId="8">#REF!</definedName>
    <definedName name="item10.19" localSheetId="7">#REF!</definedName>
    <definedName name="item10.19">#REF!</definedName>
    <definedName name="item10.2" localSheetId="8">#REF!</definedName>
    <definedName name="item10.2" localSheetId="7">#REF!</definedName>
    <definedName name="item10.2">#REF!</definedName>
    <definedName name="item10.3" localSheetId="8">#REF!</definedName>
    <definedName name="item10.3" localSheetId="7">#REF!</definedName>
    <definedName name="item10.3">#REF!</definedName>
    <definedName name="item10.4" localSheetId="8">#REF!</definedName>
    <definedName name="item10.4" localSheetId="7">#REF!</definedName>
    <definedName name="item10.4">#REF!</definedName>
    <definedName name="item10.5" localSheetId="8">#REF!</definedName>
    <definedName name="item10.5" localSheetId="7">#REF!</definedName>
    <definedName name="item10.5">#REF!</definedName>
    <definedName name="item10.6" localSheetId="8">#REF!</definedName>
    <definedName name="item10.6" localSheetId="7">#REF!</definedName>
    <definedName name="item10.6">#REF!</definedName>
    <definedName name="item10.7" localSheetId="8">#REF!</definedName>
    <definedName name="item10.7" localSheetId="7">#REF!</definedName>
    <definedName name="item10.7">#REF!</definedName>
    <definedName name="item10.8" localSheetId="8">#REF!</definedName>
    <definedName name="item10.8" localSheetId="7">#REF!</definedName>
    <definedName name="item10.8">#REF!</definedName>
    <definedName name="item10.9" localSheetId="8">#REF!</definedName>
    <definedName name="item10.9" localSheetId="7">#REF!</definedName>
    <definedName name="item10.9">#REF!</definedName>
    <definedName name="item11.1" localSheetId="8">#REF!</definedName>
    <definedName name="item11.1" localSheetId="7">#REF!</definedName>
    <definedName name="item11.1">#REF!</definedName>
    <definedName name="item11.10" localSheetId="8">#REF!</definedName>
    <definedName name="item11.10" localSheetId="7">#REF!</definedName>
    <definedName name="item11.10">#REF!</definedName>
    <definedName name="item11.11" localSheetId="8">#REF!</definedName>
    <definedName name="item11.11" localSheetId="7">#REF!</definedName>
    <definedName name="item11.11">#REF!</definedName>
    <definedName name="item11.12" localSheetId="8">#REF!</definedName>
    <definedName name="item11.12" localSheetId="7">#REF!</definedName>
    <definedName name="item11.12">#REF!</definedName>
    <definedName name="item11.13" localSheetId="8">#REF!</definedName>
    <definedName name="item11.13" localSheetId="7">#REF!</definedName>
    <definedName name="item11.13">#REF!</definedName>
    <definedName name="item11.14" localSheetId="8">#REF!</definedName>
    <definedName name="item11.14" localSheetId="7">#REF!</definedName>
    <definedName name="item11.14">#REF!</definedName>
    <definedName name="item11.15" localSheetId="8">#REF!</definedName>
    <definedName name="item11.15" localSheetId="7">#REF!</definedName>
    <definedName name="item11.15">#REF!</definedName>
    <definedName name="item11.16" localSheetId="8">#REF!</definedName>
    <definedName name="item11.16" localSheetId="7">#REF!</definedName>
    <definedName name="item11.16">#REF!</definedName>
    <definedName name="item11.17" localSheetId="8">#REF!</definedName>
    <definedName name="item11.17" localSheetId="7">#REF!</definedName>
    <definedName name="item11.17">#REF!</definedName>
    <definedName name="item11.18" localSheetId="8">#REF!</definedName>
    <definedName name="item11.18" localSheetId="7">#REF!</definedName>
    <definedName name="item11.18">#REF!</definedName>
    <definedName name="item11.19" localSheetId="8">#REF!</definedName>
    <definedName name="item11.19" localSheetId="7">#REF!</definedName>
    <definedName name="item11.19">#REF!</definedName>
    <definedName name="item11.2" localSheetId="8">#REF!</definedName>
    <definedName name="item11.2" localSheetId="7">#REF!</definedName>
    <definedName name="item11.2">#REF!</definedName>
    <definedName name="item11.20" localSheetId="8">#REF!</definedName>
    <definedName name="item11.20" localSheetId="7">#REF!</definedName>
    <definedName name="item11.20">#REF!</definedName>
    <definedName name="item11.21" localSheetId="8">#REF!</definedName>
    <definedName name="item11.21" localSheetId="7">#REF!</definedName>
    <definedName name="item11.21">#REF!</definedName>
    <definedName name="item11.22" localSheetId="8">#REF!</definedName>
    <definedName name="item11.22" localSheetId="7">#REF!</definedName>
    <definedName name="item11.22">#REF!</definedName>
    <definedName name="item11.23" localSheetId="8">#REF!</definedName>
    <definedName name="item11.23" localSheetId="7">#REF!</definedName>
    <definedName name="item11.23">#REF!</definedName>
    <definedName name="item11.24" localSheetId="8">#REF!</definedName>
    <definedName name="item11.24" localSheetId="7">#REF!</definedName>
    <definedName name="item11.24">#REF!</definedName>
    <definedName name="item11.25" localSheetId="8">#REF!</definedName>
    <definedName name="item11.25" localSheetId="7">#REF!</definedName>
    <definedName name="item11.25">#REF!</definedName>
    <definedName name="item11.26" localSheetId="8">#REF!</definedName>
    <definedName name="item11.26" localSheetId="7">#REF!</definedName>
    <definedName name="item11.26">#REF!</definedName>
    <definedName name="item11.27" localSheetId="8">#REF!</definedName>
    <definedName name="item11.27" localSheetId="7">#REF!</definedName>
    <definedName name="item11.27">#REF!</definedName>
    <definedName name="item11.28" localSheetId="8">#REF!</definedName>
    <definedName name="item11.28" localSheetId="7">#REF!</definedName>
    <definedName name="item11.28">#REF!</definedName>
    <definedName name="item11.3" localSheetId="8">#REF!</definedName>
    <definedName name="item11.3" localSheetId="7">#REF!</definedName>
    <definedName name="item11.3">#REF!</definedName>
    <definedName name="item11.4" localSheetId="8">#REF!</definedName>
    <definedName name="item11.4" localSheetId="7">#REF!</definedName>
    <definedName name="item11.4">#REF!</definedName>
    <definedName name="item11.5" localSheetId="8">#REF!</definedName>
    <definedName name="item11.5" localSheetId="7">#REF!</definedName>
    <definedName name="item11.5">#REF!</definedName>
    <definedName name="item11.6" localSheetId="8">#REF!</definedName>
    <definedName name="item11.6" localSheetId="7">#REF!</definedName>
    <definedName name="item11.6">#REF!</definedName>
    <definedName name="item11.7" localSheetId="8">#REF!</definedName>
    <definedName name="item11.7" localSheetId="7">#REF!</definedName>
    <definedName name="item11.7">#REF!</definedName>
    <definedName name="item11.8" localSheetId="8">#REF!</definedName>
    <definedName name="item11.8" localSheetId="7">#REF!</definedName>
    <definedName name="item11.8">#REF!</definedName>
    <definedName name="item11.9" localSheetId="8">#REF!</definedName>
    <definedName name="item11.9" localSheetId="7">#REF!</definedName>
    <definedName name="item11.9">#REF!</definedName>
    <definedName name="item12.0" localSheetId="8">#REF!</definedName>
    <definedName name="item12.0" localSheetId="7">#REF!</definedName>
    <definedName name="item12.0">#REF!</definedName>
    <definedName name="item12.1" localSheetId="8">#REF!</definedName>
    <definedName name="item12.1" localSheetId="7">#REF!</definedName>
    <definedName name="item12.1">#REF!</definedName>
    <definedName name="item12.10" localSheetId="8">#REF!</definedName>
    <definedName name="item12.10" localSheetId="7">#REF!</definedName>
    <definedName name="item12.10">#REF!</definedName>
    <definedName name="item12.11" localSheetId="8">#REF!</definedName>
    <definedName name="item12.11" localSheetId="7">#REF!</definedName>
    <definedName name="item12.11">#REF!</definedName>
    <definedName name="item12.12" localSheetId="8">#REF!</definedName>
    <definedName name="item12.12" localSheetId="7">#REF!</definedName>
    <definedName name="item12.12">#REF!</definedName>
    <definedName name="item12.13" localSheetId="8">#REF!</definedName>
    <definedName name="item12.13" localSheetId="7">#REF!</definedName>
    <definedName name="item12.13">#REF!</definedName>
    <definedName name="item12.14" localSheetId="8">#REF!</definedName>
    <definedName name="item12.14" localSheetId="7">#REF!</definedName>
    <definedName name="item12.14">#REF!</definedName>
    <definedName name="item12.15" localSheetId="8">#REF!</definedName>
    <definedName name="item12.15" localSheetId="7">#REF!</definedName>
    <definedName name="item12.15">#REF!</definedName>
    <definedName name="item12.16" localSheetId="8">#REF!</definedName>
    <definedName name="item12.16" localSheetId="7">#REF!</definedName>
    <definedName name="item12.16">#REF!</definedName>
    <definedName name="item12.17" localSheetId="8">#REF!</definedName>
    <definedName name="item12.17" localSheetId="7">#REF!</definedName>
    <definedName name="item12.17">#REF!</definedName>
    <definedName name="item12.18" localSheetId="8">#REF!</definedName>
    <definedName name="item12.18" localSheetId="7">#REF!</definedName>
    <definedName name="item12.18">#REF!</definedName>
    <definedName name="item12.19" localSheetId="8">#REF!</definedName>
    <definedName name="item12.19" localSheetId="7">#REF!</definedName>
    <definedName name="item12.19">#REF!</definedName>
    <definedName name="item12.2" localSheetId="8">#REF!</definedName>
    <definedName name="item12.2" localSheetId="7">#REF!</definedName>
    <definedName name="item12.2">#REF!</definedName>
    <definedName name="item12.20" localSheetId="8">#REF!</definedName>
    <definedName name="item12.20" localSheetId="7">#REF!</definedName>
    <definedName name="item12.20">#REF!</definedName>
    <definedName name="item12.21" localSheetId="8">#REF!</definedName>
    <definedName name="item12.21" localSheetId="7">#REF!</definedName>
    <definedName name="item12.21">#REF!</definedName>
    <definedName name="item12.22" localSheetId="8">#REF!</definedName>
    <definedName name="item12.22" localSheetId="7">#REF!</definedName>
    <definedName name="item12.22">#REF!</definedName>
    <definedName name="item12.23" localSheetId="8">#REF!</definedName>
    <definedName name="item12.23" localSheetId="7">#REF!</definedName>
    <definedName name="item12.23">#REF!</definedName>
    <definedName name="item12.24" localSheetId="8">#REF!</definedName>
    <definedName name="item12.24" localSheetId="7">#REF!</definedName>
    <definedName name="item12.24">#REF!</definedName>
    <definedName name="item12.25" localSheetId="8">#REF!</definedName>
    <definedName name="item12.25" localSheetId="7">#REF!</definedName>
    <definedName name="item12.25">#REF!</definedName>
    <definedName name="item12.26" localSheetId="8">#REF!</definedName>
    <definedName name="item12.26" localSheetId="7">#REF!</definedName>
    <definedName name="item12.26">#REF!</definedName>
    <definedName name="item12.27" localSheetId="8">#REF!</definedName>
    <definedName name="item12.27" localSheetId="7">#REF!</definedName>
    <definedName name="item12.27">#REF!</definedName>
    <definedName name="item12.3" localSheetId="8">#REF!</definedName>
    <definedName name="item12.3" localSheetId="7">#REF!</definedName>
    <definedName name="item12.3">#REF!</definedName>
    <definedName name="item12.4" localSheetId="8">#REF!</definedName>
    <definedName name="item12.4" localSheetId="7">#REF!</definedName>
    <definedName name="item12.4">#REF!</definedName>
    <definedName name="item12.5" localSheetId="8">#REF!</definedName>
    <definedName name="item12.5" localSheetId="7">#REF!</definedName>
    <definedName name="item12.5">#REF!</definedName>
    <definedName name="item12.6" localSheetId="8">#REF!</definedName>
    <definedName name="item12.6" localSheetId="7">#REF!</definedName>
    <definedName name="item12.6">#REF!</definedName>
    <definedName name="item12.7" localSheetId="8">#REF!</definedName>
    <definedName name="item12.7" localSheetId="7">#REF!</definedName>
    <definedName name="item12.7">#REF!</definedName>
    <definedName name="item12.8" localSheetId="8">#REF!</definedName>
    <definedName name="item12.8" localSheetId="7">#REF!</definedName>
    <definedName name="item12.8">#REF!</definedName>
    <definedName name="item12.9" localSheetId="8">#REF!</definedName>
    <definedName name="item12.9" localSheetId="7">#REF!</definedName>
    <definedName name="item12.9">#REF!</definedName>
    <definedName name="item13.1" localSheetId="8">#REF!</definedName>
    <definedName name="item13.1" localSheetId="7">#REF!</definedName>
    <definedName name="item13.1">#REF!</definedName>
    <definedName name="item13.10" localSheetId="8">#REF!</definedName>
    <definedName name="item13.10" localSheetId="7">#REF!</definedName>
    <definedName name="item13.10">#REF!</definedName>
    <definedName name="item13.11" localSheetId="8">#REF!</definedName>
    <definedName name="item13.11" localSheetId="7">#REF!</definedName>
    <definedName name="item13.11">#REF!</definedName>
    <definedName name="item13.12" localSheetId="8">#REF!</definedName>
    <definedName name="item13.12" localSheetId="7">#REF!</definedName>
    <definedName name="item13.12">#REF!</definedName>
    <definedName name="item13.13" localSheetId="8">#REF!</definedName>
    <definedName name="item13.13" localSheetId="7">#REF!</definedName>
    <definedName name="item13.13">#REF!</definedName>
    <definedName name="item13.2" localSheetId="8">#REF!</definedName>
    <definedName name="item13.2" localSheetId="7">#REF!</definedName>
    <definedName name="item13.2">#REF!</definedName>
    <definedName name="item13.3" localSheetId="8">#REF!</definedName>
    <definedName name="item13.3" localSheetId="7">#REF!</definedName>
    <definedName name="item13.3">#REF!</definedName>
    <definedName name="item13.4" localSheetId="8">#REF!</definedName>
    <definedName name="item13.4" localSheetId="7">#REF!</definedName>
    <definedName name="item13.4">#REF!</definedName>
    <definedName name="item13.5" localSheetId="8">#REF!</definedName>
    <definedName name="item13.5" localSheetId="7">#REF!</definedName>
    <definedName name="item13.5">#REF!</definedName>
    <definedName name="item13.6" localSheetId="8">#REF!</definedName>
    <definedName name="item13.6" localSheetId="7">#REF!</definedName>
    <definedName name="item13.6">#REF!</definedName>
    <definedName name="item13.7" localSheetId="8">#REF!</definedName>
    <definedName name="item13.7" localSheetId="7">#REF!</definedName>
    <definedName name="item13.7">#REF!</definedName>
    <definedName name="item13.8" localSheetId="8">#REF!</definedName>
    <definedName name="item13.8" localSheetId="7">#REF!</definedName>
    <definedName name="item13.8">#REF!</definedName>
    <definedName name="item13.9" localSheetId="8">#REF!</definedName>
    <definedName name="item13.9" localSheetId="7">#REF!</definedName>
    <definedName name="item13.9">#REF!</definedName>
    <definedName name="item14.1" localSheetId="8">#REF!</definedName>
    <definedName name="item14.1" localSheetId="7">#REF!</definedName>
    <definedName name="item14.1">#REF!</definedName>
    <definedName name="item14.2" localSheetId="8">#REF!</definedName>
    <definedName name="item14.2" localSheetId="7">#REF!</definedName>
    <definedName name="item14.2">#REF!</definedName>
    <definedName name="item14.3" localSheetId="8">#REF!</definedName>
    <definedName name="item14.3" localSheetId="7">#REF!</definedName>
    <definedName name="item14.3">#REF!</definedName>
    <definedName name="item14.4" localSheetId="8">#REF!</definedName>
    <definedName name="item14.4" localSheetId="7">#REF!</definedName>
    <definedName name="item14.4">#REF!</definedName>
    <definedName name="item14.5" localSheetId="8">#REF!</definedName>
    <definedName name="item14.5" localSheetId="7">#REF!</definedName>
    <definedName name="item14.5">#REF!</definedName>
    <definedName name="item14.6" localSheetId="8">#REF!</definedName>
    <definedName name="item14.6" localSheetId="7">#REF!</definedName>
    <definedName name="item14.6">#REF!</definedName>
    <definedName name="item15.1" localSheetId="8">#REF!</definedName>
    <definedName name="item15.1" localSheetId="7">#REF!</definedName>
    <definedName name="item15.1">#REF!</definedName>
    <definedName name="item15.10" localSheetId="8">#REF!</definedName>
    <definedName name="item15.10" localSheetId="7">#REF!</definedName>
    <definedName name="item15.10">#REF!</definedName>
    <definedName name="item15.11" localSheetId="8">#REF!</definedName>
    <definedName name="item15.11" localSheetId="7">#REF!</definedName>
    <definedName name="item15.11">#REF!</definedName>
    <definedName name="item15.12" localSheetId="8">#REF!</definedName>
    <definedName name="item15.12" localSheetId="7">#REF!</definedName>
    <definedName name="item15.12">#REF!</definedName>
    <definedName name="item15.13" localSheetId="8">#REF!</definedName>
    <definedName name="item15.13" localSheetId="7">#REF!</definedName>
    <definedName name="item15.13">#REF!</definedName>
    <definedName name="item15.2" localSheetId="8">#REF!</definedName>
    <definedName name="item15.2" localSheetId="7">#REF!</definedName>
    <definedName name="item15.2">#REF!</definedName>
    <definedName name="item15.3" localSheetId="8">#REF!</definedName>
    <definedName name="item15.3" localSheetId="7">#REF!</definedName>
    <definedName name="item15.3">#REF!</definedName>
    <definedName name="item15.4" localSheetId="8">#REF!</definedName>
    <definedName name="item15.4" localSheetId="7">#REF!</definedName>
    <definedName name="item15.4">#REF!</definedName>
    <definedName name="item15.5" localSheetId="8">#REF!</definedName>
    <definedName name="item15.5" localSheetId="7">#REF!</definedName>
    <definedName name="item15.5">#REF!</definedName>
    <definedName name="item15.6" localSheetId="8">#REF!</definedName>
    <definedName name="item15.6" localSheetId="7">#REF!</definedName>
    <definedName name="item15.6">#REF!</definedName>
    <definedName name="item15.7" localSheetId="8">#REF!</definedName>
    <definedName name="item15.7" localSheetId="7">#REF!</definedName>
    <definedName name="item15.7">#REF!</definedName>
    <definedName name="item15.8" localSheetId="8">#REF!</definedName>
    <definedName name="item15.8" localSheetId="7">#REF!</definedName>
    <definedName name="item15.8">#REF!</definedName>
    <definedName name="item15.9" localSheetId="8">#REF!</definedName>
    <definedName name="item15.9" localSheetId="7">#REF!</definedName>
    <definedName name="item15.9">#REF!</definedName>
    <definedName name="item2.1" localSheetId="8">#REF!</definedName>
    <definedName name="item2.1" localSheetId="7">#REF!</definedName>
    <definedName name="item2.1">#REF!</definedName>
    <definedName name="item2.10" localSheetId="8">#REF!</definedName>
    <definedName name="item2.10" localSheetId="7">#REF!</definedName>
    <definedName name="item2.10">#REF!</definedName>
    <definedName name="item2.11" localSheetId="8">#REF!</definedName>
    <definedName name="item2.11" localSheetId="7">#REF!</definedName>
    <definedName name="item2.11">#REF!</definedName>
    <definedName name="item2.12" localSheetId="8">#REF!</definedName>
    <definedName name="item2.12" localSheetId="7">#REF!</definedName>
    <definedName name="item2.12">#REF!</definedName>
    <definedName name="item2.13" localSheetId="8">#REF!</definedName>
    <definedName name="item2.13" localSheetId="7">#REF!</definedName>
    <definedName name="item2.13">#REF!</definedName>
    <definedName name="item2.14" localSheetId="8">#REF!</definedName>
    <definedName name="item2.14" localSheetId="7">#REF!</definedName>
    <definedName name="item2.14">#REF!</definedName>
    <definedName name="item2.15" localSheetId="8">#REF!</definedName>
    <definedName name="item2.15" localSheetId="7">#REF!</definedName>
    <definedName name="item2.15">#REF!</definedName>
    <definedName name="item2.16" localSheetId="8">#REF!</definedName>
    <definedName name="item2.16" localSheetId="7">#REF!</definedName>
    <definedName name="item2.16">#REF!</definedName>
    <definedName name="item2.17" localSheetId="8">#REF!</definedName>
    <definedName name="item2.17" localSheetId="7">#REF!</definedName>
    <definedName name="item2.17">#REF!</definedName>
    <definedName name="item2.18" localSheetId="8">#REF!</definedName>
    <definedName name="item2.18" localSheetId="7">#REF!</definedName>
    <definedName name="item2.18">#REF!</definedName>
    <definedName name="item2.19" localSheetId="8">#REF!</definedName>
    <definedName name="item2.19" localSheetId="7">#REF!</definedName>
    <definedName name="item2.19">#REF!</definedName>
    <definedName name="item2.2" localSheetId="8">#REF!</definedName>
    <definedName name="item2.2" localSheetId="7">#REF!</definedName>
    <definedName name="item2.2">#REF!</definedName>
    <definedName name="item2.20" localSheetId="8">#REF!</definedName>
    <definedName name="item2.20" localSheetId="7">#REF!</definedName>
    <definedName name="item2.20">#REF!</definedName>
    <definedName name="item2.21" localSheetId="8">#REF!</definedName>
    <definedName name="item2.21" localSheetId="7">#REF!</definedName>
    <definedName name="item2.21">#REF!</definedName>
    <definedName name="item2.22" localSheetId="8">#REF!</definedName>
    <definedName name="item2.22" localSheetId="7">#REF!</definedName>
    <definedName name="item2.22">#REF!</definedName>
    <definedName name="item2.23" localSheetId="8">#REF!</definedName>
    <definedName name="item2.23" localSheetId="7">#REF!</definedName>
    <definedName name="item2.23">#REF!</definedName>
    <definedName name="item2.24" localSheetId="8">#REF!</definedName>
    <definedName name="item2.24" localSheetId="7">#REF!</definedName>
    <definedName name="item2.24">#REF!</definedName>
    <definedName name="item2.25" localSheetId="8">#REF!</definedName>
    <definedName name="item2.25" localSheetId="7">#REF!</definedName>
    <definedName name="item2.25">#REF!</definedName>
    <definedName name="item2.26" localSheetId="8">#REF!</definedName>
    <definedName name="item2.26" localSheetId="7">#REF!</definedName>
    <definedName name="item2.26">#REF!</definedName>
    <definedName name="item2.27" localSheetId="8">#REF!</definedName>
    <definedName name="item2.27" localSheetId="7">#REF!</definedName>
    <definedName name="item2.27">#REF!</definedName>
    <definedName name="item2.3" localSheetId="8">#REF!</definedName>
    <definedName name="item2.3" localSheetId="7">#REF!</definedName>
    <definedName name="item2.3">#REF!</definedName>
    <definedName name="item2.4" localSheetId="8">#REF!</definedName>
    <definedName name="item2.4" localSheetId="7">#REF!</definedName>
    <definedName name="item2.4">#REF!</definedName>
    <definedName name="item2.5" localSheetId="8">#REF!</definedName>
    <definedName name="item2.5" localSheetId="7">#REF!</definedName>
    <definedName name="item2.5">#REF!</definedName>
    <definedName name="item2.6" localSheetId="8">#REF!</definedName>
    <definedName name="item2.6" localSheetId="7">#REF!</definedName>
    <definedName name="item2.6">#REF!</definedName>
    <definedName name="item2.7" localSheetId="8">#REF!</definedName>
    <definedName name="item2.7" localSheetId="7">#REF!</definedName>
    <definedName name="item2.7">#REF!</definedName>
    <definedName name="item2.8" localSheetId="8">#REF!</definedName>
    <definedName name="item2.8" localSheetId="7">#REF!</definedName>
    <definedName name="item2.8">#REF!</definedName>
    <definedName name="item2.9" localSheetId="8">#REF!</definedName>
    <definedName name="item2.9" localSheetId="7">#REF!</definedName>
    <definedName name="item2.9">#REF!</definedName>
    <definedName name="item3.1" localSheetId="8">#REF!</definedName>
    <definedName name="item3.1" localSheetId="7">#REF!</definedName>
    <definedName name="item3.1">#REF!</definedName>
    <definedName name="item3.2" localSheetId="8">#REF!</definedName>
    <definedName name="item3.2" localSheetId="7">#REF!</definedName>
    <definedName name="item3.2">#REF!</definedName>
    <definedName name="item3.3" localSheetId="8">#REF!</definedName>
    <definedName name="item3.3" localSheetId="7">#REF!</definedName>
    <definedName name="item3.3">#REF!</definedName>
    <definedName name="item4.1" localSheetId="8">#REF!</definedName>
    <definedName name="item4.1" localSheetId="7">#REF!</definedName>
    <definedName name="item4.1">#REF!</definedName>
    <definedName name="item4.2" localSheetId="8">#REF!</definedName>
    <definedName name="item4.2" localSheetId="7">#REF!</definedName>
    <definedName name="item4.2">#REF!</definedName>
    <definedName name="item4.3" localSheetId="8">#REF!</definedName>
    <definedName name="item4.3" localSheetId="7">#REF!</definedName>
    <definedName name="item4.3">#REF!</definedName>
    <definedName name="item4.4" localSheetId="8">#REF!</definedName>
    <definedName name="item4.4" localSheetId="7">#REF!</definedName>
    <definedName name="item4.4">#REF!</definedName>
    <definedName name="item4.5" localSheetId="8">#REF!</definedName>
    <definedName name="item4.5" localSheetId="7">#REF!</definedName>
    <definedName name="item4.5">#REF!</definedName>
    <definedName name="item4.6" localSheetId="8">#REF!</definedName>
    <definedName name="item4.6" localSheetId="7">#REF!</definedName>
    <definedName name="item4.6">#REF!</definedName>
    <definedName name="item4.7" localSheetId="8">#REF!</definedName>
    <definedName name="item4.7" localSheetId="7">#REF!</definedName>
    <definedName name="item4.7">#REF!</definedName>
    <definedName name="item5.1" localSheetId="8">#REF!</definedName>
    <definedName name="item5.1" localSheetId="7">#REF!</definedName>
    <definedName name="item5.1">#REF!</definedName>
    <definedName name="item5.2" localSheetId="8">#REF!</definedName>
    <definedName name="item5.2" localSheetId="7">#REF!</definedName>
    <definedName name="item5.2">#REF!</definedName>
    <definedName name="item5.3" localSheetId="8">#REF!</definedName>
    <definedName name="item5.3" localSheetId="7">#REF!</definedName>
    <definedName name="item5.3">#REF!</definedName>
    <definedName name="item5.4" localSheetId="8">#REF!</definedName>
    <definedName name="item5.4" localSheetId="7">#REF!</definedName>
    <definedName name="item5.4">#REF!</definedName>
    <definedName name="item5.5" localSheetId="8">#REF!</definedName>
    <definedName name="item5.5" localSheetId="7">#REF!</definedName>
    <definedName name="item5.5">#REF!</definedName>
    <definedName name="item5.6" localSheetId="8">#REF!</definedName>
    <definedName name="item5.6" localSheetId="7">#REF!</definedName>
    <definedName name="item5.6">#REF!</definedName>
    <definedName name="item5.7" localSheetId="8">#REF!</definedName>
    <definedName name="item5.7" localSheetId="7">#REF!</definedName>
    <definedName name="item5.7">#REF!</definedName>
    <definedName name="item6.1" localSheetId="8">#REF!</definedName>
    <definedName name="item6.1" localSheetId="7">#REF!</definedName>
    <definedName name="item6.1">#REF!</definedName>
    <definedName name="item6.2" localSheetId="8">#REF!</definedName>
    <definedName name="item6.2" localSheetId="7">#REF!</definedName>
    <definedName name="item6.2">#REF!</definedName>
    <definedName name="item6.3" localSheetId="8">#REF!</definedName>
    <definedName name="item6.3" localSheetId="7">#REF!</definedName>
    <definedName name="item6.3">#REF!</definedName>
    <definedName name="item6.4" localSheetId="8">#REF!</definedName>
    <definedName name="item6.4" localSheetId="7">#REF!</definedName>
    <definedName name="item6.4">#REF!</definedName>
    <definedName name="item6.5" localSheetId="8">#REF!</definedName>
    <definedName name="item6.5" localSheetId="7">#REF!</definedName>
    <definedName name="item6.5">#REF!</definedName>
    <definedName name="item7.1" localSheetId="8">#REF!</definedName>
    <definedName name="item7.1" localSheetId="7">#REF!</definedName>
    <definedName name="item7.1">#REF!</definedName>
    <definedName name="item7.10" localSheetId="8">#REF!</definedName>
    <definedName name="item7.10" localSheetId="7">#REF!</definedName>
    <definedName name="item7.10">#REF!</definedName>
    <definedName name="item7.11" localSheetId="8">#REF!</definedName>
    <definedName name="item7.11" localSheetId="7">#REF!</definedName>
    <definedName name="item7.11">#REF!</definedName>
    <definedName name="item7.12" localSheetId="8">#REF!</definedName>
    <definedName name="item7.12" localSheetId="7">#REF!</definedName>
    <definedName name="item7.12">#REF!</definedName>
    <definedName name="item7.13" localSheetId="8">#REF!</definedName>
    <definedName name="item7.13" localSheetId="7">#REF!</definedName>
    <definedName name="item7.13">#REF!</definedName>
    <definedName name="item7.14" localSheetId="8">#REF!</definedName>
    <definedName name="item7.14" localSheetId="7">#REF!</definedName>
    <definedName name="item7.14">#REF!</definedName>
    <definedName name="item7.15" localSheetId="8">#REF!</definedName>
    <definedName name="item7.15" localSheetId="7">#REF!</definedName>
    <definedName name="item7.15">#REF!</definedName>
    <definedName name="item7.16" localSheetId="8">#REF!</definedName>
    <definedName name="item7.16" localSheetId="7">#REF!</definedName>
    <definedName name="item7.16">#REF!</definedName>
    <definedName name="item7.17" localSheetId="8">#REF!</definedName>
    <definedName name="item7.17" localSheetId="7">#REF!</definedName>
    <definedName name="item7.17">#REF!</definedName>
    <definedName name="item7.18" localSheetId="8">#REF!</definedName>
    <definedName name="item7.18" localSheetId="7">#REF!</definedName>
    <definedName name="item7.18">#REF!</definedName>
    <definedName name="item7.19" localSheetId="8">#REF!</definedName>
    <definedName name="item7.19" localSheetId="7">#REF!</definedName>
    <definedName name="item7.19">#REF!</definedName>
    <definedName name="item7.2" localSheetId="8">#REF!</definedName>
    <definedName name="item7.2" localSheetId="7">#REF!</definedName>
    <definedName name="item7.2">#REF!</definedName>
    <definedName name="item7.3" localSheetId="8">#REF!</definedName>
    <definedName name="item7.3" localSheetId="7">#REF!</definedName>
    <definedName name="item7.3">#REF!</definedName>
    <definedName name="item7.4" localSheetId="8">#REF!</definedName>
    <definedName name="item7.4" localSheetId="7">#REF!</definedName>
    <definedName name="item7.4">#REF!</definedName>
    <definedName name="item7.5" localSheetId="8">#REF!</definedName>
    <definedName name="item7.5" localSheetId="7">#REF!</definedName>
    <definedName name="item7.5">#REF!</definedName>
    <definedName name="item7.6" localSheetId="8">#REF!</definedName>
    <definedName name="item7.6" localSheetId="7">#REF!</definedName>
    <definedName name="item7.6">#REF!</definedName>
    <definedName name="item7.7" localSheetId="8">#REF!</definedName>
    <definedName name="item7.7" localSheetId="7">#REF!</definedName>
    <definedName name="item7.7">#REF!</definedName>
    <definedName name="item7.8" localSheetId="8">#REF!</definedName>
    <definedName name="item7.8" localSheetId="7">#REF!</definedName>
    <definedName name="item7.8">#REF!</definedName>
    <definedName name="item7.9" localSheetId="8">#REF!</definedName>
    <definedName name="item7.9" localSheetId="7">#REF!</definedName>
    <definedName name="item7.9">#REF!</definedName>
    <definedName name="item8.1" localSheetId="8">#REF!</definedName>
    <definedName name="item8.1" localSheetId="7">#REF!</definedName>
    <definedName name="item8.1">#REF!</definedName>
    <definedName name="item8.2" localSheetId="8">#REF!</definedName>
    <definedName name="item8.2" localSheetId="7">#REF!</definedName>
    <definedName name="item8.2">#REF!</definedName>
    <definedName name="item8.3" localSheetId="8">#REF!</definedName>
    <definedName name="item8.3" localSheetId="7">#REF!</definedName>
    <definedName name="item8.3">#REF!</definedName>
    <definedName name="item8.4" localSheetId="8">#REF!</definedName>
    <definedName name="item8.4" localSheetId="7">#REF!</definedName>
    <definedName name="item8.4">#REF!</definedName>
    <definedName name="item8.5" localSheetId="8">#REF!</definedName>
    <definedName name="item8.5" localSheetId="7">#REF!</definedName>
    <definedName name="item8.5">#REF!</definedName>
    <definedName name="item8.6" localSheetId="8">#REF!</definedName>
    <definedName name="item8.6" localSheetId="7">#REF!</definedName>
    <definedName name="item8.6">#REF!</definedName>
    <definedName name="item9.1" localSheetId="8">#REF!</definedName>
    <definedName name="item9.1" localSheetId="7">#REF!</definedName>
    <definedName name="item9.1">#REF!</definedName>
    <definedName name="item9.2" localSheetId="8">#REF!</definedName>
    <definedName name="item9.2" localSheetId="7">#REF!</definedName>
    <definedName name="item9.2">#REF!</definedName>
    <definedName name="item9.3" localSheetId="8">#REF!</definedName>
    <definedName name="item9.3" localSheetId="7">#REF!</definedName>
    <definedName name="item9.3">#REF!</definedName>
    <definedName name="item9.4" localSheetId="8">#REF!</definedName>
    <definedName name="item9.4" localSheetId="7">#REF!</definedName>
    <definedName name="item9.4">#REF!</definedName>
    <definedName name="item9.5" localSheetId="8">#REF!</definedName>
    <definedName name="item9.5" localSheetId="7">#REF!</definedName>
    <definedName name="item9.5">#REF!</definedName>
    <definedName name="item9.6" localSheetId="8">#REF!</definedName>
    <definedName name="item9.6" localSheetId="7">#REF!</definedName>
    <definedName name="item9.6">#REF!</definedName>
    <definedName name="item9.7" localSheetId="8">#REF!</definedName>
    <definedName name="item9.7" localSheetId="7">#REF!</definedName>
    <definedName name="item9.7">#REF!</definedName>
    <definedName name="item9.8" localSheetId="8">#REF!</definedName>
    <definedName name="item9.8" localSheetId="7">#REF!</definedName>
    <definedName name="item9.8">#REF!</definedName>
    <definedName name="item9.9" localSheetId="8">#REF!</definedName>
    <definedName name="item9.9" localSheetId="7">#REF!</definedName>
    <definedName name="item9.9">#REF!</definedName>
    <definedName name="Itens" localSheetId="15" hidden="1">#REF!</definedName>
    <definedName name="Itens" localSheetId="4" hidden="1">#REF!</definedName>
    <definedName name="Itens" localSheetId="12" hidden="1">#REF!</definedName>
    <definedName name="Itens" localSheetId="5" hidden="1">#REF!</definedName>
    <definedName name="Itens" localSheetId="13" hidden="1">#REF!</definedName>
    <definedName name="Itens" localSheetId="8" hidden="1">#REF!</definedName>
    <definedName name="Itens" localSheetId="7" hidden="1">#REF!</definedName>
    <definedName name="Itens" localSheetId="0" hidden="1">#REF!</definedName>
    <definedName name="Itens" localSheetId="16" hidden="1">#REF!</definedName>
    <definedName name="Itens" hidden="1">#REF!</definedName>
    <definedName name="itm10.2" localSheetId="8">#REF!</definedName>
    <definedName name="itm10.2" localSheetId="7">#REF!</definedName>
    <definedName name="itm10.2">#REF!</definedName>
    <definedName name="JAZU" localSheetId="15">#REF!</definedName>
    <definedName name="JAZU" localSheetId="12">[16]DMT!$C$16</definedName>
    <definedName name="JAZU" localSheetId="13">#REF!</definedName>
    <definedName name="JAZU" localSheetId="11">#REF!</definedName>
    <definedName name="JAZU" localSheetId="8">#REF!</definedName>
    <definedName name="JAZU" localSheetId="7">#REF!</definedName>
    <definedName name="JAZU">#REF!</definedName>
    <definedName name="Jd" localSheetId="8">#REF!</definedName>
    <definedName name="Jd" localSheetId="7">#REF!</definedName>
    <definedName name="Jd">#REF!</definedName>
    <definedName name="JESUS" localSheetId="8">#REF!</definedName>
    <definedName name="JESUS">#REF!</definedName>
    <definedName name="JHJHJ" localSheetId="15" hidden="1">{#N/A,#N/A,FALSE,"MO (2)"}</definedName>
    <definedName name="JHJHJ" localSheetId="12" hidden="1">{#N/A,#N/A,FALSE,"MO (2)"}</definedName>
    <definedName name="JHJHJ" localSheetId="8" hidden="1">{#N/A,#N/A,FALSE,"MO (2)"}</definedName>
    <definedName name="JHJHJ" localSheetId="14" hidden="1">{#N/A,#N/A,FALSE,"MO (2)"}</definedName>
    <definedName name="JHJHJ" localSheetId="16" hidden="1">{#N/A,#N/A,FALSE,"MO (2)"}</definedName>
    <definedName name="JHJHJ" hidden="1">{#N/A,#N/A,FALSE,"MO (2)"}</definedName>
    <definedName name="jklfhsiure564y68909" localSheetId="8">#REF!</definedName>
    <definedName name="jklfhsiure564y68909" localSheetId="7">#REF!</definedName>
    <definedName name="jklfhsiure564y68909" localSheetId="14">#REF!</definedName>
    <definedName name="jklfhsiure564y68909">#REF!</definedName>
    <definedName name="Jm" localSheetId="8">#REF!</definedName>
    <definedName name="Jm" localSheetId="7">#REF!</definedName>
    <definedName name="Jm">#REF!</definedName>
    <definedName name="jnxcfhnxc" localSheetId="15">#REF!</definedName>
    <definedName name="jnxcfhnxc" localSheetId="4">#REF!</definedName>
    <definedName name="jnxcfhnxc" localSheetId="12">#REF!</definedName>
    <definedName name="jnxcfhnxc" localSheetId="5">#REF!</definedName>
    <definedName name="jnxcfhnxc" localSheetId="13">#REF!</definedName>
    <definedName name="jnxcfhnxc" localSheetId="6">#REF!</definedName>
    <definedName name="jnxcfhnxc" localSheetId="11">#REF!</definedName>
    <definedName name="jnxcfhnxc" localSheetId="8">#REF!</definedName>
    <definedName name="jnxcfhnxc" localSheetId="7">#REF!</definedName>
    <definedName name="jnxcfhnxc" localSheetId="0">#REF!</definedName>
    <definedName name="jnxcfhnxc">#REF!</definedName>
    <definedName name="JOGADA" localSheetId="12">[11]Serviços!$G$23</definedName>
    <definedName name="JOGADA" localSheetId="8">#REF!</definedName>
    <definedName name="JOGADA" localSheetId="7">#REF!</definedName>
    <definedName name="JOGADA">#REF!</definedName>
    <definedName name="JR_PAGE_ANCHOR_0_1" localSheetId="15">#REF!</definedName>
    <definedName name="JR_PAGE_ANCHOR_0_1" localSheetId="4">#REF!</definedName>
    <definedName name="JR_PAGE_ANCHOR_0_1" localSheetId="12">#REF!</definedName>
    <definedName name="JR_PAGE_ANCHOR_0_1" localSheetId="5">#REF!</definedName>
    <definedName name="JR_PAGE_ANCHOR_0_1" localSheetId="13">#REF!</definedName>
    <definedName name="JR_PAGE_ANCHOR_0_1" localSheetId="11">#REF!</definedName>
    <definedName name="JR_PAGE_ANCHOR_0_1" localSheetId="8">#REF!</definedName>
    <definedName name="JR_PAGE_ANCHOR_0_1" localSheetId="7">#REF!</definedName>
    <definedName name="JR_PAGE_ANCHOR_0_1" localSheetId="2">#REF!</definedName>
    <definedName name="JR_PAGE_ANCHOR_0_1" localSheetId="1">#REF!</definedName>
    <definedName name="JR_PAGE_ANCHOR_0_1" localSheetId="0">#REF!</definedName>
    <definedName name="JR_PAGE_ANCHOR_0_1">#REF!</definedName>
    <definedName name="JR_PAGE_ANCHOR_1_1" localSheetId="15">#REF!</definedName>
    <definedName name="JR_PAGE_ANCHOR_1_1" localSheetId="4">#REF!</definedName>
    <definedName name="JR_PAGE_ANCHOR_1_1" localSheetId="12">#REF!</definedName>
    <definedName name="JR_PAGE_ANCHOR_1_1" localSheetId="5">#REF!</definedName>
    <definedName name="JR_PAGE_ANCHOR_1_1" localSheetId="13">#REF!</definedName>
    <definedName name="JR_PAGE_ANCHOR_1_1" localSheetId="11">#REF!</definedName>
    <definedName name="JR_PAGE_ANCHOR_1_1" localSheetId="8">#REF!</definedName>
    <definedName name="JR_PAGE_ANCHOR_1_1" localSheetId="7">#REF!</definedName>
    <definedName name="JR_PAGE_ANCHOR_1_1" localSheetId="0">#REF!</definedName>
    <definedName name="JR_PAGE_ANCHOR_1_1">#REF!</definedName>
    <definedName name="JR_PAGE_ANCHOR_4_1" localSheetId="15">#REF!</definedName>
    <definedName name="JR_PAGE_ANCHOR_4_1" localSheetId="4">#REF!</definedName>
    <definedName name="JR_PAGE_ANCHOR_4_1" localSheetId="12">#REF!</definedName>
    <definedName name="JR_PAGE_ANCHOR_4_1" localSheetId="5">#REF!</definedName>
    <definedName name="JR_PAGE_ANCHOR_4_1" localSheetId="13">#REF!</definedName>
    <definedName name="JR_PAGE_ANCHOR_4_1" localSheetId="11">#REF!</definedName>
    <definedName name="JR_PAGE_ANCHOR_4_1" localSheetId="8">#REF!</definedName>
    <definedName name="JR_PAGE_ANCHOR_4_1" localSheetId="7">#REF!</definedName>
    <definedName name="JR_PAGE_ANCHOR_4_1" localSheetId="0">#REF!</definedName>
    <definedName name="JR_PAGE_ANCHOR_4_1">#REF!</definedName>
    <definedName name="JR_PAGE_ANCHOR_6_1" localSheetId="15">#REF!</definedName>
    <definedName name="JR_PAGE_ANCHOR_6_1" localSheetId="4">#REF!</definedName>
    <definedName name="JR_PAGE_ANCHOR_6_1" localSheetId="5">#REF!</definedName>
    <definedName name="JR_PAGE_ANCHOR_6_1" localSheetId="13">#REF!</definedName>
    <definedName name="JR_PAGE_ANCHOR_6_1" localSheetId="8">#REF!</definedName>
    <definedName name="JR_PAGE_ANCHOR_6_1" localSheetId="7">#REF!</definedName>
    <definedName name="JR_PAGE_ANCHOR_6_1" localSheetId="0">#REF!</definedName>
    <definedName name="JR_PAGE_ANCHOR_6_1">#REF!</definedName>
    <definedName name="JUROS" localSheetId="15">#REF!</definedName>
    <definedName name="JUROS" localSheetId="12">[24]SERV!$E$84</definedName>
    <definedName name="JUROS" localSheetId="8">#REF!</definedName>
    <definedName name="JUROS" localSheetId="7">#REF!</definedName>
    <definedName name="JUROS">#REF!</definedName>
    <definedName name="Kincc" localSheetId="15">#REF!</definedName>
    <definedName name="Kincc" localSheetId="4">#REF!</definedName>
    <definedName name="Kincc" localSheetId="12">#REF!</definedName>
    <definedName name="Kincc" localSheetId="5">#REF!</definedName>
    <definedName name="Kincc" localSheetId="13">#REF!</definedName>
    <definedName name="Kincc" localSheetId="6">#REF!</definedName>
    <definedName name="Kincc" localSheetId="11">#REF!</definedName>
    <definedName name="Kincc" localSheetId="8">#REF!</definedName>
    <definedName name="Kincc" localSheetId="7">#REF!</definedName>
    <definedName name="Kincc" localSheetId="0">#REF!</definedName>
    <definedName name="Kincc">#REF!</definedName>
    <definedName name="KLAGHOLGA" localSheetId="8">#REF!</definedName>
    <definedName name="KLAGHOLGA" localSheetId="7">#REF!</definedName>
    <definedName name="KLAGHOLGA">#REF!</definedName>
    <definedName name="Koae" localSheetId="15">#REF!</definedName>
    <definedName name="Koae" localSheetId="4">#REF!</definedName>
    <definedName name="Koae" localSheetId="12">#REF!</definedName>
    <definedName name="Koae" localSheetId="5">#REF!</definedName>
    <definedName name="Koae" localSheetId="13">#REF!</definedName>
    <definedName name="Koae" localSheetId="6">#REF!</definedName>
    <definedName name="Koae" localSheetId="8">#REF!</definedName>
    <definedName name="Koae" localSheetId="7">#REF!</definedName>
    <definedName name="Koae" localSheetId="0">#REF!</definedName>
    <definedName name="Koae">#REF!</definedName>
    <definedName name="Kp" localSheetId="15">#REF!</definedName>
    <definedName name="Kp" localSheetId="4">#REF!</definedName>
    <definedName name="Kp" localSheetId="12">#REF!</definedName>
    <definedName name="Kp" localSheetId="5">#REF!</definedName>
    <definedName name="Kp" localSheetId="13">#REF!</definedName>
    <definedName name="Kp" localSheetId="6">#REF!</definedName>
    <definedName name="Kp" localSheetId="8">#REF!</definedName>
    <definedName name="Kp" localSheetId="7">#REF!</definedName>
    <definedName name="Kp" localSheetId="0">#REF!</definedName>
    <definedName name="Kp">#REF!</definedName>
    <definedName name="Kt" localSheetId="15">#REF!</definedName>
    <definedName name="Kt" localSheetId="4">#REF!</definedName>
    <definedName name="Kt" localSheetId="5">#REF!</definedName>
    <definedName name="Kt" localSheetId="13">#REF!</definedName>
    <definedName name="Kt" localSheetId="6">#REF!</definedName>
    <definedName name="Kt" localSheetId="8">#REF!</definedName>
    <definedName name="Kt" localSheetId="7">#REF!</definedName>
    <definedName name="Kt" localSheetId="0">#REF!</definedName>
    <definedName name="Kt">#REF!</definedName>
    <definedName name="KTT" localSheetId="15">#REF!</definedName>
    <definedName name="KTT" localSheetId="4">#REF!</definedName>
    <definedName name="KTT" localSheetId="5">#REF!</definedName>
    <definedName name="KTT" localSheetId="13">#REF!</definedName>
    <definedName name="KTT" localSheetId="6">#REF!</definedName>
    <definedName name="KTT" localSheetId="8">#REF!</definedName>
    <definedName name="KTT" localSheetId="7">#REF!</definedName>
    <definedName name="KTT" localSheetId="0">#REF!</definedName>
    <definedName name="KTT">#REF!</definedName>
    <definedName name="LADO" localSheetId="15">#REF!</definedName>
    <definedName name="LADO" localSheetId="12">'[12]Fresagem de Pista Ago-98'!#REF!</definedName>
    <definedName name="LADO" localSheetId="13">#REF!</definedName>
    <definedName name="LADO" localSheetId="6">#REF!</definedName>
    <definedName name="LADO" localSheetId="11">#REF!</definedName>
    <definedName name="LADO" localSheetId="8">#REF!</definedName>
    <definedName name="LADO" localSheetId="7">#REF!</definedName>
    <definedName name="LADO" localSheetId="0">#REF!</definedName>
    <definedName name="LADO">#REF!</definedName>
    <definedName name="LAG" localSheetId="15">#REF!</definedName>
    <definedName name="LAG" localSheetId="12">[9]SERVIÇOS!#REF!</definedName>
    <definedName name="LAG" localSheetId="13">#REF!</definedName>
    <definedName name="LAG" localSheetId="6">#REF!</definedName>
    <definedName name="LAG" localSheetId="11">#REF!</definedName>
    <definedName name="LAG" localSheetId="8">#REF!</definedName>
    <definedName name="LAG" localSheetId="7">#REF!</definedName>
    <definedName name="LAG" localSheetId="0">#REF!</definedName>
    <definedName name="LAG">#REF!</definedName>
    <definedName name="LARG" localSheetId="15">#REF!</definedName>
    <definedName name="LARG" localSheetId="12">'[12]Fresagem de Pista Ago-98'!#REF!</definedName>
    <definedName name="LARG" localSheetId="13">#REF!</definedName>
    <definedName name="LARG" localSheetId="6">#REF!</definedName>
    <definedName name="LARG" localSheetId="11">#REF!</definedName>
    <definedName name="LARG" localSheetId="8">#REF!</definedName>
    <definedName name="LARG" localSheetId="7">#REF!</definedName>
    <definedName name="LARG" localSheetId="0">#REF!</definedName>
    <definedName name="LARG">#REF!</definedName>
    <definedName name="LB" localSheetId="12">[11]Serviços!$G$36</definedName>
    <definedName name="LB" localSheetId="8">#REF!</definedName>
    <definedName name="LB" localSheetId="7">#REF!</definedName>
    <definedName name="LB">#REF!</definedName>
    <definedName name="LD" localSheetId="15">#REF!</definedName>
    <definedName name="LD" localSheetId="12">'[12]Fresagem de Pista Ago-98'!#REF!</definedName>
    <definedName name="LD" localSheetId="13">#REF!</definedName>
    <definedName name="LD" localSheetId="6">#REF!</definedName>
    <definedName name="LD" localSheetId="11">#REF!</definedName>
    <definedName name="LD" localSheetId="8">#REF!</definedName>
    <definedName name="LD" localSheetId="7">#REF!</definedName>
    <definedName name="LD" localSheetId="0">#REF!</definedName>
    <definedName name="LD">#REF!</definedName>
    <definedName name="LDA" localSheetId="12">[11]Serviços!$G$35</definedName>
    <definedName name="LDA" localSheetId="8">#REF!</definedName>
    <definedName name="LDA" localSheetId="7">#REF!</definedName>
    <definedName name="LDA">#REF!</definedName>
    <definedName name="LEIVAS" localSheetId="12">[11]Serviços!$G$25</definedName>
    <definedName name="LEIVAS" localSheetId="8">#REF!</definedName>
    <definedName name="LEIVAS" localSheetId="7">#REF!</definedName>
    <definedName name="LEIVAS">#REF!</definedName>
    <definedName name="LI" localSheetId="8">#REF!</definedName>
    <definedName name="LI" localSheetId="7">#REF!</definedName>
    <definedName name="LI">#REF!</definedName>
    <definedName name="LILASDRENA" localSheetId="15">#REF!</definedName>
    <definedName name="LILASDRENA" localSheetId="4">#REF!</definedName>
    <definedName name="LILASDRENA" localSheetId="12">#REF!</definedName>
    <definedName name="LILASDRENA" localSheetId="5">#REF!</definedName>
    <definedName name="LILASDRENA" localSheetId="13">#REF!</definedName>
    <definedName name="LILASDRENA" localSheetId="11">#REF!</definedName>
    <definedName name="LILASDRENA" localSheetId="8">#REF!</definedName>
    <definedName name="LILASDRENA" localSheetId="7">#REF!</definedName>
    <definedName name="LILASDRENA" localSheetId="0">#REF!</definedName>
    <definedName name="LILASDRENA">#REF!</definedName>
    <definedName name="LIMPBUE" localSheetId="15">#REF!</definedName>
    <definedName name="LIMPBUE" localSheetId="4">#REF!</definedName>
    <definedName name="LIMPBUE" localSheetId="12">#REF!</definedName>
    <definedName name="LIMPBUE" localSheetId="5">#REF!</definedName>
    <definedName name="LIMPBUE" localSheetId="13">#REF!</definedName>
    <definedName name="LIMPBUE" localSheetId="6">#REF!</definedName>
    <definedName name="LIMPBUE" localSheetId="8">#REF!</definedName>
    <definedName name="LIMPBUE" localSheetId="7">#REF!</definedName>
    <definedName name="LIMPBUE" localSheetId="0">#REF!</definedName>
    <definedName name="LIMPBUE">#REF!</definedName>
    <definedName name="LIMPEZADESCIDA" localSheetId="15">#REF!</definedName>
    <definedName name="LIMPEZADESCIDA" localSheetId="4">#REF!</definedName>
    <definedName name="LIMPEZADESCIDA" localSheetId="12">#REF!</definedName>
    <definedName name="LIMPEZADESCIDA" localSheetId="5">#REF!</definedName>
    <definedName name="LIMPEZADESCIDA" localSheetId="13">#REF!</definedName>
    <definedName name="LIMPEZADESCIDA" localSheetId="6">#REF!</definedName>
    <definedName name="LIMPEZADESCIDA" localSheetId="8">#REF!</definedName>
    <definedName name="LIMPEZADESCIDA" localSheetId="7">#REF!</definedName>
    <definedName name="LIMPEZADESCIDA" localSheetId="0">#REF!</definedName>
    <definedName name="LIMPEZADESCIDA">#REF!</definedName>
    <definedName name="LIMPEZAMEIOFIO" localSheetId="15">#REF!</definedName>
    <definedName name="LIMPEZAMEIOFIO" localSheetId="4">#REF!</definedName>
    <definedName name="LIMPEZAMEIOFIO" localSheetId="5">#REF!</definedName>
    <definedName name="LIMPEZAMEIOFIO" localSheetId="13">#REF!</definedName>
    <definedName name="LIMPEZAMEIOFIO" localSheetId="6">#REF!</definedName>
    <definedName name="LIMPEZAMEIOFIO" localSheetId="8">#REF!</definedName>
    <definedName name="LIMPEZAMEIOFIO" localSheetId="7">#REF!</definedName>
    <definedName name="LIMPEZAMEIOFIO" localSheetId="0">#REF!</definedName>
    <definedName name="LIMPEZAMEIOFIO">#REF!</definedName>
    <definedName name="LIMPEZAPONTE" localSheetId="15">#REF!</definedName>
    <definedName name="LIMPEZAPONTE" localSheetId="4">#REF!</definedName>
    <definedName name="LIMPEZAPONTE" localSheetId="5">#REF!</definedName>
    <definedName name="LIMPEZAPONTE" localSheetId="13">#REF!</definedName>
    <definedName name="LIMPEZAPONTE" localSheetId="6">#REF!</definedName>
    <definedName name="LIMPEZAPONTE" localSheetId="8">#REF!</definedName>
    <definedName name="LIMPEZAPONTE" localSheetId="7">#REF!</definedName>
    <definedName name="LIMPEZAPONTE" localSheetId="0">#REF!</definedName>
    <definedName name="LIMPEZAPONTE">#REF!</definedName>
    <definedName name="LIMPVALA" localSheetId="15">#REF!</definedName>
    <definedName name="LIMPVALA" localSheetId="4">#REF!</definedName>
    <definedName name="LIMPVALA" localSheetId="5">#REF!</definedName>
    <definedName name="LIMPVALA" localSheetId="13">#REF!</definedName>
    <definedName name="LIMPVALA" localSheetId="6">#REF!</definedName>
    <definedName name="LIMPVALA" localSheetId="8">#REF!</definedName>
    <definedName name="LIMPVALA" localSheetId="7">#REF!</definedName>
    <definedName name="LIMPVALA" localSheetId="0">#REF!</definedName>
    <definedName name="LIMPVALA">#REF!</definedName>
    <definedName name="loc" localSheetId="15">#REF!</definedName>
    <definedName name="loc" localSheetId="12">[24]TRAÇOS!$A$38</definedName>
    <definedName name="loc" localSheetId="8">#REF!</definedName>
    <definedName name="loc" localSheetId="7">#REF!</definedName>
    <definedName name="loc">#REF!</definedName>
    <definedName name="LOCAL" localSheetId="15">#REF!</definedName>
    <definedName name="LOCAL" localSheetId="12">[5]DADOS!$C$31</definedName>
    <definedName name="LOCAL" localSheetId="13">#REF!</definedName>
    <definedName name="Local" localSheetId="6" hidden="1">""</definedName>
    <definedName name="LOCAL" localSheetId="11">#REF!</definedName>
    <definedName name="LOCAL" localSheetId="8">#REF!</definedName>
    <definedName name="LOCAL" localSheetId="7">#REF!</definedName>
    <definedName name="LOCAL">#REF!</definedName>
    <definedName name="LOCALE1" localSheetId="12">#REF!</definedName>
    <definedName name="LOCALE1" localSheetId="8">#REF!</definedName>
    <definedName name="LOCALE1">#REF!</definedName>
    <definedName name="LOLO" localSheetId="12">#REF!</definedName>
    <definedName name="LOLO" localSheetId="13">#REF!</definedName>
    <definedName name="LOLO" localSheetId="8">#REF!</definedName>
    <definedName name="LOLO" localSheetId="7">#REF!</definedName>
    <definedName name="LOLO" localSheetId="0">#REF!</definedName>
    <definedName name="LOLO">#REF!</definedName>
    <definedName name="LOTE" localSheetId="15">#REF!</definedName>
    <definedName name="LOTE" localSheetId="12">[16]DADOS!$B$5</definedName>
    <definedName name="LOTE" localSheetId="13">#REF!</definedName>
    <definedName name="LOTE" localSheetId="11">#REF!</definedName>
    <definedName name="LOTE" localSheetId="8">#REF!</definedName>
    <definedName name="LOTE" localSheetId="7">#REF!</definedName>
    <definedName name="LOTE">#REF!</definedName>
    <definedName name="LP" localSheetId="12">[11]Serviços!$G$20</definedName>
    <definedName name="LP" localSheetId="8">#REF!</definedName>
    <definedName name="LP" localSheetId="7">#REF!</definedName>
    <definedName name="LP">#REF!</definedName>
    <definedName name="LPS" localSheetId="12">[11]Serviços!$G$38</definedName>
    <definedName name="LPS" localSheetId="8">#REF!</definedName>
    <definedName name="LPS" localSheetId="7">#REF!</definedName>
    <definedName name="LPS">#REF!</definedName>
    <definedName name="LS">"S"</definedName>
    <definedName name="LSMF" localSheetId="12">[11]Serviços!$G$33</definedName>
    <definedName name="LSMF" localSheetId="8">#REF!</definedName>
    <definedName name="LSMF" localSheetId="7">#REF!</definedName>
    <definedName name="LSMF" localSheetId="14">#REF!</definedName>
    <definedName name="LSMF">#REF!</definedName>
    <definedName name="Lucro" localSheetId="8">#REF!</definedName>
    <definedName name="Lucro" localSheetId="7">#REF!</definedName>
    <definedName name="Lucro">#REF!</definedName>
    <definedName name="LVC" localSheetId="12">[11]Serviços!$G$34</definedName>
    <definedName name="LVC" localSheetId="8">#REF!</definedName>
    <definedName name="LVC" localSheetId="7">#REF!</definedName>
    <definedName name="LVC">#REF!</definedName>
    <definedName name="m" localSheetId="8">#REF!</definedName>
    <definedName name="m" localSheetId="7">#REF!</definedName>
    <definedName name="m">#REF!</definedName>
    <definedName name="MACIO" localSheetId="8">#REF!</definedName>
    <definedName name="MACIO" localSheetId="7">#REF!</definedName>
    <definedName name="MACIO">#REF!</definedName>
    <definedName name="maconha" localSheetId="8">#REF!</definedName>
    <definedName name="maconha" localSheetId="7">#REF!</definedName>
    <definedName name="maconha">#REF!</definedName>
    <definedName name="MACONHA2" localSheetId="8">#REF!</definedName>
    <definedName name="MACONHA2" localSheetId="7">#REF!</definedName>
    <definedName name="MACONHA2">#REF!</definedName>
    <definedName name="MANCANT" localSheetId="15">#REF!</definedName>
    <definedName name="MANCANT" localSheetId="12">'[16]Manut. Canteiro'!$H$65</definedName>
    <definedName name="MANCANT" localSheetId="13">#REF!</definedName>
    <definedName name="MANCANT" localSheetId="11">#REF!</definedName>
    <definedName name="MANCANT" localSheetId="8">#REF!</definedName>
    <definedName name="MANCANT" localSheetId="7">#REF!</definedName>
    <definedName name="MANCANT">#REF!</definedName>
    <definedName name="MAR" localSheetId="12">#REF!</definedName>
    <definedName name="MAR" localSheetId="8">#REF!</definedName>
    <definedName name="MAR">#REF!</definedName>
    <definedName name="Marcio" localSheetId="8">#REF!</definedName>
    <definedName name="Marcio" localSheetId="7">#REF!</definedName>
    <definedName name="Marcio">#REF!</definedName>
    <definedName name="mario" localSheetId="8">#REF!</definedName>
    <definedName name="mario" localSheetId="7">#REF!</definedName>
    <definedName name="mario">#REF!</definedName>
    <definedName name="Max" localSheetId="13" hidden="1">COUNTIF(#REF!,"&lt;&gt;0")+3</definedName>
    <definedName name="Max" localSheetId="0" hidden="1">COUNTIF(#REF!,"&lt;&gt;0")+3</definedName>
    <definedName name="Max" hidden="1">COUNTIF(#REF!,"&lt;&gt;0")+3</definedName>
    <definedName name="MBBET" localSheetId="15">#REF!</definedName>
    <definedName name="MBBET" localSheetId="12">[9]SERVIÇOS!#REF!</definedName>
    <definedName name="MBBET" localSheetId="13">#REF!</definedName>
    <definedName name="MBBET" localSheetId="6">#REF!</definedName>
    <definedName name="MBBET" localSheetId="11">#REF!</definedName>
    <definedName name="MBBET" localSheetId="8">#REF!</definedName>
    <definedName name="MBBET" localSheetId="7">#REF!</definedName>
    <definedName name="MBBET" localSheetId="0">#REF!</definedName>
    <definedName name="MBBET">#REF!</definedName>
    <definedName name="MBUF" localSheetId="15">#REF!</definedName>
    <definedName name="MBUF" localSheetId="12">[3]MBUQ!$E$19</definedName>
    <definedName name="MBUF" localSheetId="13">#REF!</definedName>
    <definedName name="MBUF" localSheetId="6">#REF!</definedName>
    <definedName name="MBUF" localSheetId="11">#REF!</definedName>
    <definedName name="MBUF" localSheetId="8">#REF!</definedName>
    <definedName name="MBUF" localSheetId="7">#REF!</definedName>
    <definedName name="MBUF">#REF!</definedName>
    <definedName name="MBUFMANUAL" localSheetId="15">#REF!</definedName>
    <definedName name="MBUFMANUAL" localSheetId="4">#REF!</definedName>
    <definedName name="MBUFMANUAL" localSheetId="12">#REF!</definedName>
    <definedName name="MBUFMANUAL" localSheetId="5">#REF!</definedName>
    <definedName name="MBUFMANUAL" localSheetId="13">#REF!</definedName>
    <definedName name="MBUFMANUAL" localSheetId="6">#REF!</definedName>
    <definedName name="MBUFMANUAL" localSheetId="11">#REF!</definedName>
    <definedName name="MBUFMANUAL" localSheetId="8">#REF!</definedName>
    <definedName name="MBUFMANUAL" localSheetId="7">#REF!</definedName>
    <definedName name="MBUFMANUAL" localSheetId="0">#REF!</definedName>
    <definedName name="MBUFMANUAL">#REF!</definedName>
    <definedName name="MBUQ" localSheetId="15">#REF!</definedName>
    <definedName name="MBUQ" localSheetId="12">[3]MBUQ!#REF!</definedName>
    <definedName name="MBUQ" localSheetId="13">#REF!</definedName>
    <definedName name="MBUQ" localSheetId="6">#REF!</definedName>
    <definedName name="MBUQ" localSheetId="11">#REF!</definedName>
    <definedName name="MBUQ" localSheetId="8">#REF!</definedName>
    <definedName name="MBUQ" localSheetId="7">#REF!</definedName>
    <definedName name="MBUQ" localSheetId="0">#REF!</definedName>
    <definedName name="MBUQ">#REF!</definedName>
    <definedName name="Medição" localSheetId="15">#REF!</definedName>
    <definedName name="Medição" localSheetId="4">#REF!</definedName>
    <definedName name="Medição" localSheetId="12">#REF!</definedName>
    <definedName name="Medição" localSheetId="5">#REF!</definedName>
    <definedName name="Medição" localSheetId="13">#REF!</definedName>
    <definedName name="Medição" localSheetId="11">#REF!</definedName>
    <definedName name="Medição" localSheetId="8">#REF!</definedName>
    <definedName name="Medição" localSheetId="7">#REF!</definedName>
    <definedName name="Medição" localSheetId="0">#REF!</definedName>
    <definedName name="Medição">#REF!</definedName>
    <definedName name="MEDIÇÃO1" localSheetId="15">#REF!</definedName>
    <definedName name="MEDIÇÃO1" localSheetId="12">[5]DADOS!$C$21</definedName>
    <definedName name="MEDIÇÃO1" localSheetId="13">#REF!</definedName>
    <definedName name="MEDIÇÃO1" localSheetId="6">#REF!</definedName>
    <definedName name="MEDIÇÃO1" localSheetId="11">#REF!</definedName>
    <definedName name="MEDIÇÃO1" localSheetId="8">#REF!</definedName>
    <definedName name="MEDIÇÃO1" localSheetId="7">#REF!</definedName>
    <definedName name="MEDIÇÃO1">#REF!</definedName>
    <definedName name="medir" localSheetId="12">[29]Teor!$B$3:$B$7</definedName>
    <definedName name="medir" localSheetId="8">#REF!</definedName>
    <definedName name="medir" localSheetId="7">#REF!</definedName>
    <definedName name="medir">#REF!</definedName>
    <definedName name="MEIO" localSheetId="15">#REF!</definedName>
    <definedName name="MEIO" localSheetId="4">#REF!</definedName>
    <definedName name="MEIO" localSheetId="12">#REF!</definedName>
    <definedName name="MEIO" localSheetId="5">#REF!</definedName>
    <definedName name="MEIO" localSheetId="13">#REF!</definedName>
    <definedName name="MEIO" localSheetId="11">#REF!</definedName>
    <definedName name="MEIO" localSheetId="8">#REF!</definedName>
    <definedName name="MEIO" localSheetId="7">#REF!</definedName>
    <definedName name="MEIO" localSheetId="0">#REF!</definedName>
    <definedName name="MEIO">#REF!</definedName>
    <definedName name="MEMORIA" localSheetId="8">#REF!</definedName>
    <definedName name="MEMORIA" localSheetId="7">#REF!</definedName>
    <definedName name="MEMORIA">#REF!</definedName>
    <definedName name="MERCADOSEL" localSheetId="15">#REF!</definedName>
    <definedName name="MERCADOSEL" localSheetId="4">#REF!</definedName>
    <definedName name="MERCADOSEL" localSheetId="12">#REF!</definedName>
    <definedName name="MERCADOSEL" localSheetId="5">#REF!</definedName>
    <definedName name="MERCADOSEL" localSheetId="13">#REF!</definedName>
    <definedName name="MERCADOSEL" localSheetId="6">#REF!</definedName>
    <definedName name="MERCADOSEL" localSheetId="8">#REF!</definedName>
    <definedName name="MERCADOSEL" localSheetId="7">#REF!</definedName>
    <definedName name="MERCADOSEL" localSheetId="0">#REF!</definedName>
    <definedName name="MERCADOSEL">#REF!</definedName>
    <definedName name="MERCADOSELF" localSheetId="15">#REF!</definedName>
    <definedName name="MERCADOSELF" localSheetId="4">#REF!</definedName>
    <definedName name="MERCADOSELF" localSheetId="12">#REF!</definedName>
    <definedName name="MERCADOSELF" localSheetId="5">#REF!</definedName>
    <definedName name="MERCADOSELF" localSheetId="13">#REF!</definedName>
    <definedName name="MERCADOSELF" localSheetId="6">#REF!</definedName>
    <definedName name="MERCADOSELF" localSheetId="8">#REF!</definedName>
    <definedName name="MERCADOSELF" localSheetId="7">#REF!</definedName>
    <definedName name="MERCADOSELF" localSheetId="0">#REF!</definedName>
    <definedName name="MERCADOSELF">#REF!</definedName>
    <definedName name="MERDA" localSheetId="15">'CALÇADA E ACESS.'!MERDA</definedName>
    <definedName name="MERDA" localSheetId="4">#N/A</definedName>
    <definedName name="MERDA" localSheetId="12">COMPLEMENTARES!MERDA</definedName>
    <definedName name="MERDA" localSheetId="5">#N/A</definedName>
    <definedName name="MERDA" localSheetId="13">'DISP. DRENAGEM'!MERDA</definedName>
    <definedName name="MERDA" localSheetId="6">DMT!MERDA</definedName>
    <definedName name="MERDA" localSheetId="11">DRENAGEM!MERDA</definedName>
    <definedName name="MERDA" localSheetId="8">GRELHA!MERDA</definedName>
    <definedName name="MERDA" localSheetId="7">'MAT BET'!MERDA</definedName>
    <definedName name="MERDA" localSheetId="2">'ORÇ. SINTÉTICO'!MERDA</definedName>
    <definedName name="MERDA" localSheetId="14">#N/A</definedName>
    <definedName name="MERDA" localSheetId="9">PRELIMINARES!MERDA</definedName>
    <definedName name="MERDA" localSheetId="1">RESUMO!MERDA</definedName>
    <definedName name="MERDA" localSheetId="0">'RESUMO DES'!MERDA</definedName>
    <definedName name="MERDA" localSheetId="16">SINALIZAÇÃO!MERDA</definedName>
    <definedName name="MERDA">[0]!MERDA</definedName>
    <definedName name="MES" localSheetId="15">#REF!</definedName>
    <definedName name="MES" localSheetId="12">'[3]F. MEDIÇAO'!$C$135</definedName>
    <definedName name="MES" localSheetId="13">#REF!</definedName>
    <definedName name="MES" localSheetId="6">#REF!</definedName>
    <definedName name="MES" localSheetId="11">#REF!</definedName>
    <definedName name="MES" localSheetId="8">#REF!</definedName>
    <definedName name="MES" localSheetId="7">#REF!</definedName>
    <definedName name="MES">#REF!</definedName>
    <definedName name="MESTEXTO" localSheetId="15">#REF!</definedName>
    <definedName name="MESTEXTO" localSheetId="12">[16]DADOS!$B$16</definedName>
    <definedName name="MESTEXTO" localSheetId="13">#REF!</definedName>
    <definedName name="MESTEXTO" localSheetId="11">#REF!</definedName>
    <definedName name="MESTEXTO" localSheetId="8">#REF!</definedName>
    <definedName name="MESTEXTO" localSheetId="7">#REF!</definedName>
    <definedName name="MESTEXTO">#REF!</definedName>
    <definedName name="MFC" localSheetId="15">#REF!</definedName>
    <definedName name="MFC" localSheetId="12">'[16]2 S 04 910 55'!$H$65</definedName>
    <definedName name="MFC" localSheetId="13">#REF!</definedName>
    <definedName name="MFC" localSheetId="11">#REF!</definedName>
    <definedName name="MFC" localSheetId="8">#REF!</definedName>
    <definedName name="MFC" localSheetId="7">#REF!</definedName>
    <definedName name="MFC">#REF!</definedName>
    <definedName name="MICHAEL" localSheetId="8">#REF!</definedName>
    <definedName name="MICHAEL" localSheetId="7">#REF!</definedName>
    <definedName name="MICHAEL">#REF!</definedName>
    <definedName name="MICRO" localSheetId="15">#REF!</definedName>
    <definedName name="MICRO" localSheetId="12">'[16]5 S 02 511 52'!$H$67</definedName>
    <definedName name="MICRO" localSheetId="13">#REF!</definedName>
    <definedName name="MICRO" localSheetId="11">#REF!</definedName>
    <definedName name="MICRO" localSheetId="8">#REF!</definedName>
    <definedName name="MICRO" localSheetId="7">#REF!</definedName>
    <definedName name="MICRO">#REF!</definedName>
    <definedName name="MICRO1.5" localSheetId="12">[11]Serviços!$G$53</definedName>
    <definedName name="MICRO1.5" localSheetId="8">#REF!</definedName>
    <definedName name="MICRO1.5" localSheetId="7">#REF!</definedName>
    <definedName name="MICRO1.5">#REF!</definedName>
    <definedName name="MICRO8" localSheetId="15">#REF!</definedName>
    <definedName name="MICRO8" localSheetId="12">'[16]5 S 02 511 51'!$H$67</definedName>
    <definedName name="MICRO8" localSheetId="13">#REF!</definedName>
    <definedName name="MICRO8" localSheetId="11">#REF!</definedName>
    <definedName name="MICRO8" localSheetId="8">#REF!</definedName>
    <definedName name="MICRO8" localSheetId="7">#REF!</definedName>
    <definedName name="MICRO8">#REF!</definedName>
    <definedName name="MmExcelLinker_4E7BD31E_65F0_440C_A162_0361D739B0FD" localSheetId="15">anexo IVA [0]!MAT DE #REF!</definedName>
    <definedName name="MmExcelLinker_4E7BD31E_65F0_440C_A162_0361D739B0FD" localSheetId="12">anexo IVA [0]!MAT DE #REF!</definedName>
    <definedName name="MmExcelLinker_4E7BD31E_65F0_440C_A162_0361D739B0FD" localSheetId="8">anexo IVA [0]!MAT DE #REF!</definedName>
    <definedName name="MmExcelLinker_4E7BD31E_65F0_440C_A162_0361D739B0FD" localSheetId="14">anexo IVA [0]!MAT DE #REF!</definedName>
    <definedName name="MmExcelLinker_4E7BD31E_65F0_440C_A162_0361D739B0FD" localSheetId="16">anexo IVA [0]!MAT DE #REF!</definedName>
    <definedName name="MmExcelLinker_4E7BD31E_65F0_440C_A162_0361D739B0FD">anexo IVA [0]!MAT DE #REF!</definedName>
    <definedName name="MmExcelLinker_4E7BD31E_65F0_440C_A162_0361D739B0FD_1" localSheetId="15">anexo IVA [0]!MAT DE #REF!</definedName>
    <definedName name="MmExcelLinker_4E7BD31E_65F0_440C_A162_0361D739B0FD_1" localSheetId="12">anexo IVA [0]!MAT DE #REF!</definedName>
    <definedName name="MmExcelLinker_4E7BD31E_65F0_440C_A162_0361D739B0FD_1" localSheetId="8">anexo IVA [0]!MAT DE #REF!</definedName>
    <definedName name="MmExcelLinker_4E7BD31E_65F0_440C_A162_0361D739B0FD_1" localSheetId="14">anexo IVA [0]!MAT DE #REF!</definedName>
    <definedName name="MmExcelLinker_4E7BD31E_65F0_440C_A162_0361D739B0FD_1" localSheetId="16">anexo IVA [0]!MAT DE #REF!</definedName>
    <definedName name="MmExcelLinker_4E7BD31E_65F0_440C_A162_0361D739B0FD_1">anexo IVA [0]!MAT DE #REF!</definedName>
    <definedName name="mmm" localSheetId="15">#REF!</definedName>
    <definedName name="mmm" localSheetId="4">#REF!</definedName>
    <definedName name="mmm" localSheetId="12">#REF!</definedName>
    <definedName name="mmm" localSheetId="5">#REF!</definedName>
    <definedName name="mmm" localSheetId="13">#REF!</definedName>
    <definedName name="mmm" localSheetId="6">#REF!</definedName>
    <definedName name="mmm" localSheetId="11">#REF!</definedName>
    <definedName name="mmm" localSheetId="8">#REF!</definedName>
    <definedName name="mmm" localSheetId="7">#REF!</definedName>
    <definedName name="mmm" localSheetId="0">#REF!</definedName>
    <definedName name="mmm">#REF!</definedName>
    <definedName name="MMMMM" localSheetId="8">#REF!</definedName>
    <definedName name="MMMMM" localSheetId="7">#REF!</definedName>
    <definedName name="MMMMM">#REF!</definedName>
    <definedName name="MMMMMM">#REF!</definedName>
    <definedName name="mmmmmmm" localSheetId="15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1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8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16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mmmmmmmmmmm" localSheetId="15">#REF!</definedName>
    <definedName name="mmmmmmmmmmmmmmmmmm" localSheetId="4">#REF!</definedName>
    <definedName name="mmmmmmmmmmmmmmmmmm" localSheetId="12">#REF!</definedName>
    <definedName name="mmmmmmmmmmmmmmmmmm" localSheetId="5">#REF!</definedName>
    <definedName name="mmmmmmmmmmmmmmmmmm" localSheetId="13">#REF!</definedName>
    <definedName name="mmmmmmmmmmmmmmmmmm" localSheetId="6">#REF!</definedName>
    <definedName name="mmmmmmmmmmmmmmmmmm" localSheetId="8">#REF!</definedName>
    <definedName name="mmmmmmmmmmmmmmmmmm" localSheetId="7">#REF!</definedName>
    <definedName name="mmmmmmmmmmmmmmmmmm" localSheetId="0">#REF!</definedName>
    <definedName name="mmmmmmmmmmmmmmmmmm">#REF!</definedName>
    <definedName name="MO" localSheetId="15" hidden="1">#REF!</definedName>
    <definedName name="MO" localSheetId="4" hidden="1">#REF!</definedName>
    <definedName name="MO" localSheetId="12" hidden="1">#REF!</definedName>
    <definedName name="MO" localSheetId="5" hidden="1">#REF!</definedName>
    <definedName name="MO" localSheetId="13" hidden="1">#REF!</definedName>
    <definedName name="MO" localSheetId="8" hidden="1">#REF!</definedName>
    <definedName name="MO" localSheetId="7" hidden="1">#REF!</definedName>
    <definedName name="MO" localSheetId="0" hidden="1">#REF!</definedName>
    <definedName name="MO" localSheetId="16" hidden="1">#REF!</definedName>
    <definedName name="MO" hidden="1">#REF!</definedName>
    <definedName name="Mob" localSheetId="15">#REF!</definedName>
    <definedName name="Mob" localSheetId="4">#REF!</definedName>
    <definedName name="Mob" localSheetId="5">#REF!</definedName>
    <definedName name="Mob" localSheetId="13">#REF!</definedName>
    <definedName name="Mob" localSheetId="8">#REF!</definedName>
    <definedName name="Mob" localSheetId="7">#REF!</definedName>
    <definedName name="Mob" localSheetId="0">#REF!</definedName>
    <definedName name="Mob">#REF!</definedName>
    <definedName name="Modelo" localSheetId="15" hidden="1">#REF!</definedName>
    <definedName name="Modelo" localSheetId="4" hidden="1">#REF!</definedName>
    <definedName name="Modelo" localSheetId="5" hidden="1">#REF!</definedName>
    <definedName name="Modelo" localSheetId="13" hidden="1">#REF!</definedName>
    <definedName name="Modelo" localSheetId="8" hidden="1">#REF!</definedName>
    <definedName name="Modelo" localSheetId="7" hidden="1">#REF!</definedName>
    <definedName name="Modelo" localSheetId="0" hidden="1">#REF!</definedName>
    <definedName name="Modelo" hidden="1">#REF!</definedName>
    <definedName name="módulo1.Extenso" localSheetId="15">'CALÇADA E ACESS.'!módulo1.Extenso</definedName>
    <definedName name="módulo1.Extenso" localSheetId="4">#N/A</definedName>
    <definedName name="módulo1.Extenso" localSheetId="12">COMPLEMENTARES!módulo1.Extenso</definedName>
    <definedName name="módulo1.Extenso" localSheetId="5">#N/A</definedName>
    <definedName name="módulo1.Extenso" localSheetId="13">'DISP. DRENAGEM'!módulo1.Extenso</definedName>
    <definedName name="módulo1.Extenso" localSheetId="6">DMT!módulo1.Extenso</definedName>
    <definedName name="módulo1.Extenso" localSheetId="11">DRENAGEM!módulo1.Extenso</definedName>
    <definedName name="módulo1.Extenso" localSheetId="8">GRELHA!módulo1.Extenso</definedName>
    <definedName name="módulo1.Extenso" localSheetId="7">'MAT BET'!módulo1.Extenso</definedName>
    <definedName name="módulo1.Extenso" localSheetId="2">'ORÇ. SINTÉTICO'!módulo1.Extenso</definedName>
    <definedName name="módulo1.Extenso" localSheetId="14">#N/A</definedName>
    <definedName name="módulo1.Extenso" localSheetId="9">PRELIMINARES!módulo1.Extenso</definedName>
    <definedName name="módulo1.Extenso" localSheetId="1">RESUMO!módulo1.Extenso</definedName>
    <definedName name="módulo1.Extenso" localSheetId="0">'RESUMO DES'!módulo1.Extenso</definedName>
    <definedName name="módulo1.Extenso" localSheetId="16">SINALIZAÇÃO!módulo1.Extenso</definedName>
    <definedName name="módulo1.Extenso">[0]!módulo1.Extenso</definedName>
    <definedName name="MOTOSERRA" localSheetId="12">[11]Serviços!$G$64</definedName>
    <definedName name="MOTOSERRA" localSheetId="8">#REF!</definedName>
    <definedName name="MOTOSERRA" localSheetId="7">#REF!</definedName>
    <definedName name="MOTOSERRA" localSheetId="14">#REF!</definedName>
    <definedName name="MOTOSERRA" localSheetId="16">#REF!</definedName>
    <definedName name="MOTOSERRA">#REF!</definedName>
    <definedName name="MP" localSheetId="15" hidden="1">#REF!</definedName>
    <definedName name="MP" localSheetId="4" hidden="1">#REF!</definedName>
    <definedName name="MP" localSheetId="12" hidden="1">#REF!</definedName>
    <definedName name="MP" localSheetId="5" hidden="1">#REF!</definedName>
    <definedName name="MP" localSheetId="13" hidden="1">#REF!</definedName>
    <definedName name="MP" localSheetId="11" hidden="1">#REF!</definedName>
    <definedName name="MP" localSheetId="8" hidden="1">#REF!</definedName>
    <definedName name="MP" localSheetId="7" hidden="1">#REF!</definedName>
    <definedName name="MP" localSheetId="0" hidden="1">#REF!</definedName>
    <definedName name="MP" hidden="1">#REF!</definedName>
    <definedName name="MUDAS" localSheetId="15">#REF!</definedName>
    <definedName name="MUDAS" localSheetId="4">#REF!</definedName>
    <definedName name="MUDAS" localSheetId="12">#REF!</definedName>
    <definedName name="MUDAS" localSheetId="5">#REF!</definedName>
    <definedName name="MUDAS" localSheetId="13">#REF!</definedName>
    <definedName name="MUDAS" localSheetId="6">#REF!</definedName>
    <definedName name="MUDAS" localSheetId="8">#REF!</definedName>
    <definedName name="MUDAS" localSheetId="7">#REF!</definedName>
    <definedName name="MUDAS" localSheetId="0">#REF!</definedName>
    <definedName name="MUDAS">#REF!</definedName>
    <definedName name="municipio" localSheetId="12">'[30]Municípios ISS'!$A$2:$A$80</definedName>
    <definedName name="municipio" localSheetId="8">#REF!</definedName>
    <definedName name="municipio" localSheetId="7">#REF!</definedName>
    <definedName name="municipio">#REF!</definedName>
    <definedName name="MXNV" localSheetId="8">#REF!</definedName>
    <definedName name="MXNV" localSheetId="7">#REF!</definedName>
    <definedName name="MXNV">#REF!</definedName>
    <definedName name="N" localSheetId="8">#REF!</definedName>
    <definedName name="N">#REF!</definedName>
    <definedName name="N_NF" localSheetId="15">#REF!</definedName>
    <definedName name="N_NF" localSheetId="12">[5]DADOS!$C$24</definedName>
    <definedName name="N_NF" localSheetId="13">#REF!</definedName>
    <definedName name="N_NF" localSheetId="6">#REF!</definedName>
    <definedName name="N_NF" localSheetId="11">#REF!</definedName>
    <definedName name="N_NF" localSheetId="8">#REF!</definedName>
    <definedName name="N_NF" localSheetId="7">#REF!</definedName>
    <definedName name="N_NF">#REF!</definedName>
    <definedName name="NEGATIVO" localSheetId="8">#REF!</definedName>
    <definedName name="NEGATIVO" localSheetId="7">#REF!</definedName>
    <definedName name="NEGATIVO">#REF!</definedName>
    <definedName name="NLant">5</definedName>
    <definedName name="NLEq" hidden="1">4</definedName>
    <definedName name="NLmin">5</definedName>
    <definedName name="NLMo" hidden="1">6</definedName>
    <definedName name="NLMp" hidden="1">5</definedName>
    <definedName name="NLTr" hidden="1">3</definedName>
    <definedName name="NNNNNNNNNNNNNNNNNNNNNN" localSheetId="8">#REF!</definedName>
    <definedName name="NNNNNNNNNNNNNNNNNNNNNN" localSheetId="7">#REF!</definedName>
    <definedName name="NNNNNNNNNNNNNNNNNNNNNN" localSheetId="14">#REF!</definedName>
    <definedName name="NNNNNNNNNNNNNNNNNNNNNN">#REF!</definedName>
    <definedName name="NOME1" localSheetId="8">#REF!</definedName>
    <definedName name="NOME1" localSheetId="7">#REF!</definedName>
    <definedName name="NOME1">#REF!</definedName>
    <definedName name="NOME1_6" localSheetId="8">#REF!</definedName>
    <definedName name="NOME1_6" localSheetId="7">#REF!</definedName>
    <definedName name="NOME1_6">#REF!</definedName>
    <definedName name="NTEI" localSheetId="15">#REF!</definedName>
    <definedName name="NTEI" localSheetId="12">'[15]PRO-08'!#REF!</definedName>
    <definedName name="NTEI" localSheetId="13">#REF!</definedName>
    <definedName name="NTEI" localSheetId="11">#REF!</definedName>
    <definedName name="NTEI" localSheetId="8">#REF!</definedName>
    <definedName name="NTEI" localSheetId="7">#REF!</definedName>
    <definedName name="NTEI" localSheetId="0">#REF!</definedName>
    <definedName name="NTEI">#REF!</definedName>
    <definedName name="NUAISDHG" localSheetId="15">#REF!</definedName>
    <definedName name="NUAISDHG" localSheetId="12">[6]Original!#REF!</definedName>
    <definedName name="NUAISDHG" localSheetId="13">#REF!</definedName>
    <definedName name="NUAISDHG" localSheetId="6">#REF!</definedName>
    <definedName name="NUAISDHG" localSheetId="11">#REF!</definedName>
    <definedName name="NUAISDHG" localSheetId="8">#REF!</definedName>
    <definedName name="NUAISDHG" localSheetId="7">#REF!</definedName>
    <definedName name="NUAISDHG" localSheetId="0">#REF!</definedName>
    <definedName name="NUAISDHG">#REF!</definedName>
    <definedName name="num_linhas" localSheetId="8">#REF!</definedName>
    <definedName name="num_linhas" localSheetId="7">#REF!</definedName>
    <definedName name="num_linhas">#REF!</definedName>
    <definedName name="NUMEROMEDIÇÃO" localSheetId="15">#REF!</definedName>
    <definedName name="NUMEROMEDIÇÃO" localSheetId="12">'[3]F. MEDIÇAO'!$C$138</definedName>
    <definedName name="NUMEROMEDIÇÃO" localSheetId="13">#REF!</definedName>
    <definedName name="NUMEROMEDIÇÃO" localSheetId="6">#REF!</definedName>
    <definedName name="NUMEROMEDIÇÃO" localSheetId="11">#REF!</definedName>
    <definedName name="NUMEROMEDIÇÃO" localSheetId="8">#REF!</definedName>
    <definedName name="NUMEROMEDIÇÃO" localSheetId="7">#REF!</definedName>
    <definedName name="NUMEROMEDIÇÃO">#REF!</definedName>
    <definedName name="o" localSheetId="8">#REF!</definedName>
    <definedName name="o" localSheetId="7">#REF!</definedName>
    <definedName name="o">#REF!</definedName>
    <definedName name="o1o3" localSheetId="15">#REF!,#REF!,#REF!</definedName>
    <definedName name="o1o3" localSheetId="8">#REF!,#REF!,#REF!</definedName>
    <definedName name="o1o3" localSheetId="14">#REF!,#REF!,#REF!</definedName>
    <definedName name="o1o3" localSheetId="16">#REF!,#REF!,#REF!</definedName>
    <definedName name="o1o3">#REF!,#REF!,#REF!</definedName>
    <definedName name="oac" localSheetId="15">#REF!</definedName>
    <definedName name="oac" localSheetId="4">#REF!</definedName>
    <definedName name="oac" localSheetId="12">#REF!</definedName>
    <definedName name="oac" localSheetId="5">#REF!</definedName>
    <definedName name="oac" localSheetId="13">#REF!</definedName>
    <definedName name="oac" localSheetId="6">#REF!</definedName>
    <definedName name="oac" localSheetId="11">#REF!</definedName>
    <definedName name="oac" localSheetId="8">#REF!</definedName>
    <definedName name="oac" localSheetId="7">#REF!</definedName>
    <definedName name="oac" localSheetId="0">#REF!</definedName>
    <definedName name="oac">#REF!</definedName>
    <definedName name="OAE" localSheetId="8">#REF!</definedName>
    <definedName name="OAE" localSheetId="7">#REF!</definedName>
    <definedName name="OAE">#REF!</definedName>
    <definedName name="OBR_NE" localSheetId="15">#REF!</definedName>
    <definedName name="OBR_NE" localSheetId="4">#REF!</definedName>
    <definedName name="OBR_NE" localSheetId="12">#REF!</definedName>
    <definedName name="OBR_NE" localSheetId="5">#REF!</definedName>
    <definedName name="OBR_NE" localSheetId="13">#REF!</definedName>
    <definedName name="OBR_NE" localSheetId="6">#REF!</definedName>
    <definedName name="OBR_NE" localSheetId="8">#REF!</definedName>
    <definedName name="OBR_NE" localSheetId="7">#REF!</definedName>
    <definedName name="OBR_NE" localSheetId="0">#REF!</definedName>
    <definedName name="OBR_NE">#REF!</definedName>
    <definedName name="OBR_SE" localSheetId="15">#REF!</definedName>
    <definedName name="OBR_SE" localSheetId="4">#REF!</definedName>
    <definedName name="OBR_SE" localSheetId="12">#REF!</definedName>
    <definedName name="OBR_SE" localSheetId="5">#REF!</definedName>
    <definedName name="OBR_SE" localSheetId="13">#REF!</definedName>
    <definedName name="OBR_SE" localSheetId="6">#REF!</definedName>
    <definedName name="OBR_SE" localSheetId="8">#REF!</definedName>
    <definedName name="OBR_SE" localSheetId="7">#REF!</definedName>
    <definedName name="OBR_SE" localSheetId="0">#REF!</definedName>
    <definedName name="OBR_SE">#REF!</definedName>
    <definedName name="OBR_SL" localSheetId="15">#REF!</definedName>
    <definedName name="OBR_SL" localSheetId="4">#REF!</definedName>
    <definedName name="OBR_SL" localSheetId="5">#REF!</definedName>
    <definedName name="OBR_SL" localSheetId="13">#REF!</definedName>
    <definedName name="OBR_SL" localSheetId="6">#REF!</definedName>
    <definedName name="OBR_SL" localSheetId="8">#REF!</definedName>
    <definedName name="OBR_SL" localSheetId="7">#REF!</definedName>
    <definedName name="OBR_SL" localSheetId="0">#REF!</definedName>
    <definedName name="OBR_SL">#REF!</definedName>
    <definedName name="OBR_TC" localSheetId="15">#REF!</definedName>
    <definedName name="OBR_TC" localSheetId="4">#REF!</definedName>
    <definedName name="OBR_TC" localSheetId="5">#REF!</definedName>
    <definedName name="OBR_TC" localSheetId="13">#REF!</definedName>
    <definedName name="OBR_TC" localSheetId="6">#REF!</definedName>
    <definedName name="OBR_TC" localSheetId="8">#REF!</definedName>
    <definedName name="OBR_TC" localSheetId="7">#REF!</definedName>
    <definedName name="OBR_TC" localSheetId="0">#REF!</definedName>
    <definedName name="OBR_TC">#REF!</definedName>
    <definedName name="OBRA" localSheetId="15">#REF!</definedName>
    <definedName name="OBRA" localSheetId="12">[31]ACOMPANHAMENTO!$D$6</definedName>
    <definedName name="OBRA" localSheetId="13">#REF!</definedName>
    <definedName name="Obra" localSheetId="6" hidden="1">""</definedName>
    <definedName name="OBRA" localSheetId="11">#REF!</definedName>
    <definedName name="OBRA" localSheetId="8">#REF!</definedName>
    <definedName name="OBRA" localSheetId="7">#REF!</definedName>
    <definedName name="OBRA">#REF!</definedName>
    <definedName name="OBRAS" localSheetId="15">#REF!</definedName>
    <definedName name="OBRAS" localSheetId="4">#REF!</definedName>
    <definedName name="OBRAS" localSheetId="12">#REF!</definedName>
    <definedName name="OBRAS" localSheetId="5">#REF!</definedName>
    <definedName name="OBRAS" localSheetId="13">#REF!</definedName>
    <definedName name="OBRAS" localSheetId="6">#REF!</definedName>
    <definedName name="OBRAS" localSheetId="11">#REF!</definedName>
    <definedName name="OBRAS" localSheetId="8">#REF!</definedName>
    <definedName name="OBRAS" localSheetId="7">#REF!</definedName>
    <definedName name="OBRAS" localSheetId="0">#REF!</definedName>
    <definedName name="OBRAS">#REF!</definedName>
    <definedName name="OBRASF" localSheetId="15">#REF!</definedName>
    <definedName name="OBRASF" localSheetId="4">#REF!</definedName>
    <definedName name="OBRASF" localSheetId="12">#REF!</definedName>
    <definedName name="OBRASF" localSheetId="5">#REF!</definedName>
    <definedName name="OBRASF" localSheetId="13">#REF!</definedName>
    <definedName name="OBRASF" localSheetId="6">#REF!</definedName>
    <definedName name="OBRASF" localSheetId="11">#REF!</definedName>
    <definedName name="OBRASF" localSheetId="8">#REF!</definedName>
    <definedName name="OBRASF" localSheetId="7">#REF!</definedName>
    <definedName name="OBRASF" localSheetId="0">#REF!</definedName>
    <definedName name="OBRASF">#REF!</definedName>
    <definedName name="oc" localSheetId="15">#REF!</definedName>
    <definedName name="oc" localSheetId="4">#REF!</definedName>
    <definedName name="oc" localSheetId="12">#REF!</definedName>
    <definedName name="oc" localSheetId="5">#REF!</definedName>
    <definedName name="oc" localSheetId="13">#REF!</definedName>
    <definedName name="oc" localSheetId="6">#REF!</definedName>
    <definedName name="oc" localSheetId="8">#REF!</definedName>
    <definedName name="oc" localSheetId="7">#REF!</definedName>
    <definedName name="oc" localSheetId="0">#REF!</definedName>
    <definedName name="oc">#REF!</definedName>
    <definedName name="OI" localSheetId="8">#REF!</definedName>
    <definedName name="OI" localSheetId="7">#REF!</definedName>
    <definedName name="OI">#REF!</definedName>
    <definedName name="ok" localSheetId="15">#REF!</definedName>
    <definedName name="ok" localSheetId="12">[32]Dados!$B$1</definedName>
    <definedName name="ok" localSheetId="13">#REF!</definedName>
    <definedName name="ok" localSheetId="11">#REF!</definedName>
    <definedName name="ok" localSheetId="8">#REF!</definedName>
    <definedName name="ok" localSheetId="7">#REF!</definedName>
    <definedName name="ok">#REF!</definedName>
    <definedName name="OLEO" localSheetId="8">#REF!</definedName>
    <definedName name="OLEO" localSheetId="7">#REF!</definedName>
    <definedName name="OLEO">#REF!</definedName>
    <definedName name="ÓLEO" localSheetId="8">#REF!</definedName>
    <definedName name="ÓLEO">#REF!</definedName>
    <definedName name="OnOff" hidden="1">"ON"</definedName>
    <definedName name="OPA" localSheetId="15">#REF!</definedName>
    <definedName name="OPA" localSheetId="12">'[15]PRO-08'!#REF!</definedName>
    <definedName name="OPA" localSheetId="13">#REF!</definedName>
    <definedName name="OPA" localSheetId="11">#REF!</definedName>
    <definedName name="OPA" localSheetId="8">#REF!</definedName>
    <definedName name="OPA" localSheetId="7">#REF!</definedName>
    <definedName name="OPA" localSheetId="0">#REF!</definedName>
    <definedName name="OPA">#REF!</definedName>
    <definedName name="OPERACAO" localSheetId="8">#REF!</definedName>
    <definedName name="OPERACAO" localSheetId="7">#REF!</definedName>
    <definedName name="OPERACAO">#REF!</definedName>
    <definedName name="Orçamento" localSheetId="8">#REF!</definedName>
    <definedName name="Orçamento" localSheetId="7">#REF!</definedName>
    <definedName name="Orçamento">#REF!</definedName>
    <definedName name="ORÇAMENTO.BancoRef" localSheetId="8" hidden="1">#REF!</definedName>
    <definedName name="ORÇAMENTO.BancoRef" hidden="1">#REF!</definedName>
    <definedName name="Orçamento_Básico" localSheetId="8">#REF!</definedName>
    <definedName name="Orçamento_Básico" localSheetId="7">#REF!</definedName>
    <definedName name="Orçamento_Básico">#REF!</definedName>
    <definedName name="OrçamentoTotal" localSheetId="8">#REF!</definedName>
    <definedName name="OrçamentoTotal" localSheetId="7">#REF!</definedName>
    <definedName name="OrçamentoTotal">#REF!</definedName>
    <definedName name="Ordem" localSheetId="15" hidden="1">#REF!</definedName>
    <definedName name="Ordem" localSheetId="4" hidden="1">#REF!</definedName>
    <definedName name="Ordem" localSheetId="12" hidden="1">#REF!</definedName>
    <definedName name="Ordem" localSheetId="5" hidden="1">#REF!</definedName>
    <definedName name="Ordem" localSheetId="13" hidden="1">#REF!</definedName>
    <definedName name="Ordem" localSheetId="11" hidden="1">#REF!</definedName>
    <definedName name="Ordem" localSheetId="8" hidden="1">#REF!</definedName>
    <definedName name="Ordem" localSheetId="7" hidden="1">#REF!</definedName>
    <definedName name="Ordem" localSheetId="0" hidden="1">#REF!</definedName>
    <definedName name="Ordem" localSheetId="16" hidden="1">#REF!</definedName>
    <definedName name="Ordem" hidden="1">#REF!</definedName>
    <definedName name="org" localSheetId="15">#REF!</definedName>
    <definedName name="org" localSheetId="12">[24]TRAÇOS!$A$41</definedName>
    <definedName name="org" localSheetId="8">#REF!</definedName>
    <definedName name="org" localSheetId="7">#REF!</definedName>
    <definedName name="org">#REF!</definedName>
    <definedName name="Origem" localSheetId="15" hidden="1">#REF!</definedName>
    <definedName name="Origem" localSheetId="4" hidden="1">#REF!</definedName>
    <definedName name="Origem" localSheetId="12" hidden="1">#REF!</definedName>
    <definedName name="Origem" localSheetId="5" hidden="1">#REF!</definedName>
    <definedName name="Origem" localSheetId="13" hidden="1">#REF!</definedName>
    <definedName name="Origem" localSheetId="11" hidden="1">#REF!</definedName>
    <definedName name="Origem" localSheetId="8" hidden="1">#REF!</definedName>
    <definedName name="Origem" localSheetId="7" hidden="1">#REF!</definedName>
    <definedName name="Origem" localSheetId="0" hidden="1">#REF!</definedName>
    <definedName name="Origem" localSheetId="16" hidden="1">#REF!</definedName>
    <definedName name="Origem" hidden="1">#REF!</definedName>
    <definedName name="ORLANDO" localSheetId="8">#REF!</definedName>
    <definedName name="ORLANDO" localSheetId="7">#REF!</definedName>
    <definedName name="ORLANDO">#REF!</definedName>
    <definedName name="orrlando" localSheetId="8">#REF!</definedName>
    <definedName name="orrlando" localSheetId="7">#REF!</definedName>
    <definedName name="orrlando">#REF!</definedName>
    <definedName name="p" localSheetId="8">#REF!</definedName>
    <definedName name="p" localSheetId="7">#REF!</definedName>
    <definedName name="p">#REF!</definedName>
    <definedName name="p01.401.00" localSheetId="15">#REF!</definedName>
    <definedName name="p01.401.00" localSheetId="4">#REF!</definedName>
    <definedName name="p01.401.00" localSheetId="12">#REF!</definedName>
    <definedName name="p01.401.00" localSheetId="5">#REF!</definedName>
    <definedName name="p01.401.00" localSheetId="13">#REF!</definedName>
    <definedName name="p01.401.00" localSheetId="6">#REF!</definedName>
    <definedName name="p01.401.00" localSheetId="8">#REF!</definedName>
    <definedName name="p01.401.00" localSheetId="7">#REF!</definedName>
    <definedName name="p01.401.00" localSheetId="0">#REF!</definedName>
    <definedName name="p01.401.00">#REF!</definedName>
    <definedName name="p02.300.00" localSheetId="15">#REF!</definedName>
    <definedName name="p02.300.00" localSheetId="4">#REF!</definedName>
    <definedName name="p02.300.00" localSheetId="12">#REF!</definedName>
    <definedName name="p02.300.00" localSheetId="5">#REF!</definedName>
    <definedName name="p02.300.00" localSheetId="13">#REF!</definedName>
    <definedName name="p02.300.00" localSheetId="6">#REF!</definedName>
    <definedName name="p02.300.00" localSheetId="8">#REF!</definedName>
    <definedName name="p02.300.00" localSheetId="7">#REF!</definedName>
    <definedName name="p02.300.00" localSheetId="0">#REF!</definedName>
    <definedName name="p02.300.00">#REF!</definedName>
    <definedName name="p02.400.00" localSheetId="15">#REF!</definedName>
    <definedName name="p02.400.00" localSheetId="4">#REF!</definedName>
    <definedName name="p02.400.00" localSheetId="5">#REF!</definedName>
    <definedName name="p02.400.00" localSheetId="13">#REF!</definedName>
    <definedName name="p02.400.00" localSheetId="6">#REF!</definedName>
    <definedName name="p02.400.00" localSheetId="8">#REF!</definedName>
    <definedName name="p02.400.00" localSheetId="7">#REF!</definedName>
    <definedName name="p02.400.00" localSheetId="0">#REF!</definedName>
    <definedName name="p02.400.00">#REF!</definedName>
    <definedName name="p02.500.01" localSheetId="15">#REF!</definedName>
    <definedName name="p02.500.01" localSheetId="4">#REF!</definedName>
    <definedName name="p02.500.01" localSheetId="5">#REF!</definedName>
    <definedName name="p02.500.01" localSheetId="13">#REF!</definedName>
    <definedName name="p02.500.01" localSheetId="6">#REF!</definedName>
    <definedName name="p02.500.01" localSheetId="8">#REF!</definedName>
    <definedName name="p02.500.01" localSheetId="7">#REF!</definedName>
    <definedName name="p02.500.01" localSheetId="0">#REF!</definedName>
    <definedName name="p02.500.01">#REF!</definedName>
    <definedName name="p02.530.00" localSheetId="15">#REF!</definedName>
    <definedName name="p02.530.00" localSheetId="4">#REF!</definedName>
    <definedName name="p02.530.00" localSheetId="5">#REF!</definedName>
    <definedName name="p02.530.00" localSheetId="13">#REF!</definedName>
    <definedName name="p02.530.00" localSheetId="6">#REF!</definedName>
    <definedName name="p02.530.00" localSheetId="8">#REF!</definedName>
    <definedName name="p02.530.00" localSheetId="7">#REF!</definedName>
    <definedName name="p02.530.00" localSheetId="0">#REF!</definedName>
    <definedName name="p02.530.00">#REF!</definedName>
    <definedName name="p02.530.01" localSheetId="15">#REF!</definedName>
    <definedName name="p02.530.01" localSheetId="4">#REF!</definedName>
    <definedName name="p02.530.01" localSheetId="5">#REF!</definedName>
    <definedName name="p02.530.01" localSheetId="13">#REF!</definedName>
    <definedName name="p02.530.01" localSheetId="6">#REF!</definedName>
    <definedName name="p02.530.01" localSheetId="8">#REF!</definedName>
    <definedName name="p02.530.01" localSheetId="7">#REF!</definedName>
    <definedName name="p02.530.01" localSheetId="0">#REF!</definedName>
    <definedName name="p02.530.01">#REF!</definedName>
    <definedName name="p02.530.02" localSheetId="15">#REF!</definedName>
    <definedName name="p02.530.02" localSheetId="4">#REF!</definedName>
    <definedName name="p02.530.02" localSheetId="5">#REF!</definedName>
    <definedName name="p02.530.02" localSheetId="13">#REF!</definedName>
    <definedName name="p02.530.02" localSheetId="6">#REF!</definedName>
    <definedName name="p02.530.02" localSheetId="8">#REF!</definedName>
    <definedName name="p02.530.02" localSheetId="7">#REF!</definedName>
    <definedName name="p02.530.02" localSheetId="0">#REF!</definedName>
    <definedName name="p02.530.02">#REF!</definedName>
    <definedName name="P02.530.03" localSheetId="15">#REF!</definedName>
    <definedName name="P02.530.03" localSheetId="4">#REF!</definedName>
    <definedName name="P02.530.03" localSheetId="5">#REF!</definedName>
    <definedName name="P02.530.03" localSheetId="13">#REF!</definedName>
    <definedName name="P02.530.03" localSheetId="6">#REF!</definedName>
    <definedName name="P02.530.03" localSheetId="8">#REF!</definedName>
    <definedName name="P02.530.03" localSheetId="7">#REF!</definedName>
    <definedName name="P02.530.03" localSheetId="0">#REF!</definedName>
    <definedName name="P02.530.03">#REF!</definedName>
    <definedName name="p02.540.00" localSheetId="15">#REF!</definedName>
    <definedName name="p02.540.00" localSheetId="4">#REF!</definedName>
    <definedName name="p02.540.00" localSheetId="5">#REF!</definedName>
    <definedName name="p02.540.00" localSheetId="13">#REF!</definedName>
    <definedName name="p02.540.00" localSheetId="6">#REF!</definedName>
    <definedName name="p02.540.00" localSheetId="8">#REF!</definedName>
    <definedName name="p02.540.00" localSheetId="7">#REF!</definedName>
    <definedName name="p02.540.00" localSheetId="0">#REF!</definedName>
    <definedName name="p02.540.00">#REF!</definedName>
    <definedName name="p03.950.00" localSheetId="15">#REF!</definedName>
    <definedName name="p03.950.00" localSheetId="4">#REF!</definedName>
    <definedName name="p03.950.00" localSheetId="5">#REF!</definedName>
    <definedName name="p03.950.00" localSheetId="13">#REF!</definedName>
    <definedName name="p03.950.00" localSheetId="6">#REF!</definedName>
    <definedName name="p03.950.00" localSheetId="8">#REF!</definedName>
    <definedName name="p03.950.00" localSheetId="7">#REF!</definedName>
    <definedName name="p03.950.00" localSheetId="0">#REF!</definedName>
    <definedName name="p03.950.00">#REF!</definedName>
    <definedName name="Parcial" localSheetId="8">#REF!</definedName>
    <definedName name="Parcial" localSheetId="7">#REF!</definedName>
    <definedName name="Parcial">#REF!</definedName>
    <definedName name="PAREDE" localSheetId="8">#REF!</definedName>
    <definedName name="PAREDE">[27]MEMORIAL!$AB$67:$AB$71</definedName>
    <definedName name="PassaExtenso" localSheetId="12">[26]!PassaExtenso</definedName>
    <definedName name="PassaExtenso" localSheetId="13">#REF!</definedName>
    <definedName name="PassaExtenso" localSheetId="8">#REF!</definedName>
    <definedName name="PassaExtenso" localSheetId="7">#REF!</definedName>
    <definedName name="PassaExtenso" localSheetId="0">#REF!</definedName>
    <definedName name="PassaExtenso">#REF!</definedName>
    <definedName name="PAV" localSheetId="15">#REF!</definedName>
    <definedName name="PAV" localSheetId="4">#REF!</definedName>
    <definedName name="PAV" localSheetId="12">[33]RESUMO_AUT1!#REF!</definedName>
    <definedName name="PAV" localSheetId="5">#REF!</definedName>
    <definedName name="PAV" localSheetId="13">#REF!</definedName>
    <definedName name="PAV" localSheetId="11">#REF!</definedName>
    <definedName name="PAV" localSheetId="8">#REF!</definedName>
    <definedName name="PAV" localSheetId="7">#REF!</definedName>
    <definedName name="PAV" localSheetId="2">#REF!</definedName>
    <definedName name="PAV" localSheetId="1">#REF!</definedName>
    <definedName name="PAV" localSheetId="0">#REF!</definedName>
    <definedName name="PAV">#REF!</definedName>
    <definedName name="pavi" localSheetId="15">#REF!</definedName>
    <definedName name="pavi" localSheetId="4">#REF!</definedName>
    <definedName name="pavi" localSheetId="12">#REF!</definedName>
    <definedName name="pavi" localSheetId="5">#REF!</definedName>
    <definedName name="pavi" localSheetId="13">#REF!</definedName>
    <definedName name="pavi" localSheetId="6">#REF!</definedName>
    <definedName name="pavi" localSheetId="11">#REF!</definedName>
    <definedName name="pavi" localSheetId="8">#REF!</definedName>
    <definedName name="pavi" localSheetId="7">#REF!</definedName>
    <definedName name="pavi" localSheetId="0">#REF!</definedName>
    <definedName name="pavi">#REF!</definedName>
    <definedName name="Pavimento" localSheetId="8">#REF!</definedName>
    <definedName name="Pavimento" localSheetId="7">#REF!</definedName>
    <definedName name="Pavimento">#REF!</definedName>
    <definedName name="PAVIMENTONOVO" localSheetId="15">#REF!</definedName>
    <definedName name="PAVIMENTONOVO" localSheetId="4">#REF!</definedName>
    <definedName name="PAVIMENTONOVO" localSheetId="12">[34]QuQuant!#REF!</definedName>
    <definedName name="PAVIMENTONOVO" localSheetId="5">#REF!</definedName>
    <definedName name="PAVIMENTONOVO" localSheetId="13">#REF!</definedName>
    <definedName name="PAVIMENTONOVO" localSheetId="11">#REF!</definedName>
    <definedName name="PAVIMENTONOVO" localSheetId="8">#REF!</definedName>
    <definedName name="PAVIMENTONOVO" localSheetId="7">#REF!</definedName>
    <definedName name="PAVIMENTONOVO" localSheetId="2">#REF!</definedName>
    <definedName name="PAVIMENTONOVO" localSheetId="1">#REF!</definedName>
    <definedName name="PAVIMENTONOVO" localSheetId="0">#REF!</definedName>
    <definedName name="PAVIMENTONOVO">#REF!</definedName>
    <definedName name="Payment_Needed">"Pagamento necessário"</definedName>
    <definedName name="PCAP.20" localSheetId="15">#REF!</definedName>
    <definedName name="PCAP.20" localSheetId="4">#REF!</definedName>
    <definedName name="PCAP.20" localSheetId="12">#REF!</definedName>
    <definedName name="PCAP.20" localSheetId="5">#REF!</definedName>
    <definedName name="PCAP.20" localSheetId="13">#REF!</definedName>
    <definedName name="PCAP.20" localSheetId="6">#REF!</definedName>
    <definedName name="PCAP.20" localSheetId="11">#REF!</definedName>
    <definedName name="PCAP.20" localSheetId="8">#REF!</definedName>
    <definedName name="PCAP.20" localSheetId="7">#REF!</definedName>
    <definedName name="PCAP.20" localSheetId="0">#REF!</definedName>
    <definedName name="PCAP.20">#REF!</definedName>
    <definedName name="PCM.30" localSheetId="15">#REF!</definedName>
    <definedName name="PCM.30" localSheetId="4">#REF!</definedName>
    <definedName name="PCM.30" localSheetId="12">#REF!</definedName>
    <definedName name="PCM.30" localSheetId="5">#REF!</definedName>
    <definedName name="PCM.30" localSheetId="13">#REF!</definedName>
    <definedName name="PCM.30" localSheetId="6">#REF!</definedName>
    <definedName name="PCM.30" localSheetId="11">#REF!</definedName>
    <definedName name="PCM.30" localSheetId="8">#REF!</definedName>
    <definedName name="PCM.30" localSheetId="7">#REF!</definedName>
    <definedName name="PCM.30" localSheetId="0">#REF!</definedName>
    <definedName name="PCM.30">#REF!</definedName>
    <definedName name="PEAD1200" localSheetId="15">#REF!</definedName>
    <definedName name="PEAD1200" localSheetId="12">[1]SID_NI_5!#REF!</definedName>
    <definedName name="PEAD1200" localSheetId="13">#REF!</definedName>
    <definedName name="PEAD1200" localSheetId="6">#REF!</definedName>
    <definedName name="PEAD1200" localSheetId="11">#REF!</definedName>
    <definedName name="PEAD1200" localSheetId="8">#REF!</definedName>
    <definedName name="PEAD1200" localSheetId="7">#REF!</definedName>
    <definedName name="PEAD1200" localSheetId="0">#REF!</definedName>
    <definedName name="PEAD1200">#REF!</definedName>
    <definedName name="PEDREIRA" localSheetId="15">#REF!</definedName>
    <definedName name="PEDREIRA" localSheetId="12">'[17]Vínculo (2)'!$Y$11</definedName>
    <definedName name="PEDREIRA" localSheetId="13">#REF!</definedName>
    <definedName name="PEDREIRA" localSheetId="11">#REF!</definedName>
    <definedName name="PEDREIRA" localSheetId="8">#REF!</definedName>
    <definedName name="PEDREIRA" localSheetId="7">#REF!</definedName>
    <definedName name="PEDREIRA">#REF!</definedName>
    <definedName name="PEN" localSheetId="15">#REF!</definedName>
    <definedName name="PEN" localSheetId="12">[9]SERVIÇOS!#REF!</definedName>
    <definedName name="PEN" localSheetId="13">#REF!</definedName>
    <definedName name="PEN" localSheetId="6">#REF!</definedName>
    <definedName name="PEN" localSheetId="11">#REF!</definedName>
    <definedName name="PEN" localSheetId="8">#REF!</definedName>
    <definedName name="PEN" localSheetId="7">#REF!</definedName>
    <definedName name="PEN" localSheetId="0">#REF!</definedName>
    <definedName name="PEN">#REF!</definedName>
    <definedName name="percentuais" localSheetId="15">#REF!</definedName>
    <definedName name="percentuais" localSheetId="4">#REF!</definedName>
    <definedName name="percentuais" localSheetId="12">#REF!</definedName>
    <definedName name="percentuais" localSheetId="5">#REF!</definedName>
    <definedName name="percentuais" localSheetId="13">#REF!</definedName>
    <definedName name="percentuais" localSheetId="6">#REF!</definedName>
    <definedName name="percentuais" localSheetId="11">#REF!</definedName>
    <definedName name="percentuais" localSheetId="8">#REF!</definedName>
    <definedName name="percentuais" localSheetId="7">#REF!</definedName>
    <definedName name="percentuais" localSheetId="0">#REF!</definedName>
    <definedName name="percentuais">#REF!</definedName>
    <definedName name="PercResid." localSheetId="15">#REF!</definedName>
    <definedName name="PercResid." localSheetId="4">#REF!</definedName>
    <definedName name="PercResid." localSheetId="12">#REF!</definedName>
    <definedName name="PercResid." localSheetId="5">#REF!</definedName>
    <definedName name="PercResid." localSheetId="13">#REF!</definedName>
    <definedName name="PercResid." localSheetId="11">#REF!</definedName>
    <definedName name="PercResid." localSheetId="8">#REF!</definedName>
    <definedName name="PercResid." localSheetId="7">#REF!</definedName>
    <definedName name="PercResid." localSheetId="0">#REF!</definedName>
    <definedName name="PercResid.">#REF!</definedName>
    <definedName name="PERIMETRO" localSheetId="8">#REF!</definedName>
    <definedName name="PERIMETRO" localSheetId="7">#REF!</definedName>
    <definedName name="PERIMETRO">#REF!</definedName>
    <definedName name="PERIODO" localSheetId="15">#REF!</definedName>
    <definedName name="PERIODO" localSheetId="12">'[3]F. MEDIÇAO'!$C$136</definedName>
    <definedName name="PERIODO" localSheetId="13">#REF!</definedName>
    <definedName name="PERIODO" localSheetId="6">#REF!</definedName>
    <definedName name="PERIODO" localSheetId="11">#REF!</definedName>
    <definedName name="PERIODO" localSheetId="8">#REF!</definedName>
    <definedName name="PERIODO" localSheetId="7">#REF!</definedName>
    <definedName name="PERIODO">#REF!</definedName>
    <definedName name="Período" localSheetId="15">#REF!</definedName>
    <definedName name="Período" localSheetId="12">'[35]F. MEDIÇAO'!$C$131</definedName>
    <definedName name="Período" localSheetId="13">#REF!</definedName>
    <definedName name="Período" localSheetId="6">#REF!</definedName>
    <definedName name="Período" localSheetId="11">#REF!</definedName>
    <definedName name="Período" localSheetId="8">#REF!</definedName>
    <definedName name="Período" localSheetId="7">#REF!</definedName>
    <definedName name="Período">#REF!</definedName>
    <definedName name="PERIODO_LIQUIDO" localSheetId="15">#REF!</definedName>
    <definedName name="PERIODO_LIQUIDO" localSheetId="12">[5]DADOS!$C$22</definedName>
    <definedName name="PERIODO_LIQUIDO" localSheetId="13">#REF!</definedName>
    <definedName name="PERIODO_LIQUIDO" localSheetId="6">#REF!</definedName>
    <definedName name="PERIODO_LIQUIDO" localSheetId="11">#REF!</definedName>
    <definedName name="PERIODO_LIQUIDO" localSheetId="8">#REF!</definedName>
    <definedName name="PERIODO_LIQUIDO" localSheetId="7">#REF!</definedName>
    <definedName name="PERIODO_LIQUIDO">#REF!</definedName>
    <definedName name="Peso_Brita_1" localSheetId="8">#REF!</definedName>
    <definedName name="Peso_Brita_1">[36]Pesos!$G$6</definedName>
    <definedName name="Peso_Rachão" localSheetId="8">#REF!</definedName>
    <definedName name="Peso_Rachão">[36]Pesos!$G$9</definedName>
    <definedName name="pesquisa" localSheetId="15">#REF!</definedName>
    <definedName name="pesquisa" localSheetId="4">#REF!</definedName>
    <definedName name="pesquisa" localSheetId="12">#REF!</definedName>
    <definedName name="pesquisa" localSheetId="5">#REF!</definedName>
    <definedName name="pesquisa" localSheetId="13">#REF!</definedName>
    <definedName name="pesquisa" localSheetId="6">#REF!</definedName>
    <definedName name="pesquisa" localSheetId="11">#REF!</definedName>
    <definedName name="pesquisa" localSheetId="8">#REF!</definedName>
    <definedName name="pesquisa" localSheetId="7">#REF!</definedName>
    <definedName name="pesquisa" localSheetId="0">#REF!</definedName>
    <definedName name="pesquisa">#REF!</definedName>
    <definedName name="PILHA" localSheetId="8">#REF!</definedName>
    <definedName name="PILHA" localSheetId="7">#REF!</definedName>
    <definedName name="PILHA">#REF!</definedName>
    <definedName name="PINT" localSheetId="15">#REF!</definedName>
    <definedName name="PINT" localSheetId="12">'[16]4 S 06 100 11'!$H$65</definedName>
    <definedName name="PINT" localSheetId="13">#REF!</definedName>
    <definedName name="PINT" localSheetId="11">#REF!</definedName>
    <definedName name="PINT" localSheetId="8">#REF!</definedName>
    <definedName name="PINT" localSheetId="7">#REF!</definedName>
    <definedName name="PINT">#REF!</definedName>
    <definedName name="PINTFAIXA" localSheetId="12">[11]Serviços!$G$50</definedName>
    <definedName name="PINTFAIXA" localSheetId="8">#REF!</definedName>
    <definedName name="PINTFAIXA" localSheetId="7">#REF!</definedName>
    <definedName name="PINTFAIXA">#REF!</definedName>
    <definedName name="Pintura" localSheetId="12">#REF!</definedName>
    <definedName name="Pintura" localSheetId="8">#REF!</definedName>
    <definedName name="Pintura">#REF!</definedName>
    <definedName name="PINTURALIGAÇÃO" localSheetId="15">#REF!</definedName>
    <definedName name="PINTURALIGAÇÃO" localSheetId="4">#REF!</definedName>
    <definedName name="PINTURALIGAÇÃO" localSheetId="12">#REF!</definedName>
    <definedName name="PINTURALIGAÇÃO" localSheetId="5">#REF!</definedName>
    <definedName name="PINTURALIGAÇÃO" localSheetId="13">#REF!</definedName>
    <definedName name="PINTURALIGAÇÃO" localSheetId="6">#REF!</definedName>
    <definedName name="PINTURALIGAÇÃO" localSheetId="11">#REF!</definedName>
    <definedName name="PINTURALIGAÇÃO" localSheetId="8">#REF!</definedName>
    <definedName name="PINTURALIGAÇÃO" localSheetId="7">#REF!</definedName>
    <definedName name="PINTURALIGAÇÃO" localSheetId="0">#REF!</definedName>
    <definedName name="PINTURALIGAÇÃO">#REF!</definedName>
    <definedName name="PL" localSheetId="15">#REF!</definedName>
    <definedName name="PL" localSheetId="4">#REF!</definedName>
    <definedName name="PL" localSheetId="12">[9]SERVIÇOS!#REF!</definedName>
    <definedName name="PL" localSheetId="5">#REF!</definedName>
    <definedName name="PL" localSheetId="13">#REF!</definedName>
    <definedName name="PL" localSheetId="6">#REF!</definedName>
    <definedName name="PL" localSheetId="11">#REF!</definedName>
    <definedName name="PL" localSheetId="8">#REF!</definedName>
    <definedName name="PL" localSheetId="7">#REF!</definedName>
    <definedName name="PL" localSheetId="0">#REF!</definedName>
    <definedName name="PL">#REF!</definedName>
    <definedName name="plan" localSheetId="8">#REF!</definedName>
    <definedName name="plan" localSheetId="7">#REF!</definedName>
    <definedName name="plan">#REF!</definedName>
    <definedName name="Plan1" localSheetId="15" hidden="1">#REF!</definedName>
    <definedName name="Plan1" localSheetId="4" hidden="1">#REF!</definedName>
    <definedName name="Plan1" localSheetId="12" hidden="1">#REF!</definedName>
    <definedName name="Plan1" localSheetId="5" hidden="1">#REF!</definedName>
    <definedName name="Plan1" localSheetId="13" hidden="1">#REF!</definedName>
    <definedName name="Plan1" localSheetId="11" hidden="1">#REF!</definedName>
    <definedName name="Plan1" localSheetId="8" hidden="1">#REF!</definedName>
    <definedName name="Plan1" localSheetId="7" hidden="1">#REF!</definedName>
    <definedName name="Plan1" localSheetId="0" hidden="1">#REF!</definedName>
    <definedName name="Plan1" localSheetId="16" hidden="1">#REF!</definedName>
    <definedName name="Plan1" hidden="1">#REF!</definedName>
    <definedName name="PLANEJADA" localSheetId="15">#REF!</definedName>
    <definedName name="PLANEJADA" localSheetId="4">#REF!</definedName>
    <definedName name="PLANEJADA" localSheetId="12">#REF!</definedName>
    <definedName name="PLANEJADA" localSheetId="5">#REF!</definedName>
    <definedName name="PLANEJADA" localSheetId="13">#REF!</definedName>
    <definedName name="PLANEJADA" localSheetId="6">#REF!</definedName>
    <definedName name="PLANEJADA" localSheetId="8">#REF!</definedName>
    <definedName name="PLANEJADA" localSheetId="7">#REF!</definedName>
    <definedName name="PLANEJADA" localSheetId="0">#REF!</definedName>
    <definedName name="PLANEJADA">#REF!</definedName>
    <definedName name="PLANILHA" localSheetId="8">#REF!</definedName>
    <definedName name="PLANILHA" localSheetId="7">#REF!</definedName>
    <definedName name="PLANILHA">#REF!</definedName>
    <definedName name="PLNA" localSheetId="8">#REF!</definedName>
    <definedName name="PLNA" localSheetId="7">#REF!</definedName>
    <definedName name="PLNA">#REF!</definedName>
    <definedName name="PMBUF" localSheetId="15">#REF!</definedName>
    <definedName name="PMBUF" localSheetId="4">#REF!</definedName>
    <definedName name="PMBUF" localSheetId="12">#REF!</definedName>
    <definedName name="PMBUF" localSheetId="5">#REF!</definedName>
    <definedName name="PMBUF" localSheetId="13">#REF!</definedName>
    <definedName name="PMBUF" localSheetId="6">#REF!</definedName>
    <definedName name="PMBUF" localSheetId="8">#REF!</definedName>
    <definedName name="PMBUF" localSheetId="7">#REF!</definedName>
    <definedName name="PMBUF" localSheetId="0">#REF!</definedName>
    <definedName name="PMBUF">#REF!</definedName>
    <definedName name="POBRE" localSheetId="8">#REF!</definedName>
    <definedName name="POBRE" localSheetId="7">#REF!</definedName>
    <definedName name="POBRE">#REF!</definedName>
    <definedName name="Ponte" localSheetId="15">'CALÇADA E ACESS.'!Ponte</definedName>
    <definedName name="Ponte" localSheetId="4">#N/A</definedName>
    <definedName name="Ponte" localSheetId="12">COMPLEMENTARES!Ponte</definedName>
    <definedName name="Ponte" localSheetId="5">#N/A</definedName>
    <definedName name="Ponte" localSheetId="13">'DISP. DRENAGEM'!Ponte</definedName>
    <definedName name="Ponte" localSheetId="6">DMT!Ponte</definedName>
    <definedName name="Ponte" localSheetId="11">DRENAGEM!Ponte</definedName>
    <definedName name="Ponte" localSheetId="8">GRELHA!Ponte</definedName>
    <definedName name="Ponte" localSheetId="7">'MAT BET'!Ponte</definedName>
    <definedName name="Ponte" localSheetId="2">'ORÇ. SINTÉTICO'!Ponte</definedName>
    <definedName name="Ponte" localSheetId="14">#N/A</definedName>
    <definedName name="Ponte" localSheetId="9">PRELIMINARES!Ponte</definedName>
    <definedName name="Ponte" localSheetId="1">RESUMO!Ponte</definedName>
    <definedName name="Ponte" localSheetId="0">'RESUMO DES'!Ponte</definedName>
    <definedName name="Ponte" localSheetId="16">SINALIZAÇÃO!Ponte</definedName>
    <definedName name="Ponte">[0]!Ponte</definedName>
    <definedName name="PORRA" localSheetId="8">#REF!</definedName>
    <definedName name="PORRA" localSheetId="7">#REF!</definedName>
    <definedName name="PORRA" localSheetId="14">#REF!</definedName>
    <definedName name="PORRA" localSheetId="16">#REF!</definedName>
    <definedName name="PORRA">#REF!</definedName>
    <definedName name="Posição" localSheetId="15" hidden="1">#REF!</definedName>
    <definedName name="Posição" localSheetId="4" hidden="1">#REF!</definedName>
    <definedName name="Posição" localSheetId="12" hidden="1">#REF!</definedName>
    <definedName name="Posição" localSheetId="5" hidden="1">#REF!</definedName>
    <definedName name="Posição" localSheetId="13" hidden="1">#REF!</definedName>
    <definedName name="Posição" localSheetId="11" hidden="1">#REF!</definedName>
    <definedName name="Posição" localSheetId="8" hidden="1">#REF!</definedName>
    <definedName name="Posição" localSheetId="7" hidden="1">#REF!</definedName>
    <definedName name="Posição" localSheetId="0" hidden="1">#REF!</definedName>
    <definedName name="Posição" hidden="1">#REF!</definedName>
    <definedName name="potencia" localSheetId="15">#REF!</definedName>
    <definedName name="potencia" localSheetId="4">#REF!</definedName>
    <definedName name="potencia" localSheetId="12">#REF!</definedName>
    <definedName name="potencia" localSheetId="5">#REF!</definedName>
    <definedName name="potencia" localSheetId="13">#REF!</definedName>
    <definedName name="potencia" localSheetId="8">#REF!</definedName>
    <definedName name="potencia" localSheetId="7">#REF!</definedName>
    <definedName name="potencia" localSheetId="0">#REF!</definedName>
    <definedName name="potencia">#REF!</definedName>
    <definedName name="Prd" hidden="1">#N/A</definedName>
    <definedName name="PrdAux" hidden="1">#N/A</definedName>
    <definedName name="PRE" localSheetId="8">#REF!</definedName>
    <definedName name="PRE" localSheetId="7">#REF!</definedName>
    <definedName name="PRE" localSheetId="14">#REF!</definedName>
    <definedName name="PRE">#REF!</definedName>
    <definedName name="precipitações" localSheetId="15">#REF!</definedName>
    <definedName name="precipitações" localSheetId="4">#REF!</definedName>
    <definedName name="precipitações" localSheetId="12">#REF!</definedName>
    <definedName name="precipitações" localSheetId="5">#REF!</definedName>
    <definedName name="precipitações" localSheetId="13">#REF!</definedName>
    <definedName name="precipitações" localSheetId="6">#REF!</definedName>
    <definedName name="precipitações" localSheetId="11">#REF!</definedName>
    <definedName name="precipitações" localSheetId="8">#REF!</definedName>
    <definedName name="precipitações" localSheetId="7">#REF!</definedName>
    <definedName name="precipitações" localSheetId="0">#REF!</definedName>
    <definedName name="precipitações">#REF!</definedName>
    <definedName name="Preço_Improd." localSheetId="15">#REF!</definedName>
    <definedName name="Preço_Improd." localSheetId="4">#REF!</definedName>
    <definedName name="Preço_Improd." localSheetId="12">#REF!</definedName>
    <definedName name="Preço_Improd." localSheetId="5">#REF!</definedName>
    <definedName name="Preço_Improd." localSheetId="13">#REF!</definedName>
    <definedName name="Preço_Improd." localSheetId="8">#REF!</definedName>
    <definedName name="Preço_Improd." localSheetId="7">#REF!</definedName>
    <definedName name="Preço_Improd." localSheetId="0">#REF!</definedName>
    <definedName name="Preço_Improd.">#REF!</definedName>
    <definedName name="Preço_prod." localSheetId="15">#REF!</definedName>
    <definedName name="Preço_prod." localSheetId="4">#REF!</definedName>
    <definedName name="Preço_prod." localSheetId="12">#REF!</definedName>
    <definedName name="Preço_prod." localSheetId="5">#REF!</definedName>
    <definedName name="Preço_prod." localSheetId="13">#REF!</definedName>
    <definedName name="Preço_prod." localSheetId="8">#REF!</definedName>
    <definedName name="Preço_prod." localSheetId="7">#REF!</definedName>
    <definedName name="Preço_prod." localSheetId="0">#REF!</definedName>
    <definedName name="Preço_prod.">#REF!</definedName>
    <definedName name="preco1" localSheetId="15">#REF!</definedName>
    <definedName name="preco1" localSheetId="4">#REF!</definedName>
    <definedName name="preco1" localSheetId="5">#REF!</definedName>
    <definedName name="preco1" localSheetId="13">#REF!</definedName>
    <definedName name="preco1" localSheetId="8">#REF!</definedName>
    <definedName name="preco1" localSheetId="7">#REF!</definedName>
    <definedName name="preco1" localSheetId="0">#REF!</definedName>
    <definedName name="preco1">#REF!</definedName>
    <definedName name="Print" localSheetId="15">#REF!</definedName>
    <definedName name="Print" localSheetId="4">#REF!</definedName>
    <definedName name="Print" localSheetId="12">[37]QuQuant!#REF!</definedName>
    <definedName name="Print" localSheetId="5">#REF!</definedName>
    <definedName name="Print" localSheetId="13">#REF!</definedName>
    <definedName name="Print" localSheetId="11">#REF!</definedName>
    <definedName name="Print" localSheetId="8">#REF!</definedName>
    <definedName name="Print" localSheetId="7">#REF!</definedName>
    <definedName name="Print" localSheetId="0">#REF!</definedName>
    <definedName name="Print">#REF!</definedName>
    <definedName name="Print_01" localSheetId="15">#REF!</definedName>
    <definedName name="Print_01" localSheetId="4">#REF!</definedName>
    <definedName name="Print_01" localSheetId="12">#REF!</definedName>
    <definedName name="Print_01" localSheetId="5">#REF!</definedName>
    <definedName name="Print_01" localSheetId="13">#REF!</definedName>
    <definedName name="Print_01" localSheetId="6">#REF!</definedName>
    <definedName name="Print_01" localSheetId="11">#REF!</definedName>
    <definedName name="Print_01" localSheetId="8">#REF!</definedName>
    <definedName name="Print_01" localSheetId="7">#REF!</definedName>
    <definedName name="Print_01" localSheetId="0">#REF!</definedName>
    <definedName name="Print_01">#REF!</definedName>
    <definedName name="Print_Area_MI" localSheetId="6">#REF!</definedName>
    <definedName name="Print_Area_MI">#N/A</definedName>
    <definedName name="PRINT_TITLES_MI" localSheetId="8">#REF!</definedName>
    <definedName name="PRINT_TITLES_MI" localSheetId="7">#REF!</definedName>
    <definedName name="PRINT_TITLES_MI" localSheetId="14">#REF!</definedName>
    <definedName name="PRINT_TITLES_MI">#REF!</definedName>
    <definedName name="PRL.1C" localSheetId="15">#REF!</definedName>
    <definedName name="PRL.1C" localSheetId="4">#REF!</definedName>
    <definedName name="PRL.1C" localSheetId="12">#REF!</definedName>
    <definedName name="PRL.1C" localSheetId="5">#REF!</definedName>
    <definedName name="PRL.1C" localSheetId="13">#REF!</definedName>
    <definedName name="PRL.1C" localSheetId="6">#REF!</definedName>
    <definedName name="PRL.1C" localSheetId="11">#REF!</definedName>
    <definedName name="PRL.1C" localSheetId="8">#REF!</definedName>
    <definedName name="PRL.1C" localSheetId="7">#REF!</definedName>
    <definedName name="PRL.1C" localSheetId="0">#REF!</definedName>
    <definedName name="PRL.1C">#REF!</definedName>
    <definedName name="PRM.1C" localSheetId="15">#REF!</definedName>
    <definedName name="PRM.1C" localSheetId="4">#REF!</definedName>
    <definedName name="PRM.1C" localSheetId="12">#REF!</definedName>
    <definedName name="PRM.1C" localSheetId="5">#REF!</definedName>
    <definedName name="PRM.1C" localSheetId="13">#REF!</definedName>
    <definedName name="PRM.1C" localSheetId="6">#REF!</definedName>
    <definedName name="PRM.1C" localSheetId="8">#REF!</definedName>
    <definedName name="PRM.1C" localSheetId="7">#REF!</definedName>
    <definedName name="PRM.1C" localSheetId="0">#REF!</definedName>
    <definedName name="PRM.1C">#REF!</definedName>
    <definedName name="PROCESSO" localSheetId="15">#REF!</definedName>
    <definedName name="PROCESSO" localSheetId="12">[16]DADOS!$B$13</definedName>
    <definedName name="PROCESSO" localSheetId="13">#REF!</definedName>
    <definedName name="PROCESSO" localSheetId="11">#REF!</definedName>
    <definedName name="PROCESSO" localSheetId="8">#REF!</definedName>
    <definedName name="PROCESSO" localSheetId="7">#REF!</definedName>
    <definedName name="PROCESSO">#REF!</definedName>
    <definedName name="produção" localSheetId="15">#REF!</definedName>
    <definedName name="produção" localSheetId="4">#REF!</definedName>
    <definedName name="produção" localSheetId="12">#REF!</definedName>
    <definedName name="produção" localSheetId="5">#REF!</definedName>
    <definedName name="produção" localSheetId="13">#REF!</definedName>
    <definedName name="produção" localSheetId="11">#REF!</definedName>
    <definedName name="produção" localSheetId="8">#REF!</definedName>
    <definedName name="produção" localSheetId="7">#REF!</definedName>
    <definedName name="produção" localSheetId="0">#REF!</definedName>
    <definedName name="produção">#REF!</definedName>
    <definedName name="produçao1" localSheetId="15">#REF!</definedName>
    <definedName name="produçao1" localSheetId="4">#REF!</definedName>
    <definedName name="produçao1" localSheetId="12">#REF!</definedName>
    <definedName name="produçao1" localSheetId="5">#REF!</definedName>
    <definedName name="produçao1" localSheetId="13">#REF!</definedName>
    <definedName name="produçao1" localSheetId="11">#REF!</definedName>
    <definedName name="produçao1" localSheetId="8">#REF!</definedName>
    <definedName name="produçao1" localSheetId="7">#REF!</definedName>
    <definedName name="produçao1" localSheetId="0">#REF!</definedName>
    <definedName name="produçao1">#REF!</definedName>
    <definedName name="PRR.1C" localSheetId="15">#REF!</definedName>
    <definedName name="PRR.1C" localSheetId="4">#REF!</definedName>
    <definedName name="PRR.1C" localSheetId="12">#REF!</definedName>
    <definedName name="PRR.1C" localSheetId="5">#REF!</definedName>
    <definedName name="PRR.1C" localSheetId="13">#REF!</definedName>
    <definedName name="PRR.1C" localSheetId="6">#REF!</definedName>
    <definedName name="PRR.1C" localSheetId="8">#REF!</definedName>
    <definedName name="PRR.1C" localSheetId="7">#REF!</definedName>
    <definedName name="PRR.1C" localSheetId="0">#REF!</definedName>
    <definedName name="PRR.1C">#REF!</definedName>
    <definedName name="Pto" localSheetId="15">ROUND(#REF!*#REF!,2)</definedName>
    <definedName name="Pto" localSheetId="12">ROUND(#REF!*#REF!,2)</definedName>
    <definedName name="Pto" localSheetId="13">ROUND(#REF!*#REF!,2)</definedName>
    <definedName name="Pto" localSheetId="11">ROUND(#REF!*#REF!,2)</definedName>
    <definedName name="Pto" localSheetId="8">ROUND(#REF!*#REF!,2)</definedName>
    <definedName name="Pto" localSheetId="7">ROUND(#REF!*#REF!,2)</definedName>
    <definedName name="Pto" localSheetId="0">ROUND(#REF!*#REF!,2)</definedName>
    <definedName name="Pto">ROUND(#REF!*#REF!,2)</definedName>
    <definedName name="Pun">#N/A</definedName>
    <definedName name="pveg" localSheetId="15" hidden="1">{#N/A,#N/A,FALSE,"MO (2)"}</definedName>
    <definedName name="pveg" localSheetId="12" hidden="1">{#N/A,#N/A,FALSE,"MO (2)"}</definedName>
    <definedName name="pveg" localSheetId="8" hidden="1">{#N/A,#N/A,FALSE,"MO (2)"}</definedName>
    <definedName name="pveg" localSheetId="14" hidden="1">{#N/A,#N/A,FALSE,"MO (2)"}</definedName>
    <definedName name="pveg" localSheetId="16" hidden="1">{#N/A,#N/A,FALSE,"MO (2)"}</definedName>
    <definedName name="pveg" hidden="1">{#N/A,#N/A,FALSE,"MO (2)"}</definedName>
    <definedName name="q" localSheetId="15">#REF!</definedName>
    <definedName name="q" localSheetId="12">[1]SID_NI_5!#REF!</definedName>
    <definedName name="q" localSheetId="13">#REF!</definedName>
    <definedName name="q" localSheetId="6">#REF!</definedName>
    <definedName name="q" localSheetId="11">#REF!</definedName>
    <definedName name="q" localSheetId="8">#REF!</definedName>
    <definedName name="q" localSheetId="7">#REF!</definedName>
    <definedName name="q" localSheetId="0">#REF!</definedName>
    <definedName name="q">#REF!</definedName>
    <definedName name="qadfhnbxfc" localSheetId="15">#REF!</definedName>
    <definedName name="qadfhnbxfc" localSheetId="4">#REF!</definedName>
    <definedName name="qadfhnbxfc" localSheetId="12">#REF!</definedName>
    <definedName name="qadfhnbxfc" localSheetId="5">#REF!</definedName>
    <definedName name="qadfhnbxfc" localSheetId="13">#REF!</definedName>
    <definedName name="qadfhnbxfc" localSheetId="6">#REF!</definedName>
    <definedName name="qadfhnbxfc" localSheetId="11">#REF!</definedName>
    <definedName name="qadfhnbxfc" localSheetId="8">#REF!</definedName>
    <definedName name="qadfhnbxfc" localSheetId="7">#REF!</definedName>
    <definedName name="qadfhnbxfc" localSheetId="0">#REF!</definedName>
    <definedName name="qadfhnbxfc">#REF!</definedName>
    <definedName name="QD" localSheetId="15" hidden="1">#REF!</definedName>
    <definedName name="QD" localSheetId="4" hidden="1">#REF!</definedName>
    <definedName name="QD" localSheetId="12" hidden="1">#REF!</definedName>
    <definedName name="QD" localSheetId="5" hidden="1">#REF!</definedName>
    <definedName name="QD" localSheetId="13" hidden="1">#REF!</definedName>
    <definedName name="QD" localSheetId="11" hidden="1">#REF!</definedName>
    <definedName name="QD" localSheetId="8" hidden="1">#REF!</definedName>
    <definedName name="QD" localSheetId="7" hidden="1">#REF!</definedName>
    <definedName name="QD" localSheetId="0" hidden="1">#REF!</definedName>
    <definedName name="QD" localSheetId="16" hidden="1">#REF!</definedName>
    <definedName name="QD" hidden="1">#REF!</definedName>
    <definedName name="QQ_2" localSheetId="15">'CALÇADA E ACESS.'!QQ_2</definedName>
    <definedName name="QQ_2" localSheetId="4">#N/A</definedName>
    <definedName name="QQ_2" localSheetId="12">COMPLEMENTARES!QQ_2</definedName>
    <definedName name="QQ_2" localSheetId="5">#N/A</definedName>
    <definedName name="QQ_2" localSheetId="13">'DISP. DRENAGEM'!QQ_2</definedName>
    <definedName name="QQ_2" localSheetId="6">DMT!QQ_2</definedName>
    <definedName name="QQ_2" localSheetId="11">DRENAGEM!QQ_2</definedName>
    <definedName name="QQ_2" localSheetId="8">GRELHA!QQ_2</definedName>
    <definedName name="QQ_2" localSheetId="7">'MAT BET'!QQ_2</definedName>
    <definedName name="QQ_2" localSheetId="2">'ORÇ. SINTÉTICO'!QQ_2</definedName>
    <definedName name="QQ_2" localSheetId="14">#N/A</definedName>
    <definedName name="QQ_2" localSheetId="9">PRELIMINARES!QQ_2</definedName>
    <definedName name="QQ_2" localSheetId="1">RESUMO!QQ_2</definedName>
    <definedName name="QQ_2" localSheetId="0">'RESUMO DES'!QQ_2</definedName>
    <definedName name="QQ_2" localSheetId="16">SINALIZAÇÃO!QQ_2</definedName>
    <definedName name="QQ_2">[0]!QQ_2</definedName>
    <definedName name="QTD" localSheetId="15" hidden="1">#REF!</definedName>
    <definedName name="QTD" localSheetId="4" hidden="1">#REF!</definedName>
    <definedName name="QTD" localSheetId="12" hidden="1">#REF!</definedName>
    <definedName name="QTD" localSheetId="5" hidden="1">#REF!</definedName>
    <definedName name="QTD" localSheetId="13" hidden="1">#REF!</definedName>
    <definedName name="QTD" localSheetId="11" hidden="1">#REF!</definedName>
    <definedName name="QTD" localSheetId="8" hidden="1">#REF!</definedName>
    <definedName name="QTD" localSheetId="7" hidden="1">#REF!</definedName>
    <definedName name="QTD" localSheetId="0" hidden="1">#REF!</definedName>
    <definedName name="QTD" localSheetId="16" hidden="1">#REF!</definedName>
    <definedName name="QTD" hidden="1">#REF!</definedName>
    <definedName name="QTDE" localSheetId="15" hidden="1">{#N/A,#N/A,FALSE,"MO (2)"}</definedName>
    <definedName name="QTDE" localSheetId="12" hidden="1">{#N/A,#N/A,FALSE,"MO (2)"}</definedName>
    <definedName name="QTDE" localSheetId="8" hidden="1">{#N/A,#N/A,FALSE,"MO (2)"}</definedName>
    <definedName name="QTDE" localSheetId="14" hidden="1">{#N/A,#N/A,FALSE,"MO (2)"}</definedName>
    <definedName name="QTDE" localSheetId="16" hidden="1">{#N/A,#N/A,FALSE,"MO (2)"}</definedName>
    <definedName name="QTDE" hidden="1">{#N/A,#N/A,FALSE,"MO (2)"}</definedName>
    <definedName name="QtEq" localSheetId="15" hidden="1">#REF!</definedName>
    <definedName name="QtEq" localSheetId="4" hidden="1">#REF!</definedName>
    <definedName name="QtEq" localSheetId="12" hidden="1">#REF!</definedName>
    <definedName name="QtEq" localSheetId="5" hidden="1">#REF!</definedName>
    <definedName name="QtEq" localSheetId="13" hidden="1">#REF!</definedName>
    <definedName name="QtEq" localSheetId="8" hidden="1">#REF!</definedName>
    <definedName name="QtEq" localSheetId="7" hidden="1">#REF!</definedName>
    <definedName name="QtEq" localSheetId="0" hidden="1">#REF!</definedName>
    <definedName name="QtEq" localSheetId="16" hidden="1">#REF!</definedName>
    <definedName name="QtEq" hidden="1">#REF!</definedName>
    <definedName name="QtMo" localSheetId="15" hidden="1">#REF!</definedName>
    <definedName name="QtMo" localSheetId="4" hidden="1">#REF!</definedName>
    <definedName name="QtMo" localSheetId="12" hidden="1">#REF!</definedName>
    <definedName name="QtMo" localSheetId="5" hidden="1">#REF!</definedName>
    <definedName name="QtMo" localSheetId="13" hidden="1">#REF!</definedName>
    <definedName name="QtMo" localSheetId="8" hidden="1">#REF!</definedName>
    <definedName name="QtMo" localSheetId="7" hidden="1">#REF!</definedName>
    <definedName name="QtMo" localSheetId="0" hidden="1">#REF!</definedName>
    <definedName name="QtMo" hidden="1">#REF!</definedName>
    <definedName name="QtMp" localSheetId="15" hidden="1">#REF!</definedName>
    <definedName name="QtMp" localSheetId="4" hidden="1">#REF!</definedName>
    <definedName name="QtMp" localSheetId="5" hidden="1">#REF!</definedName>
    <definedName name="QtMp" localSheetId="13" hidden="1">#REF!</definedName>
    <definedName name="QtMp" localSheetId="8" hidden="1">#REF!</definedName>
    <definedName name="QtMp" localSheetId="7" hidden="1">#REF!</definedName>
    <definedName name="QtMp" localSheetId="0" hidden="1">#REF!</definedName>
    <definedName name="QtMp" hidden="1">#REF!</definedName>
    <definedName name="QtTr" localSheetId="15" hidden="1">#REF!</definedName>
    <definedName name="QtTr" localSheetId="4" hidden="1">#REF!</definedName>
    <definedName name="QtTr" localSheetId="5" hidden="1">#REF!</definedName>
    <definedName name="QtTr" localSheetId="13" hidden="1">#REF!</definedName>
    <definedName name="QtTr" localSheetId="8" hidden="1">#REF!</definedName>
    <definedName name="QtTr" localSheetId="7" hidden="1">#REF!</definedName>
    <definedName name="QtTr" localSheetId="0" hidden="1">#REF!</definedName>
    <definedName name="QtTr" hidden="1">#REF!</definedName>
    <definedName name="Quadra" localSheetId="15" hidden="1">{#N/A,#N/A,FALSE,"MO (2)"}</definedName>
    <definedName name="Quadra" localSheetId="12" hidden="1">{#N/A,#N/A,FALSE,"MO (2)"}</definedName>
    <definedName name="Quadra" localSheetId="8" hidden="1">{#N/A,#N/A,FALSE,"MO (2)"}</definedName>
    <definedName name="Quadra" localSheetId="14" hidden="1">{#N/A,#N/A,FALSE,"MO (2)"}</definedName>
    <definedName name="Quadra" localSheetId="16" hidden="1">{#N/A,#N/A,FALSE,"MO (2)"}</definedName>
    <definedName name="Quadra" hidden="1">{#N/A,#N/A,FALSE,"MO (2)"}</definedName>
    <definedName name="QUADRA2" localSheetId="15" hidden="1">{#N/A,#N/A,FALSE,"MO (2)"}</definedName>
    <definedName name="QUADRA2" localSheetId="12" hidden="1">{#N/A,#N/A,FALSE,"MO (2)"}</definedName>
    <definedName name="QUADRA2" localSheetId="8" hidden="1">{#N/A,#N/A,FALSE,"MO (2)"}</definedName>
    <definedName name="QUADRA2" localSheetId="14" hidden="1">{#N/A,#N/A,FALSE,"MO (2)"}</definedName>
    <definedName name="QUADRA2" localSheetId="16" hidden="1">{#N/A,#N/A,FALSE,"MO (2)"}</definedName>
    <definedName name="QUADRA2" hidden="1">{#N/A,#N/A,FALSE,"MO (2)"}</definedName>
    <definedName name="QUANT" localSheetId="15" hidden="1">{#N/A,#N/A,FALSE,"MO (2)"}</definedName>
    <definedName name="QUANT" localSheetId="12" hidden="1">{#N/A,#N/A,FALSE,"MO (2)"}</definedName>
    <definedName name="QUANT" localSheetId="8" hidden="1">{#N/A,#N/A,FALSE,"MO (2)"}</definedName>
    <definedName name="QUANT" localSheetId="14" hidden="1">{#N/A,#N/A,FALSE,"MO (2)"}</definedName>
    <definedName name="QUANT" localSheetId="16" hidden="1">{#N/A,#N/A,FALSE,"MO (2)"}</definedName>
    <definedName name="QUANT" hidden="1">{#N/A,#N/A,FALSE,"MO (2)"}</definedName>
    <definedName name="Quant." localSheetId="15">#REF!</definedName>
    <definedName name="Quant." localSheetId="4">#REF!</definedName>
    <definedName name="Quant." localSheetId="5">#REF!</definedName>
    <definedName name="Quant." localSheetId="13">#REF!</definedName>
    <definedName name="Quant." localSheetId="8">#REF!</definedName>
    <definedName name="Quant." localSheetId="7">#REF!</definedName>
    <definedName name="Quant." localSheetId="0">#REF!</definedName>
    <definedName name="Quant.">#REF!</definedName>
    <definedName name="Quant.1" localSheetId="15">#REF!</definedName>
    <definedName name="Quant.1" localSheetId="4">#REF!</definedName>
    <definedName name="Quant.1" localSheetId="5">#REF!</definedName>
    <definedName name="Quant.1" localSheetId="13">#REF!</definedName>
    <definedName name="Quant.1" localSheetId="8">#REF!</definedName>
    <definedName name="Quant.1" localSheetId="7">#REF!</definedName>
    <definedName name="Quant.1" localSheetId="0">#REF!</definedName>
    <definedName name="Quant.1">#REF!</definedName>
    <definedName name="QUANTIDADE" localSheetId="15">#REF!</definedName>
    <definedName name="QUANTIDADE" localSheetId="4">#REF!</definedName>
    <definedName name="QUANTIDADE" localSheetId="5">#REF!</definedName>
    <definedName name="QUANTIDADE" localSheetId="13">#REF!</definedName>
    <definedName name="QUANTIDADE" localSheetId="8">#REF!</definedName>
    <definedName name="QUANTIDADE" localSheetId="7">#REF!</definedName>
    <definedName name="QUANTIDADE" localSheetId="0">#REF!</definedName>
    <definedName name="QUANTIDADE">#REF!</definedName>
    <definedName name="Quantidades" localSheetId="15" hidden="1">{#N/A,#N/A,FALSE,"MO (2)"}</definedName>
    <definedName name="Quantidades" localSheetId="12" hidden="1">{#N/A,#N/A,FALSE,"MO (2)"}</definedName>
    <definedName name="Quantidades" localSheetId="8" hidden="1">{#N/A,#N/A,FALSE,"MO (2)"}</definedName>
    <definedName name="Quantidades" localSheetId="14" hidden="1">{#N/A,#N/A,FALSE,"MO (2)"}</definedName>
    <definedName name="Quantidades" localSheetId="16" hidden="1">{#N/A,#N/A,FALSE,"MO (2)"}</definedName>
    <definedName name="Quantidades" hidden="1">{#N/A,#N/A,FALSE,"MO (2)"}</definedName>
    <definedName name="QW" localSheetId="8">#REF!</definedName>
    <definedName name="QW" localSheetId="7">#REF!</definedName>
    <definedName name="QW" localSheetId="14">#REF!</definedName>
    <definedName name="QW">#REF!</definedName>
    <definedName name="Rachão" localSheetId="15">'CALÇADA E ACESS.'!Rachão</definedName>
    <definedName name="Rachão" localSheetId="4">#N/A</definedName>
    <definedName name="Rachão" localSheetId="12">COMPLEMENTARES!Rachão</definedName>
    <definedName name="Rachão" localSheetId="5">#N/A</definedName>
    <definedName name="Rachão" localSheetId="13">'DISP. DRENAGEM'!Rachão</definedName>
    <definedName name="Rachão" localSheetId="6">DMT!Rachão</definedName>
    <definedName name="Rachão" localSheetId="11">DRENAGEM!Rachão</definedName>
    <definedName name="Rachão" localSheetId="8">GRELHA!Rachão</definedName>
    <definedName name="Rachão" localSheetId="7">'MAT BET'!Rachão</definedName>
    <definedName name="Rachão" localSheetId="2">'ORÇ. SINTÉTICO'!Rachão</definedName>
    <definedName name="Rachão" localSheetId="14">#N/A</definedName>
    <definedName name="Rachão" localSheetId="9">PRELIMINARES!Rachão</definedName>
    <definedName name="Rachão" localSheetId="1">RESUMO!Rachão</definedName>
    <definedName name="Rachão" localSheetId="0">'RESUMO DES'!Rachão</definedName>
    <definedName name="Rachão" localSheetId="16">SINALIZAÇÃO!Rachão</definedName>
    <definedName name="Rachão">[0]!Rachão</definedName>
    <definedName name="RBV" localSheetId="12">[29]Teor!$C$3:$C$7</definedName>
    <definedName name="RBV" localSheetId="6">#REF!</definedName>
    <definedName name="RBV" localSheetId="8">#REF!</definedName>
    <definedName name="RBV" localSheetId="7">#REF!</definedName>
    <definedName name="RBV">#REF!</definedName>
    <definedName name="RCGP" localSheetId="15">#REF!</definedName>
    <definedName name="RCGP" localSheetId="12">[9]SERVIÇOS!#REF!</definedName>
    <definedName name="RCGP" localSheetId="13">#REF!</definedName>
    <definedName name="RCGP" localSheetId="6">#REF!</definedName>
    <definedName name="RCGP" localSheetId="11">#REF!</definedName>
    <definedName name="RCGP" localSheetId="8">#REF!</definedName>
    <definedName name="RCGP" localSheetId="7">#REF!</definedName>
    <definedName name="RCGP" localSheetId="0">#REF!</definedName>
    <definedName name="RCGP">#REF!</definedName>
    <definedName name="RCOLONIAO" localSheetId="12">[11]Serviços!$G$45</definedName>
    <definedName name="RCOLONIAO" localSheetId="8">#REF!</definedName>
    <definedName name="RCOLONIAO" localSheetId="7">#REF!</definedName>
    <definedName name="RCOLONIAO">#REF!</definedName>
    <definedName name="RDEF" localSheetId="15">#REF!</definedName>
    <definedName name="RDEF" localSheetId="12">'[16]3 S 08 401 00'!$H$65</definedName>
    <definedName name="RDEF" localSheetId="13">#REF!</definedName>
    <definedName name="RDEF" localSheetId="11">#REF!</definedName>
    <definedName name="RDEF" localSheetId="8">#REF!</definedName>
    <definedName name="RDEF" localSheetId="7">#REF!</definedName>
    <definedName name="RDEF">#REF!</definedName>
    <definedName name="reaj" localSheetId="15">#REF!</definedName>
    <definedName name="reaj" localSheetId="12">'[3]F. MEDIÇAO'!$L$83</definedName>
    <definedName name="reaj" localSheetId="13">#REF!</definedName>
    <definedName name="reaj" localSheetId="6">#REF!</definedName>
    <definedName name="reaj" localSheetId="11">#REF!</definedName>
    <definedName name="reaj" localSheetId="8">#REF!</definedName>
    <definedName name="reaj" localSheetId="7">#REF!</definedName>
    <definedName name="reaj">#REF!</definedName>
    <definedName name="REAJ1" localSheetId="15">#REF!</definedName>
    <definedName name="REAJ1" localSheetId="12">'[3]F. MEDIÇAO'!$L$86</definedName>
    <definedName name="REAJ1" localSheetId="13">#REF!</definedName>
    <definedName name="REAJ1" localSheetId="6">#REF!</definedName>
    <definedName name="REAJ1" localSheetId="11">#REF!</definedName>
    <definedName name="REAJ1" localSheetId="8">#REF!</definedName>
    <definedName name="REAJ1" localSheetId="7">#REF!</definedName>
    <definedName name="REAJ1">#REF!</definedName>
    <definedName name="REAJ2" localSheetId="15">#REF!</definedName>
    <definedName name="REAJ2" localSheetId="12">'[3]F. MEDIÇAO'!$L$90</definedName>
    <definedName name="REAJ2" localSheetId="13">#REF!</definedName>
    <definedName name="REAJ2" localSheetId="6">#REF!</definedName>
    <definedName name="REAJ2" localSheetId="11">#REF!</definedName>
    <definedName name="REAJ2" localSheetId="8">#REF!</definedName>
    <definedName name="REAJ2" localSheetId="7">#REF!</definedName>
    <definedName name="REAJ2">#REF!</definedName>
    <definedName name="REAJ3" localSheetId="15">#REF!</definedName>
    <definedName name="REAJ3" localSheetId="12">'[3]F. MEDIÇAO'!$L$93</definedName>
    <definedName name="REAJ3" localSheetId="13">#REF!</definedName>
    <definedName name="REAJ3" localSheetId="6">#REF!</definedName>
    <definedName name="REAJ3" localSheetId="11">#REF!</definedName>
    <definedName name="REAJ3" localSheetId="8">#REF!</definedName>
    <definedName name="REAJ3" localSheetId="7">#REF!</definedName>
    <definedName name="REAJ3">#REF!</definedName>
    <definedName name="REAJ4" localSheetId="15">#REF!</definedName>
    <definedName name="REAJ4" localSheetId="12">'[3]F. MEDIÇAO'!$L$94</definedName>
    <definedName name="REAJ4" localSheetId="13">#REF!</definedName>
    <definedName name="REAJ4" localSheetId="6">#REF!</definedName>
    <definedName name="REAJ4" localSheetId="11">#REF!</definedName>
    <definedName name="REAJ4" localSheetId="8">#REF!</definedName>
    <definedName name="REAJ4" localSheetId="7">#REF!</definedName>
    <definedName name="REAJ4">#REF!</definedName>
    <definedName name="REAJ5" localSheetId="15">#REF!</definedName>
    <definedName name="REAJ5" localSheetId="12">'[3]F. MEDIÇAO'!$L$98</definedName>
    <definedName name="REAJ5" localSheetId="13">#REF!</definedName>
    <definedName name="REAJ5" localSheetId="6">#REF!</definedName>
    <definedName name="REAJ5" localSheetId="11">#REF!</definedName>
    <definedName name="REAJ5" localSheetId="8">#REF!</definedName>
    <definedName name="REAJ5" localSheetId="7">#REF!</definedName>
    <definedName name="REAJ5">#REF!</definedName>
    <definedName name="REAJAQUISIÇÃO" localSheetId="15">#REF!</definedName>
    <definedName name="REAJAQUISIÇÃO" localSheetId="4">#REF!</definedName>
    <definedName name="REAJAQUISIÇÃO" localSheetId="12">#REF!</definedName>
    <definedName name="REAJAQUISIÇÃO" localSheetId="5">#REF!</definedName>
    <definedName name="REAJAQUISIÇÃO" localSheetId="13">#REF!</definedName>
    <definedName name="REAJAQUISIÇÃO" localSheetId="6">#REF!</definedName>
    <definedName name="REAJAQUISIÇÃO" localSheetId="11">#REF!</definedName>
    <definedName name="REAJAQUISIÇÃO" localSheetId="8">#REF!</definedName>
    <definedName name="REAJAQUISIÇÃO" localSheetId="7">#REF!</definedName>
    <definedName name="REAJAQUISIÇÃO" localSheetId="0">#REF!</definedName>
    <definedName name="REAJAQUISIÇÃO">#REF!</definedName>
    <definedName name="REAJTRANSPORTE" localSheetId="15">#REF!</definedName>
    <definedName name="REAJTRANSPORTE" localSheetId="4">#REF!</definedName>
    <definedName name="REAJTRANSPORTE" localSheetId="12">#REF!</definedName>
    <definedName name="REAJTRANSPORTE" localSheetId="5">#REF!</definedName>
    <definedName name="REAJTRANSPORTE" localSheetId="13">#REF!</definedName>
    <definedName name="REAJTRANSPORTE" localSheetId="6">#REF!</definedName>
    <definedName name="REAJTRANSPORTE" localSheetId="11">#REF!</definedName>
    <definedName name="REAJTRANSPORTE" localSheetId="8">#REF!</definedName>
    <definedName name="REAJTRANSPORTE" localSheetId="7">#REF!</definedName>
    <definedName name="REAJTRANSPORTE" localSheetId="0">#REF!</definedName>
    <definedName name="REAJTRANSPORTE">#REF!</definedName>
    <definedName name="REAJUSTAMENTO" localSheetId="15">#REF!</definedName>
    <definedName name="REAJUSTAMENTO" localSheetId="4">#REF!</definedName>
    <definedName name="REAJUSTAMENTO" localSheetId="12">#REF!</definedName>
    <definedName name="REAJUSTAMENTO" localSheetId="5">#REF!</definedName>
    <definedName name="REAJUSTAMENTO" localSheetId="13">#REF!</definedName>
    <definedName name="REAJUSTAMENTO" localSheetId="6">#REF!</definedName>
    <definedName name="REAJUSTAMENTO" localSheetId="11">#REF!</definedName>
    <definedName name="REAJUSTAMENTO" localSheetId="8">#REF!</definedName>
    <definedName name="REAJUSTAMENTO" localSheetId="7">#REF!</definedName>
    <definedName name="REAJUSTAMENTO" localSheetId="0">#REF!</definedName>
    <definedName name="REAJUSTAMENTO">#REF!</definedName>
    <definedName name="reajustamentoaquisição" localSheetId="15">#REF!</definedName>
    <definedName name="reajustamentoaquisição" localSheetId="4">#REF!</definedName>
    <definedName name="reajustamentoaquisição" localSheetId="5">#REF!</definedName>
    <definedName name="reajustamentoaquisição" localSheetId="13">#REF!</definedName>
    <definedName name="reajustamentoaquisição" localSheetId="6">#REF!</definedName>
    <definedName name="reajustamentoaquisição" localSheetId="8">#REF!</definedName>
    <definedName name="reajustamentoaquisição" localSheetId="7">#REF!</definedName>
    <definedName name="reajustamentoaquisição" localSheetId="0">#REF!</definedName>
    <definedName name="reajustamentoaquisição">#REF!</definedName>
    <definedName name="reajustamentotransp" localSheetId="15">#REF!</definedName>
    <definedName name="reajustamentotransp" localSheetId="4">#REF!</definedName>
    <definedName name="reajustamentotransp" localSheetId="5">#REF!</definedName>
    <definedName name="reajustamentotransp" localSheetId="13">#REF!</definedName>
    <definedName name="reajustamentotransp" localSheetId="6">#REF!</definedName>
    <definedName name="reajustamentotransp" localSheetId="8">#REF!</definedName>
    <definedName name="reajustamentotransp" localSheetId="7">#REF!</definedName>
    <definedName name="reajustamentotransp" localSheetId="0">#REF!</definedName>
    <definedName name="reajustamentotransp">#REF!</definedName>
    <definedName name="Real_170" localSheetId="15">#REF!</definedName>
    <definedName name="Real_170" localSheetId="4">#REF!</definedName>
    <definedName name="Real_170" localSheetId="5">#REF!</definedName>
    <definedName name="Real_170" localSheetId="13">#REF!</definedName>
    <definedName name="Real_170" localSheetId="6">#REF!</definedName>
    <definedName name="Real_170" localSheetId="8">#REF!</definedName>
    <definedName name="Real_170" localSheetId="7">#REF!</definedName>
    <definedName name="Real_170" localSheetId="0">#REF!</definedName>
    <definedName name="Real_170">#REF!</definedName>
    <definedName name="Real_180" localSheetId="15">#REF!</definedName>
    <definedName name="Real_180" localSheetId="4">#REF!</definedName>
    <definedName name="Real_180" localSheetId="5">#REF!</definedName>
    <definedName name="Real_180" localSheetId="13">#REF!</definedName>
    <definedName name="Real_180" localSheetId="6">#REF!</definedName>
    <definedName name="Real_180" localSheetId="8">#REF!</definedName>
    <definedName name="Real_180" localSheetId="7">#REF!</definedName>
    <definedName name="Real_180" localSheetId="0">#REF!</definedName>
    <definedName name="Real_180">#REF!</definedName>
    <definedName name="Real_190" localSheetId="15">#REF!</definedName>
    <definedName name="Real_190" localSheetId="4">#REF!</definedName>
    <definedName name="Real_190" localSheetId="5">#REF!</definedName>
    <definedName name="Real_190" localSheetId="13">#REF!</definedName>
    <definedName name="Real_190" localSheetId="6">#REF!</definedName>
    <definedName name="Real_190" localSheetId="8">#REF!</definedName>
    <definedName name="Real_190" localSheetId="7">#REF!</definedName>
    <definedName name="Real_190" localSheetId="0">#REF!</definedName>
    <definedName name="Real_190">#REF!</definedName>
    <definedName name="Real_250" localSheetId="15">#REF!</definedName>
    <definedName name="Real_250" localSheetId="4">#REF!</definedName>
    <definedName name="Real_250" localSheetId="5">#REF!</definedName>
    <definedName name="Real_250" localSheetId="13">#REF!</definedName>
    <definedName name="Real_250" localSheetId="6">#REF!</definedName>
    <definedName name="Real_250" localSheetId="8">#REF!</definedName>
    <definedName name="Real_250" localSheetId="7">#REF!</definedName>
    <definedName name="Real_250" localSheetId="0">#REF!</definedName>
    <definedName name="Real_250">#REF!</definedName>
    <definedName name="Real_270" localSheetId="15">#REF!</definedName>
    <definedName name="Real_270" localSheetId="4">#REF!</definedName>
    <definedName name="Real_270" localSheetId="5">#REF!</definedName>
    <definedName name="Real_270" localSheetId="13">#REF!</definedName>
    <definedName name="Real_270" localSheetId="6">#REF!</definedName>
    <definedName name="Real_270" localSheetId="8">#REF!</definedName>
    <definedName name="Real_270" localSheetId="7">#REF!</definedName>
    <definedName name="Real_270" localSheetId="0">#REF!</definedName>
    <definedName name="Real_270">#REF!</definedName>
    <definedName name="Real_320" localSheetId="15">#REF!</definedName>
    <definedName name="Real_320" localSheetId="4">#REF!</definedName>
    <definedName name="Real_320" localSheetId="5">#REF!</definedName>
    <definedName name="Real_320" localSheetId="13">#REF!</definedName>
    <definedName name="Real_320" localSheetId="6">#REF!</definedName>
    <definedName name="Real_320" localSheetId="8">#REF!</definedName>
    <definedName name="Real_320" localSheetId="7">#REF!</definedName>
    <definedName name="Real_320" localSheetId="0">#REF!</definedName>
    <definedName name="Real_320">#REF!</definedName>
    <definedName name="Real_330" localSheetId="15">#REF!</definedName>
    <definedName name="Real_330" localSheetId="4">#REF!</definedName>
    <definedName name="Real_330" localSheetId="5">#REF!</definedName>
    <definedName name="Real_330" localSheetId="13">#REF!</definedName>
    <definedName name="Real_330" localSheetId="6">#REF!</definedName>
    <definedName name="Real_330" localSheetId="8">#REF!</definedName>
    <definedName name="Real_330" localSheetId="7">#REF!</definedName>
    <definedName name="Real_330" localSheetId="0">#REF!</definedName>
    <definedName name="Real_330">#REF!</definedName>
    <definedName name="Real_350" localSheetId="15">#REF!</definedName>
    <definedName name="Real_350" localSheetId="4">#REF!</definedName>
    <definedName name="Real_350" localSheetId="5">#REF!</definedName>
    <definedName name="Real_350" localSheetId="13">#REF!</definedName>
    <definedName name="Real_350" localSheetId="6">#REF!</definedName>
    <definedName name="Real_350" localSheetId="8">#REF!</definedName>
    <definedName name="Real_350" localSheetId="7">#REF!</definedName>
    <definedName name="Real_350" localSheetId="0">#REF!</definedName>
    <definedName name="Real_350">#REF!</definedName>
    <definedName name="Real_370" localSheetId="15">#REF!</definedName>
    <definedName name="Real_370" localSheetId="4">#REF!</definedName>
    <definedName name="Real_370" localSheetId="5">#REF!</definedName>
    <definedName name="Real_370" localSheetId="13">#REF!</definedName>
    <definedName name="Real_370" localSheetId="6">#REF!</definedName>
    <definedName name="Real_370" localSheetId="8">#REF!</definedName>
    <definedName name="Real_370" localSheetId="7">#REF!</definedName>
    <definedName name="Real_370" localSheetId="0">#REF!</definedName>
    <definedName name="Real_370">#REF!</definedName>
    <definedName name="Real_390" localSheetId="15">#REF!</definedName>
    <definedName name="Real_390" localSheetId="4">#REF!</definedName>
    <definedName name="Real_390" localSheetId="5">#REF!</definedName>
    <definedName name="Real_390" localSheetId="13">#REF!</definedName>
    <definedName name="Real_390" localSheetId="6">#REF!</definedName>
    <definedName name="Real_390" localSheetId="8">#REF!</definedName>
    <definedName name="Real_390" localSheetId="7">#REF!</definedName>
    <definedName name="Real_390" localSheetId="0">#REF!</definedName>
    <definedName name="Real_390">#REF!</definedName>
    <definedName name="Real_400" localSheetId="15">#REF!</definedName>
    <definedName name="Real_400" localSheetId="4">#REF!</definedName>
    <definedName name="Real_400" localSheetId="5">#REF!</definedName>
    <definedName name="Real_400" localSheetId="13">#REF!</definedName>
    <definedName name="Real_400" localSheetId="6">#REF!</definedName>
    <definedName name="Real_400" localSheetId="8">#REF!</definedName>
    <definedName name="Real_400" localSheetId="7">#REF!</definedName>
    <definedName name="Real_400" localSheetId="0">#REF!</definedName>
    <definedName name="Real_400">#REF!</definedName>
    <definedName name="Real_401" localSheetId="15">#REF!</definedName>
    <definedName name="Real_401" localSheetId="4">#REF!</definedName>
    <definedName name="Real_401" localSheetId="5">#REF!</definedName>
    <definedName name="Real_401" localSheetId="13">#REF!</definedName>
    <definedName name="Real_401" localSheetId="6">#REF!</definedName>
    <definedName name="Real_401" localSheetId="8">#REF!</definedName>
    <definedName name="Real_401" localSheetId="7">#REF!</definedName>
    <definedName name="Real_401" localSheetId="0">#REF!</definedName>
    <definedName name="Real_401">#REF!</definedName>
    <definedName name="Real_402" localSheetId="15">#REF!</definedName>
    <definedName name="Real_402" localSheetId="4">#REF!</definedName>
    <definedName name="Real_402" localSheetId="5">#REF!</definedName>
    <definedName name="Real_402" localSheetId="13">#REF!</definedName>
    <definedName name="Real_402" localSheetId="6">#REF!</definedName>
    <definedName name="Real_402" localSheetId="8">#REF!</definedName>
    <definedName name="Real_402" localSheetId="7">#REF!</definedName>
    <definedName name="Real_402" localSheetId="0">#REF!</definedName>
    <definedName name="Real_402">#REF!</definedName>
    <definedName name="Real_403" localSheetId="15">#REF!</definedName>
    <definedName name="Real_403" localSheetId="4">#REF!</definedName>
    <definedName name="Real_403" localSheetId="5">#REF!</definedName>
    <definedName name="Real_403" localSheetId="13">#REF!</definedName>
    <definedName name="Real_403" localSheetId="6">#REF!</definedName>
    <definedName name="Real_403" localSheetId="8">#REF!</definedName>
    <definedName name="Real_403" localSheetId="7">#REF!</definedName>
    <definedName name="Real_403" localSheetId="0">#REF!</definedName>
    <definedName name="Real_403">#REF!</definedName>
    <definedName name="Real_405" localSheetId="15">#REF!</definedName>
    <definedName name="Real_405" localSheetId="4">#REF!</definedName>
    <definedName name="Real_405" localSheetId="5">#REF!</definedName>
    <definedName name="Real_405" localSheetId="13">#REF!</definedName>
    <definedName name="Real_405" localSheetId="6">#REF!</definedName>
    <definedName name="Real_405" localSheetId="8">#REF!</definedName>
    <definedName name="Real_405" localSheetId="7">#REF!</definedName>
    <definedName name="Real_405" localSheetId="0">#REF!</definedName>
    <definedName name="Real_405">#REF!</definedName>
    <definedName name="Real_406" localSheetId="15">#REF!</definedName>
    <definedName name="Real_406" localSheetId="4">#REF!</definedName>
    <definedName name="Real_406" localSheetId="5">#REF!</definedName>
    <definedName name="Real_406" localSheetId="13">#REF!</definedName>
    <definedName name="Real_406" localSheetId="6">#REF!</definedName>
    <definedName name="Real_406" localSheetId="8">#REF!</definedName>
    <definedName name="Real_406" localSheetId="7">#REF!</definedName>
    <definedName name="Real_406" localSheetId="0">#REF!</definedName>
    <definedName name="Real_406">#REF!</definedName>
    <definedName name="Real_407" localSheetId="15">#REF!</definedName>
    <definedName name="Real_407" localSheetId="4">#REF!</definedName>
    <definedName name="Real_407" localSheetId="5">#REF!</definedName>
    <definedName name="Real_407" localSheetId="13">#REF!</definedName>
    <definedName name="Real_407" localSheetId="6">#REF!</definedName>
    <definedName name="Real_407" localSheetId="8">#REF!</definedName>
    <definedName name="Real_407" localSheetId="7">#REF!</definedName>
    <definedName name="Real_407" localSheetId="0">#REF!</definedName>
    <definedName name="Real_407">#REF!</definedName>
    <definedName name="Real_408" localSheetId="15">#REF!</definedName>
    <definedName name="Real_408" localSheetId="4">#REF!</definedName>
    <definedName name="Real_408" localSheetId="5">#REF!</definedName>
    <definedName name="Real_408" localSheetId="13">#REF!</definedName>
    <definedName name="Real_408" localSheetId="6">#REF!</definedName>
    <definedName name="Real_408" localSheetId="8">#REF!</definedName>
    <definedName name="Real_408" localSheetId="7">#REF!</definedName>
    <definedName name="Real_408" localSheetId="0">#REF!</definedName>
    <definedName name="Real_408">#REF!</definedName>
    <definedName name="Real_409" localSheetId="15">#REF!</definedName>
    <definedName name="Real_409" localSheetId="4">#REF!</definedName>
    <definedName name="Real_409" localSheetId="5">#REF!</definedName>
    <definedName name="Real_409" localSheetId="13">#REF!</definedName>
    <definedName name="Real_409" localSheetId="6">#REF!</definedName>
    <definedName name="Real_409" localSheetId="8">#REF!</definedName>
    <definedName name="Real_409" localSheetId="7">#REF!</definedName>
    <definedName name="Real_409" localSheetId="0">#REF!</definedName>
    <definedName name="Real_409">#REF!</definedName>
    <definedName name="Real_410" localSheetId="15">#REF!</definedName>
    <definedName name="Real_410" localSheetId="4">#REF!</definedName>
    <definedName name="Real_410" localSheetId="5">#REF!</definedName>
    <definedName name="Real_410" localSheetId="13">#REF!</definedName>
    <definedName name="Real_410" localSheetId="6">#REF!</definedName>
    <definedName name="Real_410" localSheetId="8">#REF!</definedName>
    <definedName name="Real_410" localSheetId="7">#REF!</definedName>
    <definedName name="Real_410" localSheetId="0">#REF!</definedName>
    <definedName name="Real_410">#REF!</definedName>
    <definedName name="Real_411" localSheetId="15">#REF!</definedName>
    <definedName name="Real_411" localSheetId="4">#REF!</definedName>
    <definedName name="Real_411" localSheetId="5">#REF!</definedName>
    <definedName name="Real_411" localSheetId="13">#REF!</definedName>
    <definedName name="Real_411" localSheetId="6">#REF!</definedName>
    <definedName name="Real_411" localSheetId="8">#REF!</definedName>
    <definedName name="Real_411" localSheetId="7">#REF!</definedName>
    <definedName name="Real_411" localSheetId="0">#REF!</definedName>
    <definedName name="Real_411">#REF!</definedName>
    <definedName name="Real_CP" localSheetId="15">#REF!</definedName>
    <definedName name="Real_CP" localSheetId="4">#REF!</definedName>
    <definedName name="Real_CP" localSheetId="5">#REF!</definedName>
    <definedName name="Real_CP" localSheetId="13">#REF!</definedName>
    <definedName name="Real_CP" localSheetId="6">#REF!</definedName>
    <definedName name="Real_CP" localSheetId="8">#REF!</definedName>
    <definedName name="Real_CP" localSheetId="7">#REF!</definedName>
    <definedName name="Real_CP" localSheetId="0">#REF!</definedName>
    <definedName name="Real_CP">#REF!</definedName>
    <definedName name="Real_Priv" localSheetId="15">#REF!</definedName>
    <definedName name="Real_Priv" localSheetId="4">#REF!</definedName>
    <definedName name="Real_Priv" localSheetId="5">#REF!</definedName>
    <definedName name="Real_Priv" localSheetId="13">#REF!</definedName>
    <definedName name="Real_Priv" localSheetId="6">#REF!</definedName>
    <definedName name="Real_Priv" localSheetId="8">#REF!</definedName>
    <definedName name="Real_Priv" localSheetId="7">#REF!</definedName>
    <definedName name="Real_Priv" localSheetId="0">#REF!</definedName>
    <definedName name="Real_Priv">#REF!</definedName>
    <definedName name="Real_Publ" localSheetId="15">#REF!</definedName>
    <definedName name="Real_Publ" localSheetId="4">#REF!</definedName>
    <definedName name="Real_Publ" localSheetId="5">#REF!</definedName>
    <definedName name="Real_Publ" localSheetId="13">#REF!</definedName>
    <definedName name="Real_Publ" localSheetId="6">#REF!</definedName>
    <definedName name="Real_Publ" localSheetId="8">#REF!</definedName>
    <definedName name="Real_Publ" localSheetId="7">#REF!</definedName>
    <definedName name="Real_Publ" localSheetId="0">#REF!</definedName>
    <definedName name="Real_Publ">#REF!</definedName>
    <definedName name="rec" localSheetId="15">'CALÇADA E ACESS.'!rec</definedName>
    <definedName name="rec" localSheetId="4">#N/A</definedName>
    <definedName name="rec" localSheetId="12">COMPLEMENTARES!rec</definedName>
    <definedName name="rec" localSheetId="5">#N/A</definedName>
    <definedName name="rec" localSheetId="13">'DISP. DRENAGEM'!rec</definedName>
    <definedName name="rec" localSheetId="6">DMT!rec</definedName>
    <definedName name="rec" localSheetId="11">DRENAGEM!rec</definedName>
    <definedName name="rec" localSheetId="8">GRELHA!rec</definedName>
    <definedName name="rec" localSheetId="7">'MAT BET'!rec</definedName>
    <definedName name="rec" localSheetId="2">'ORÇ. SINTÉTICO'!rec</definedName>
    <definedName name="rec" localSheetId="14">#N/A</definedName>
    <definedName name="rec" localSheetId="9">PRELIMINARES!rec</definedName>
    <definedName name="rec" localSheetId="1">RESUMO!rec</definedName>
    <definedName name="rec" localSheetId="0">'RESUMO DES'!rec</definedName>
    <definedName name="rec" localSheetId="16">SINALIZAÇÃO!rec</definedName>
    <definedName name="rec">[0]!rec</definedName>
    <definedName name="RECGC" localSheetId="12">[11]Serviços!$G$32</definedName>
    <definedName name="RECGC" localSheetId="8">#REF!</definedName>
    <definedName name="RECGC" localSheetId="7">#REF!</definedName>
    <definedName name="RECGC" localSheetId="14">#REF!</definedName>
    <definedName name="RECGC" localSheetId="16">#REF!</definedName>
    <definedName name="RECGC">#REF!</definedName>
    <definedName name="RECGP" localSheetId="15">#REF!</definedName>
    <definedName name="RECGP" localSheetId="4">#REF!</definedName>
    <definedName name="RECGP" localSheetId="12">#REF!</definedName>
    <definedName name="RECGP" localSheetId="5">#REF!</definedName>
    <definedName name="RECGP" localSheetId="13">#REF!</definedName>
    <definedName name="RECGP" localSheetId="6">#REF!</definedName>
    <definedName name="RECGP" localSheetId="11">#REF!</definedName>
    <definedName name="RECGP" localSheetId="8">#REF!</definedName>
    <definedName name="RECGP" localSheetId="7">#REF!</definedName>
    <definedName name="RECGP" localSheetId="0">#REF!</definedName>
    <definedName name="RECGP">#REF!</definedName>
    <definedName name="RECOMPOSIÇÃOMANUAL" localSheetId="15">#REF!</definedName>
    <definedName name="RECOMPOSIÇÃOMANUAL" localSheetId="4">#REF!</definedName>
    <definedName name="RECOMPOSIÇÃOMANUAL" localSheetId="12">#REF!</definedName>
    <definedName name="RECOMPOSIÇÃOMANUAL" localSheetId="5">#REF!</definedName>
    <definedName name="RECOMPOSIÇÃOMANUAL" localSheetId="13">#REF!</definedName>
    <definedName name="RECOMPOSIÇÃOMANUAL" localSheetId="6">#REF!</definedName>
    <definedName name="RECOMPOSIÇÃOMANUAL" localSheetId="11">#REF!</definedName>
    <definedName name="RECOMPOSIÇÃOMANUAL" localSheetId="8">#REF!</definedName>
    <definedName name="RECOMPOSIÇÃOMANUAL" localSheetId="7">#REF!</definedName>
    <definedName name="RECOMPOSIÇÃOMANUAL" localSheetId="0">#REF!</definedName>
    <definedName name="RECOMPOSIÇÃOMANUAL">#REF!</definedName>
    <definedName name="RECOMPOSIÇÃOMECANIZADA" localSheetId="15">#REF!</definedName>
    <definedName name="RECOMPOSIÇÃOMECANIZADA" localSheetId="4">#REF!</definedName>
    <definedName name="RECOMPOSIÇÃOMECANIZADA" localSheetId="12">#REF!</definedName>
    <definedName name="RECOMPOSIÇÃOMECANIZADA" localSheetId="5">#REF!</definedName>
    <definedName name="RECOMPOSIÇÃOMECANIZADA" localSheetId="13">#REF!</definedName>
    <definedName name="RECOMPOSIÇÃOMECANIZADA" localSheetId="6">#REF!</definedName>
    <definedName name="RECOMPOSIÇÃOMECANIZADA" localSheetId="8">#REF!</definedName>
    <definedName name="RECOMPOSIÇÃOMECANIZADA" localSheetId="7">#REF!</definedName>
    <definedName name="RECOMPOSIÇÃOMECANIZADA" localSheetId="0">#REF!</definedName>
    <definedName name="RECOMPOSIÇÃOMECANIZADA">#REF!</definedName>
    <definedName name="RECPS" localSheetId="12">[11]Serviços!$G$39</definedName>
    <definedName name="RECPS" localSheetId="8">#REF!</definedName>
    <definedName name="RECPS" localSheetId="7">#REF!</definedName>
    <definedName name="RECPS">#REF!</definedName>
    <definedName name="RECREV" localSheetId="15">#REF!</definedName>
    <definedName name="RECREV" localSheetId="12">'[3]Recomp. revest. CBUQ'!#REF!</definedName>
    <definedName name="RECREV" localSheetId="13">#REF!</definedName>
    <definedName name="RECREV" localSheetId="6">#REF!</definedName>
    <definedName name="RECREV" localSheetId="11">#REF!</definedName>
    <definedName name="RECREV" localSheetId="8">#REF!</definedName>
    <definedName name="RECREV" localSheetId="7">#REF!</definedName>
    <definedName name="RECREV" localSheetId="0">#REF!</definedName>
    <definedName name="RECREV">#REF!</definedName>
    <definedName name="RECREVESTIMENTO" localSheetId="15">#REF!</definedName>
    <definedName name="RECREVESTIMENTO" localSheetId="12">'[3]Recomp. revest. CBUQ'!#REF!</definedName>
    <definedName name="RECREVESTIMENTO" localSheetId="13">#REF!</definedName>
    <definedName name="RECREVESTIMENTO" localSheetId="6">#REF!</definedName>
    <definedName name="RECREVESTIMENTO" localSheetId="11">#REF!</definedName>
    <definedName name="RECREVESTIMENTO" localSheetId="8">#REF!</definedName>
    <definedName name="RECREVESTIMENTO" localSheetId="7">#REF!</definedName>
    <definedName name="RECREVESTIMENTO" localSheetId="0">#REF!</definedName>
    <definedName name="RECREVESTIMENTO">#REF!</definedName>
    <definedName name="RECREVPRIMARIO" localSheetId="15">#REF!</definedName>
    <definedName name="RECREVPRIMARIO" localSheetId="4">#REF!</definedName>
    <definedName name="RECREVPRIMARIO" localSheetId="12">#REF!</definedName>
    <definedName name="RECREVPRIMARIO" localSheetId="5">#REF!</definedName>
    <definedName name="RECREVPRIMARIO" localSheetId="13">#REF!</definedName>
    <definedName name="RECREVPRIMARIO" localSheetId="6">#REF!</definedName>
    <definedName name="RECREVPRIMARIO" localSheetId="11">#REF!</definedName>
    <definedName name="RECREVPRIMARIO" localSheetId="8">#REF!</definedName>
    <definedName name="RECREVPRIMARIO" localSheetId="7">#REF!</definedName>
    <definedName name="RECREVPRIMARIO" localSheetId="0">#REF!</definedName>
    <definedName name="RECREVPRIMARIO">#REF!</definedName>
    <definedName name="REF" localSheetId="15">#REF!</definedName>
    <definedName name="REF" localSheetId="12">[38]Inv.I!$E$32</definedName>
    <definedName name="REF" localSheetId="13">#REF!</definedName>
    <definedName name="REF" localSheetId="6">#REF!</definedName>
    <definedName name="REF" localSheetId="11">#REF!</definedName>
    <definedName name="REF" localSheetId="8">#REF!</definedName>
    <definedName name="REF" localSheetId="7">#REF!</definedName>
    <definedName name="REF">#REF!</definedName>
    <definedName name="REFERENCIA.Desonerado" localSheetId="15" hidden="1">IF(ISNUMBER(#REF!),VALUE(OFFSET(INDIRECT(ORÇAMENTO.BancoRef),#REF!-1,5,1)),0)</definedName>
    <definedName name="REFERENCIA.Desonerado" localSheetId="12" hidden="1">IF(ISNUMBER(#REF!),VALUE(OFFSET(INDIRECT(ORÇAMENTO.BancoRef),#REF!-1,5,1)),0)</definedName>
    <definedName name="REFERENCIA.Desonerado" localSheetId="8" hidden="1">IF(ISNUMBER(#REF!),VALUE(OFFSET(INDIRECT(GRELHA!ORÇAMENTO.BancoRef),#REF!-1,5,1)),0)</definedName>
    <definedName name="REFERENCIA.Desonerado" localSheetId="14" hidden="1">IF(ISNUMBER(#REF!),VALUE(OFFSET(INDIRECT(ORÇAMENTO.BancoRef),#REF!-1,5,1)),0)</definedName>
    <definedName name="REFERENCIA.Desonerado" localSheetId="16" hidden="1">IF(ISNUMBER(#REF!),VALUE(OFFSET(INDIRECT(ORÇAMENTO.BancoRef),#REF!-1,5,1)),0)</definedName>
    <definedName name="REFERENCIA.Desonerado" hidden="1">IF(ISNUMBER(#REF!),VALUE(OFFSET(INDIRECT(ORÇAMENTO.BancoRef),#REF!-1,5,1)),0)</definedName>
    <definedName name="REFERENCIA.NaoDesonerado" localSheetId="15" hidden="1">IF(ISNUMBER(#REF!),VALUE(OFFSET(INDIRECT(ORÇAMENTO.BancoRef),#REF!-1,6,1)),0)</definedName>
    <definedName name="REFERENCIA.NaoDesonerado" localSheetId="12" hidden="1">IF(ISNUMBER(#REF!),VALUE(OFFSET(INDIRECT(ORÇAMENTO.BancoRef),#REF!-1,6,1)),0)</definedName>
    <definedName name="REFERENCIA.NaoDesonerado" localSheetId="8" hidden="1">IF(ISNUMBER(#REF!),VALUE(OFFSET(INDIRECT(GRELHA!ORÇAMENTO.BancoRef),#REF!-1,6,1)),0)</definedName>
    <definedName name="REFERENCIA.NaoDesonerado" localSheetId="14" hidden="1">IF(ISNUMBER(#REF!),VALUE(OFFSET(INDIRECT(ORÇAMENTO.BancoRef),#REF!-1,6,1)),0)</definedName>
    <definedName name="REFERENCIA.NaoDesonerado" localSheetId="16" hidden="1">IF(ISNUMBER(#REF!),VALUE(OFFSET(INDIRECT(ORÇAMENTO.BancoRef),#REF!-1,6,1)),0)</definedName>
    <definedName name="REFERENCIA.NaoDesonerado" hidden="1">IF(ISNUMBER(#REF!),VALUE(OFFSET(INDIRECT(ORÇAMENTO.BancoRef),#REF!-1,6,1)),0)</definedName>
    <definedName name="REG" localSheetId="15">#REF!</definedName>
    <definedName name="REG" localSheetId="4">#REF!</definedName>
    <definedName name="REG" localSheetId="12">#REF!</definedName>
    <definedName name="REG" localSheetId="5">#REF!</definedName>
    <definedName name="REG" localSheetId="13">#REF!</definedName>
    <definedName name="REG" localSheetId="11">#REF!</definedName>
    <definedName name="REG" localSheetId="8">#REF!</definedName>
    <definedName name="REG" localSheetId="7">#REF!</definedName>
    <definedName name="REG" localSheetId="0">#REF!</definedName>
    <definedName name="REG">#REF!</definedName>
    <definedName name="REGFAIXA" localSheetId="12">[11]Serviços!$G$11</definedName>
    <definedName name="REGFAIXA" localSheetId="8">#REF!</definedName>
    <definedName name="REGFAIXA" localSheetId="7">#REF!</definedName>
    <definedName name="REGFAIXA">#REF!</definedName>
    <definedName name="REGULA" localSheetId="15">#REF!</definedName>
    <definedName name="REGULA" localSheetId="4">#REF!</definedName>
    <definedName name="REGULA" localSheetId="12">#REF!</definedName>
    <definedName name="REGULA" localSheetId="5">#REF!</definedName>
    <definedName name="REGULA" localSheetId="13">#REF!</definedName>
    <definedName name="REGULA" localSheetId="11">#REF!</definedName>
    <definedName name="REGULA" localSheetId="8">#REF!</definedName>
    <definedName name="REGULA" localSheetId="7">#REF!</definedName>
    <definedName name="REGULA" localSheetId="0">#REF!</definedName>
    <definedName name="REGULA">#REF!</definedName>
    <definedName name="Reimbursement">"Reembolso"</definedName>
    <definedName name="RELAÇÃO_DE_DEPENDÊNCIAS">"CABECA"</definedName>
    <definedName name="Relat" localSheetId="15" hidden="1">#REF!</definedName>
    <definedName name="Relat" localSheetId="4" hidden="1">#REF!</definedName>
    <definedName name="Relat" localSheetId="12" hidden="1">#REF!</definedName>
    <definedName name="Relat" localSheetId="5" hidden="1">#REF!</definedName>
    <definedName name="Relat" localSheetId="13" hidden="1">#REF!</definedName>
    <definedName name="Relat" localSheetId="11" hidden="1">#REF!</definedName>
    <definedName name="Relat" localSheetId="8" hidden="1">#REF!</definedName>
    <definedName name="Relat" localSheetId="7" hidden="1">#REF!</definedName>
    <definedName name="Relat" localSheetId="0" hidden="1">#REF!</definedName>
    <definedName name="Relat" localSheetId="16" hidden="1">#REF!</definedName>
    <definedName name="Relat" hidden="1">#REF!</definedName>
    <definedName name="REMENDOMANUAL" localSheetId="15">#REF!</definedName>
    <definedName name="REMENDOMANUAL" localSheetId="4">#REF!</definedName>
    <definedName name="REMENDOMANUAL" localSheetId="12">#REF!</definedName>
    <definedName name="REMENDOMANUAL" localSheetId="5">#REF!</definedName>
    <definedName name="REMENDOMANUAL" localSheetId="13">#REF!</definedName>
    <definedName name="REMENDOMANUAL" localSheetId="6">#REF!</definedName>
    <definedName name="REMENDOMANUAL" localSheetId="11">#REF!</definedName>
    <definedName name="REMENDOMANUAL" localSheetId="8">#REF!</definedName>
    <definedName name="REMENDOMANUAL" localSheetId="7">#REF!</definedName>
    <definedName name="REMENDOMANUAL" localSheetId="0">#REF!</definedName>
    <definedName name="REMENDOMANUAL">#REF!</definedName>
    <definedName name="REMMAN" localSheetId="15">#REF!</definedName>
    <definedName name="REMMAN" localSheetId="4">#REF!</definedName>
    <definedName name="REMMAN" localSheetId="12">#REF!</definedName>
    <definedName name="REMMAN" localSheetId="5">#REF!</definedName>
    <definedName name="REMMAN" localSheetId="13">#REF!</definedName>
    <definedName name="REMMAN" localSheetId="6">#REF!</definedName>
    <definedName name="REMMAN" localSheetId="8">#REF!</definedName>
    <definedName name="REMMAN" localSheetId="7">#REF!</definedName>
    <definedName name="REMMAN" localSheetId="0">#REF!</definedName>
    <definedName name="REMMAN">#REF!</definedName>
    <definedName name="REMMEC" localSheetId="15">#REF!</definedName>
    <definedName name="REMMEC" localSheetId="4">#REF!</definedName>
    <definedName name="REMMEC" localSheetId="5">#REF!</definedName>
    <definedName name="REMMEC" localSheetId="13">#REF!</definedName>
    <definedName name="REMMEC" localSheetId="6">#REF!</definedName>
    <definedName name="REMMEC" localSheetId="8">#REF!</definedName>
    <definedName name="REMMEC" localSheetId="7">#REF!</definedName>
    <definedName name="REMMEC" localSheetId="0">#REF!</definedName>
    <definedName name="REMMEC">#REF!</definedName>
    <definedName name="Remoção_canalização_D_0_60m" localSheetId="8">#REF!</definedName>
    <definedName name="Remoção_canalização_D_0_60m" localSheetId="7">#REF!</definedName>
    <definedName name="Remoção_canalização_D_0_60m">#REF!</definedName>
    <definedName name="REMOPS" localSheetId="12">[11]Serviços!$G$49</definedName>
    <definedName name="REMOPS" localSheetId="8">#REF!</definedName>
    <definedName name="REMOPS" localSheetId="7">#REF!</definedName>
    <definedName name="REMOPS">#REF!</definedName>
    <definedName name="RESUMO" localSheetId="15">'CALÇADA E ACESS.'!RESUMO</definedName>
    <definedName name="RESUMO" localSheetId="4">#N/A</definedName>
    <definedName name="RESUMO" localSheetId="12">COMPLEMENTARES!RESUMO</definedName>
    <definedName name="RESUMO" localSheetId="5">#N/A</definedName>
    <definedName name="RESUMO" localSheetId="13">'DISP. DRENAGEM'!RESUMO</definedName>
    <definedName name="RESUMO" localSheetId="6">DMT!RESUMO</definedName>
    <definedName name="RESUMO" localSheetId="11">DRENAGEM!RESUMO</definedName>
    <definedName name="RESUMO" localSheetId="8">GRELHA!RESUMO</definedName>
    <definedName name="RESUMO" localSheetId="7">'MAT BET'!RESUMO</definedName>
    <definedName name="RESUMO" localSheetId="2">'ORÇ. SINTÉTICO'!RESUMO</definedName>
    <definedName name="RESUMO" localSheetId="14">#N/A</definedName>
    <definedName name="RESUMO" localSheetId="9">PRELIMINARES!RESUMO</definedName>
    <definedName name="RESUMO" localSheetId="1">RESUMO!RESUMO</definedName>
    <definedName name="RESUMO" localSheetId="0">'RESUMO DES'!RESUMO</definedName>
    <definedName name="RESUMO" localSheetId="16">SINALIZAÇÃO!RESUMO</definedName>
    <definedName name="RESUMO">[0]!RESUMO</definedName>
    <definedName name="RETRO" localSheetId="12">[11]Serviços!$G$62</definedName>
    <definedName name="RETRO" localSheetId="8">#REF!</definedName>
    <definedName name="RETRO" localSheetId="7">#REF!</definedName>
    <definedName name="RETRO" localSheetId="14">#REF!</definedName>
    <definedName name="RETRO" localSheetId="16">#REF!</definedName>
    <definedName name="RETRO">#REF!</definedName>
    <definedName name="REV" localSheetId="8">#REF!</definedName>
    <definedName name="REV" localSheetId="7">#REF!</definedName>
    <definedName name="REV">#REF!</definedName>
    <definedName name="RGC" localSheetId="15">#REF!</definedName>
    <definedName name="RGC" localSheetId="12">'[16]3 S 08 200 50'!$H$65</definedName>
    <definedName name="RGC" localSheetId="13">#REF!</definedName>
    <definedName name="RGC" localSheetId="11">#REF!</definedName>
    <definedName name="RGC" localSheetId="8">#REF!</definedName>
    <definedName name="RGC" localSheetId="7">#REF!</definedName>
    <definedName name="RGC">#REF!</definedName>
    <definedName name="RICARDO" localSheetId="8">#REF!</definedName>
    <definedName name="RICARDO" localSheetId="7">#REF!</definedName>
    <definedName name="RICARDO">#REF!</definedName>
    <definedName name="RMA" localSheetId="15">#REF!</definedName>
    <definedName name="RMA" localSheetId="12">[9]SERVIÇOS!#REF!</definedName>
    <definedName name="RMA" localSheetId="13">#REF!</definedName>
    <definedName name="RMA" localSheetId="6">#REF!</definedName>
    <definedName name="RMA" localSheetId="11">#REF!</definedName>
    <definedName name="RMA" localSheetId="8">#REF!</definedName>
    <definedName name="RMA" localSheetId="7">#REF!</definedName>
    <definedName name="RMA" localSheetId="0">#REF!</definedName>
    <definedName name="RMA">#REF!</definedName>
    <definedName name="RMAN" localSheetId="12">[11]Serviços!$G$44</definedName>
    <definedName name="RMAN" localSheetId="8">#REF!</definedName>
    <definedName name="RMAN" localSheetId="7">#REF!</definedName>
    <definedName name="RMAN">#REF!</definedName>
    <definedName name="RMANAT" localSheetId="12">[11]Serviços!$G$42</definedName>
    <definedName name="RMANAT" localSheetId="8">#REF!</definedName>
    <definedName name="RMANAT" localSheetId="7">#REF!</definedName>
    <definedName name="RMANAT">#REF!</definedName>
    <definedName name="RMEC" localSheetId="12">[11]Serviços!$G$46</definedName>
    <definedName name="RMEC" localSheetId="8">#REF!</definedName>
    <definedName name="RMEC" localSheetId="7">#REF!</definedName>
    <definedName name="RMEC">#REF!</definedName>
    <definedName name="RMECAT" localSheetId="12">[11]Serviços!$G$43</definedName>
    <definedName name="RMECAT" localSheetId="8">#REF!</definedName>
    <definedName name="RMECAT" localSheetId="7">#REF!</definedName>
    <definedName name="RMECAT">#REF!</definedName>
    <definedName name="RMSH" localSheetId="12">[11]Serviços!$G$41</definedName>
    <definedName name="RMSH" localSheetId="8">#REF!</definedName>
    <definedName name="RMSH" localSheetId="7">#REF!</definedName>
    <definedName name="RMSH">#REF!</definedName>
    <definedName name="ROÇADA" localSheetId="15">#REF!</definedName>
    <definedName name="ROÇADA" localSheetId="4">#REF!</definedName>
    <definedName name="ROÇADA" localSheetId="12">#REF!</definedName>
    <definedName name="ROÇADA" localSheetId="5">#REF!</definedName>
    <definedName name="ROÇADA" localSheetId="13">#REF!</definedName>
    <definedName name="ROÇADA" localSheetId="6">#REF!</definedName>
    <definedName name="ROÇADA" localSheetId="11">#REF!</definedName>
    <definedName name="ROÇADA" localSheetId="8">#REF!</definedName>
    <definedName name="ROÇADA" localSheetId="7">#REF!</definedName>
    <definedName name="ROÇADA" localSheetId="0">#REF!</definedName>
    <definedName name="ROÇADA">#REF!</definedName>
    <definedName name="ROÇADACOLONIÃO" localSheetId="15">#REF!</definedName>
    <definedName name="ROÇADACOLONIÃO" localSheetId="4">#REF!</definedName>
    <definedName name="ROÇADACOLONIÃO" localSheetId="12">#REF!</definedName>
    <definedName name="ROÇADACOLONIÃO" localSheetId="5">#REF!</definedName>
    <definedName name="ROÇADACOLONIÃO" localSheetId="13">#REF!</definedName>
    <definedName name="ROÇADACOLONIÃO" localSheetId="6">#REF!</definedName>
    <definedName name="ROÇADACOLONIÃO" localSheetId="11">#REF!</definedName>
    <definedName name="ROÇADACOLONIÃO" localSheetId="8">#REF!</definedName>
    <definedName name="ROÇADACOLONIÃO" localSheetId="7">#REF!</definedName>
    <definedName name="ROÇADACOLONIÃO" localSheetId="0">#REF!</definedName>
    <definedName name="ROÇADACOLONIÃO">#REF!</definedName>
    <definedName name="rod" localSheetId="15">#REF!</definedName>
    <definedName name="rod" localSheetId="12">[24]TRAÇOS!$A$31</definedName>
    <definedName name="Rod" localSheetId="6">#REF!</definedName>
    <definedName name="rod" localSheetId="8">#REF!</definedName>
    <definedName name="rod" localSheetId="7">#REF!</definedName>
    <definedName name="rod">#REF!</definedName>
    <definedName name="rodo" localSheetId="15">#REF!</definedName>
    <definedName name="rodo" localSheetId="12">[24]TRAÇOS!$A$42</definedName>
    <definedName name="rodo" localSheetId="8">#REF!</definedName>
    <definedName name="rodo" localSheetId="7">#REF!</definedName>
    <definedName name="rodo">#REF!</definedName>
    <definedName name="RODOVIA" localSheetId="15">#REF!</definedName>
    <definedName name="RODOVIA" localSheetId="12">'[3]F. MEDIÇAO'!$B$133</definedName>
    <definedName name="RODOVIA" localSheetId="13">#REF!</definedName>
    <definedName name="RODOVIA" localSheetId="6">#REF!</definedName>
    <definedName name="RODOVIA" localSheetId="11">#REF!</definedName>
    <definedName name="RODOVIA" localSheetId="8">#REF!</definedName>
    <definedName name="RODOVIA" localSheetId="7">#REF!</definedName>
    <definedName name="RODOVIA">#REF!</definedName>
    <definedName name="RODOVIA_1" localSheetId="15">#REF!</definedName>
    <definedName name="RODOVIA_1" localSheetId="12">[5]DADOS!$C$7</definedName>
    <definedName name="RODOVIA_1" localSheetId="13">#REF!</definedName>
    <definedName name="RODOVIA_1" localSheetId="6">#REF!</definedName>
    <definedName name="RODOVIA_1" localSheetId="11">#REF!</definedName>
    <definedName name="RODOVIA_1" localSheetId="8">#REF!</definedName>
    <definedName name="RODOVIA_1" localSheetId="7">#REF!</definedName>
    <definedName name="RODOVIA_1">#REF!</definedName>
    <definedName name="RPDMAN" localSheetId="12">[11]Serviços!$G$27</definedName>
    <definedName name="RPDMAN" localSheetId="8">#REF!</definedName>
    <definedName name="RPDMAN" localSheetId="7">#REF!</definedName>
    <definedName name="RPDMAN">#REF!</definedName>
    <definedName name="RPDMEC" localSheetId="12">[11]Serviços!$G$28</definedName>
    <definedName name="RPDMEC" localSheetId="8">#REF!</definedName>
    <definedName name="RPDMEC" localSheetId="7">#REF!</definedName>
    <definedName name="RPDMEC">#REF!</definedName>
    <definedName name="RR.1C" localSheetId="15">#REF!</definedName>
    <definedName name="RR.1C" localSheetId="4">#REF!</definedName>
    <definedName name="RR.1C" localSheetId="12">#REF!</definedName>
    <definedName name="RR.1C" localSheetId="5">#REF!</definedName>
    <definedName name="RR.1C" localSheetId="13">#REF!</definedName>
    <definedName name="RR.1C" localSheetId="6">#REF!</definedName>
    <definedName name="RR.1C" localSheetId="11">#REF!</definedName>
    <definedName name="RR.1C" localSheetId="8">#REF!</definedName>
    <definedName name="RR.1C" localSheetId="7">#REF!</definedName>
    <definedName name="RR.1C" localSheetId="0">#REF!</definedName>
    <definedName name="RR.1C">#REF!</definedName>
    <definedName name="RR.1CREC" localSheetId="15">#REF!</definedName>
    <definedName name="RR.1CREC" localSheetId="12">'[3]Recomp. revest. CBUQ'!#REF!</definedName>
    <definedName name="RR.1CREC" localSheetId="13">#REF!</definedName>
    <definedName name="RR.1CREC" localSheetId="6">#REF!</definedName>
    <definedName name="RR.1CREC" localSheetId="11">#REF!</definedName>
    <definedName name="RR.1CREC" localSheetId="8">#REF!</definedName>
    <definedName name="RR.1CREC" localSheetId="7">#REF!</definedName>
    <definedName name="RR.1CREC" localSheetId="0">#REF!</definedName>
    <definedName name="RR.1CREC">#REF!</definedName>
    <definedName name="RRM" localSheetId="12">[9]SERVIÇOS!#REF!</definedName>
    <definedName name="RRM" localSheetId="13">#REF!</definedName>
    <definedName name="RRM" localSheetId="6">#REF!</definedName>
    <definedName name="RRM" localSheetId="11">#REF!</definedName>
    <definedName name="RRM" localSheetId="8">#REF!</definedName>
    <definedName name="RRM" localSheetId="7">#REF!</definedName>
    <definedName name="RRM" localSheetId="0">#REF!</definedName>
    <definedName name="RRM">#REF!</definedName>
    <definedName name="RRP" localSheetId="12">[9]SERVIÇOS!#REF!</definedName>
    <definedName name="RRP" localSheetId="13">#REF!</definedName>
    <definedName name="RRP" localSheetId="8">#REF!</definedName>
    <definedName name="RRP" localSheetId="7">#REF!</definedName>
    <definedName name="RRP" localSheetId="0">#REF!</definedName>
    <definedName name="RRP">#REF!</definedName>
    <definedName name="rrr" localSheetId="12">[39]RESUMO_AUT1!#REF!</definedName>
    <definedName name="rrr" localSheetId="13">#REF!</definedName>
    <definedName name="rrr" localSheetId="8">#REF!</definedName>
    <definedName name="rrr" localSheetId="7">#REF!</definedName>
    <definedName name="rrr" localSheetId="0">#REF!</definedName>
    <definedName name="rrr">#REF!</definedName>
    <definedName name="RRRR" localSheetId="15">#REF!</definedName>
    <definedName name="RRRR" localSheetId="4">#REF!</definedName>
    <definedName name="RRRR" localSheetId="12">#REF!</definedName>
    <definedName name="RRRR" localSheetId="5">#REF!</definedName>
    <definedName name="RRRR" localSheetId="13">#REF!</definedName>
    <definedName name="RRRR" localSheetId="6">#REF!</definedName>
    <definedName name="RRRR" localSheetId="11">#REF!</definedName>
    <definedName name="RRRR" localSheetId="8">#REF!</definedName>
    <definedName name="RRRR" localSheetId="7">#REF!</definedName>
    <definedName name="RRRR" localSheetId="0">#REF!</definedName>
    <definedName name="RRRR">#REF!</definedName>
    <definedName name="RS" localSheetId="15">#REF!</definedName>
    <definedName name="RS" localSheetId="4">#REF!</definedName>
    <definedName name="RS" localSheetId="12">#REF!</definedName>
    <definedName name="RS" localSheetId="5">#REF!</definedName>
    <definedName name="RS" localSheetId="13">#REF!</definedName>
    <definedName name="RS" localSheetId="11">#REF!</definedName>
    <definedName name="RS" localSheetId="8">#REF!</definedName>
    <definedName name="RS" localSheetId="7">#REF!</definedName>
    <definedName name="RS" localSheetId="0">#REF!</definedName>
    <definedName name="RS">#REF!</definedName>
    <definedName name="rua" localSheetId="8">#REF!</definedName>
    <definedName name="rua" localSheetId="7">#REF!</definedName>
    <definedName name="rua">#REF!</definedName>
    <definedName name="RVGL" localSheetId="15">#REF!</definedName>
    <definedName name="RVGL" localSheetId="12">[9]SERVIÇOS!#REF!</definedName>
    <definedName name="RVGL" localSheetId="13">#REF!</definedName>
    <definedName name="RVGL" localSheetId="6">#REF!</definedName>
    <definedName name="RVGL" localSheetId="11">#REF!</definedName>
    <definedName name="RVGL" localSheetId="8">#REF!</definedName>
    <definedName name="RVGL" localSheetId="7">#REF!</definedName>
    <definedName name="RVGL" localSheetId="0">#REF!</definedName>
    <definedName name="RVGL">#REF!</definedName>
    <definedName name="s" localSheetId="15" hidden="1">{#N/A,#N/A,FALSE,"MO (2)"}</definedName>
    <definedName name="s" localSheetId="12" hidden="1">{#N/A,#N/A,FALSE,"MO (2)"}</definedName>
    <definedName name="s" localSheetId="8" hidden="1">{#N/A,#N/A,FALSE,"MO (2)"}</definedName>
    <definedName name="s" localSheetId="14" hidden="1">{#N/A,#N/A,FALSE,"MO (2)"}</definedName>
    <definedName name="s" localSheetId="16" hidden="1">{#N/A,#N/A,FALSE,"MO (2)"}</definedName>
    <definedName name="s" hidden="1">{#N/A,#N/A,FALSE,"MO (2)"}</definedName>
    <definedName name="sad" localSheetId="8">#REF!</definedName>
    <definedName name="sad" localSheetId="7">#REF!</definedName>
    <definedName name="sad" localSheetId="14">#REF!</definedName>
    <definedName name="sad">#REF!</definedName>
    <definedName name="Salario">1</definedName>
    <definedName name="Salários" localSheetId="15">#REF!</definedName>
    <definedName name="Salários" localSheetId="4">#REF!</definedName>
    <definedName name="Salários" localSheetId="12">#REF!</definedName>
    <definedName name="Salários" localSheetId="5">#REF!</definedName>
    <definedName name="Salários" localSheetId="13">#REF!</definedName>
    <definedName name="Salários" localSheetId="6">#REF!</definedName>
    <definedName name="Salários" localSheetId="11">#REF!</definedName>
    <definedName name="Salários" localSheetId="8">#REF!</definedName>
    <definedName name="Salários" localSheetId="7">#REF!</definedName>
    <definedName name="Salários" localSheetId="0">#REF!</definedName>
    <definedName name="Salários">#REF!</definedName>
    <definedName name="SB" localSheetId="15">#REF!</definedName>
    <definedName name="SB" localSheetId="12">[24]SERV!$K$10</definedName>
    <definedName name="SB" localSheetId="6">#REF!</definedName>
    <definedName name="SB" localSheetId="8">#REF!</definedName>
    <definedName name="SB" localSheetId="7">#REF!</definedName>
    <definedName name="SB">#REF!</definedName>
    <definedName name="sbg" localSheetId="15">#REF!</definedName>
    <definedName name="sbg" localSheetId="4">#REF!</definedName>
    <definedName name="sbg" localSheetId="12">#REF!</definedName>
    <definedName name="sbg" localSheetId="5">#REF!</definedName>
    <definedName name="sbg" localSheetId="13">#REF!</definedName>
    <definedName name="sbg" localSheetId="11">#REF!</definedName>
    <definedName name="sbg" localSheetId="8">#REF!</definedName>
    <definedName name="sbg" localSheetId="7">#REF!</definedName>
    <definedName name="sbg" localSheetId="0">#REF!</definedName>
    <definedName name="sbg">#REF!</definedName>
    <definedName name="sbsdbsdb" localSheetId="8">#REF!</definedName>
    <definedName name="sbsdbsdb" localSheetId="7">#REF!</definedName>
    <definedName name="sbsdbsdb">#REF!</definedName>
    <definedName name="SBTC" localSheetId="15">#REF!</definedName>
    <definedName name="SBTC" localSheetId="4">#REF!</definedName>
    <definedName name="SBTC" localSheetId="12">#REF!</definedName>
    <definedName name="SBTC" localSheetId="5">#REF!</definedName>
    <definedName name="SBTC" localSheetId="13">#REF!</definedName>
    <definedName name="SBTC" localSheetId="8">#REF!</definedName>
    <definedName name="SBTC" localSheetId="7">#REF!</definedName>
    <definedName name="SBTC" localSheetId="0">#REF!</definedName>
    <definedName name="SBTC">#REF!</definedName>
    <definedName name="sdbbsdb" localSheetId="8">#REF!</definedName>
    <definedName name="sdbbsdb" localSheetId="7">#REF!</definedName>
    <definedName name="sdbbsdb">#REF!</definedName>
    <definedName name="sdbsdb" localSheetId="8">#REF!</definedName>
    <definedName name="sdbsdb" localSheetId="7">#REF!</definedName>
    <definedName name="sdbsdb">#REF!</definedName>
    <definedName name="sdf" localSheetId="8">#REF!</definedName>
    <definedName name="sdf" localSheetId="7">#REF!</definedName>
    <definedName name="sdf">#REF!</definedName>
    <definedName name="se" localSheetId="15">#REF!</definedName>
    <definedName name="se" localSheetId="4">#REF!</definedName>
    <definedName name="se" localSheetId="12">'[12]Fresagem de Pista Ago-98'!#REF!</definedName>
    <definedName name="se" localSheetId="5">#REF!</definedName>
    <definedName name="se" localSheetId="13">#REF!</definedName>
    <definedName name="SE" localSheetId="6" hidden="1">#REF!</definedName>
    <definedName name="se" localSheetId="11">#REF!</definedName>
    <definedName name="se" localSheetId="8">#REF!</definedName>
    <definedName name="se" localSheetId="7">#REF!</definedName>
    <definedName name="se" localSheetId="0">#REF!</definedName>
    <definedName name="se">#REF!</definedName>
    <definedName name="SEG" localSheetId="15">#REF!</definedName>
    <definedName name="SEG" localSheetId="12">[40]INDICES!$C$136</definedName>
    <definedName name="SEG" localSheetId="6">#REF!</definedName>
    <definedName name="SEG" localSheetId="8">#REF!</definedName>
    <definedName name="SEG" localSheetId="7">#REF!</definedName>
    <definedName name="SEG">#REF!</definedName>
    <definedName name="SEGMENTO" localSheetId="15">#REF!</definedName>
    <definedName name="SEGMENTO" localSheetId="12">[5]DADOS!$C$13</definedName>
    <definedName name="SEGMENTO" localSheetId="13">#REF!</definedName>
    <definedName name="SEGMENTO" localSheetId="6">#REF!</definedName>
    <definedName name="SEGMENTO" localSheetId="11">#REF!</definedName>
    <definedName name="SEGMENTO" localSheetId="8">#REF!</definedName>
    <definedName name="SEGMENTO" localSheetId="7">#REF!</definedName>
    <definedName name="SEGMENTO">#REF!</definedName>
    <definedName name="SEGMENTO_1" localSheetId="15">#REF!</definedName>
    <definedName name="SEGMENTO_1" localSheetId="12">[5]DADOS!$C$14</definedName>
    <definedName name="SEGMENTO_1" localSheetId="13">#REF!</definedName>
    <definedName name="SEGMENTO_1" localSheetId="6">#REF!</definedName>
    <definedName name="SEGMENTO_1" localSheetId="11">#REF!</definedName>
    <definedName name="SEGMENTO_1" localSheetId="8">#REF!</definedName>
    <definedName name="SEGMENTO_1" localSheetId="7">#REF!</definedName>
    <definedName name="SEGMENTO_1">#REF!</definedName>
    <definedName name="SERV" localSheetId="15">#REF!</definedName>
    <definedName name="SERV" localSheetId="4">#REF!</definedName>
    <definedName name="SERV" localSheetId="12">#REF!</definedName>
    <definedName name="SERV" localSheetId="5">#REF!</definedName>
    <definedName name="SERV" localSheetId="13">#REF!</definedName>
    <definedName name="SERV" localSheetId="11">#REF!</definedName>
    <definedName name="SERV" localSheetId="8">#REF!</definedName>
    <definedName name="SERV" localSheetId="7">#REF!</definedName>
    <definedName name="SERV" localSheetId="2">#REF!</definedName>
    <definedName name="SERV" localSheetId="1">#REF!</definedName>
    <definedName name="SERV" localSheetId="0">#REF!</definedName>
    <definedName name="SERV">#REF!</definedName>
    <definedName name="SERVENTE" localSheetId="12">[11]Serviços!$G$61</definedName>
    <definedName name="SERVENTE" localSheetId="8">#REF!</definedName>
    <definedName name="SERVENTE" localSheetId="7">#REF!</definedName>
    <definedName name="SERVENTE">#REF!</definedName>
    <definedName name="SERVIÇO" localSheetId="15">#REF!</definedName>
    <definedName name="SERVIÇO" localSheetId="12">[24]SERV!$B$4:$F$142</definedName>
    <definedName name="SERVIÇO" localSheetId="8">#REF!</definedName>
    <definedName name="SERVIÇO" localSheetId="7">#REF!</definedName>
    <definedName name="SERVIÇO">#REF!</definedName>
    <definedName name="serviço1" localSheetId="15">#REF!</definedName>
    <definedName name="serviço1" localSheetId="4">#REF!</definedName>
    <definedName name="serviço1" localSheetId="12">#REF!</definedName>
    <definedName name="serviço1" localSheetId="5">#REF!</definedName>
    <definedName name="serviço1" localSheetId="13">#REF!</definedName>
    <definedName name="serviço1" localSheetId="11">#REF!</definedName>
    <definedName name="serviço1" localSheetId="8">#REF!</definedName>
    <definedName name="serviço1" localSheetId="7">#REF!</definedName>
    <definedName name="serviço1" localSheetId="0">#REF!</definedName>
    <definedName name="serviço1">#REF!</definedName>
    <definedName name="Serviços" localSheetId="15">#REF!</definedName>
    <definedName name="Serviços" localSheetId="12">[41]Serviços!$A:$I</definedName>
    <definedName name="Serviços" localSheetId="13">#REF!</definedName>
    <definedName name="Serviços" localSheetId="11">#REF!</definedName>
    <definedName name="Serviços" localSheetId="8">#REF!</definedName>
    <definedName name="Serviços" localSheetId="7">#REF!</definedName>
    <definedName name="Serviços">#REF!</definedName>
    <definedName name="sfahjbrgoaiejrbg" localSheetId="8">#REF!</definedName>
    <definedName name="sfahjbrgoaiejrbg" localSheetId="7">#REF!</definedName>
    <definedName name="sfahjbrgoaiejrbg">#REF!</definedName>
    <definedName name="SICRO" localSheetId="15">#REF!</definedName>
    <definedName name="SICRO" localSheetId="12">[16]DADOS!$B$14</definedName>
    <definedName name="SICRO" localSheetId="13">#REF!</definedName>
    <definedName name="SICRO" localSheetId="11">#REF!</definedName>
    <definedName name="SICRO" localSheetId="8">#REF!</definedName>
    <definedName name="SICRO" localSheetId="7">#REF!</definedName>
    <definedName name="SICRO">#REF!</definedName>
    <definedName name="SIH" localSheetId="8">#REF!</definedName>
    <definedName name="SIH" localSheetId="7">#REF!</definedName>
    <definedName name="SIH">#REF!</definedName>
    <definedName name="SIV" localSheetId="8">#REF!</definedName>
    <definedName name="SIV" localSheetId="7">#REF!</definedName>
    <definedName name="SIV">#REF!</definedName>
    <definedName name="SLRP" localSheetId="15">#REF!</definedName>
    <definedName name="SLRP" localSheetId="12">[9]SERVIÇOS!#REF!</definedName>
    <definedName name="SLRP" localSheetId="13">#REF!</definedName>
    <definedName name="SLRP" localSheetId="6">#REF!</definedName>
    <definedName name="SLRP" localSheetId="11">#REF!</definedName>
    <definedName name="SLRP" localSheetId="8">#REF!</definedName>
    <definedName name="SLRP" localSheetId="7">#REF!</definedName>
    <definedName name="SLRP" localSheetId="0">#REF!</definedName>
    <definedName name="SLRP">#REF!</definedName>
    <definedName name="solo" localSheetId="15">#REF!</definedName>
    <definedName name="solo" localSheetId="4">#REF!</definedName>
    <definedName name="solo" localSheetId="12">#REF!</definedName>
    <definedName name="solo" localSheetId="5">#REF!</definedName>
    <definedName name="solo" localSheetId="13">#REF!</definedName>
    <definedName name="solo" localSheetId="6">#REF!</definedName>
    <definedName name="solo" localSheetId="11">#REF!</definedName>
    <definedName name="solo" localSheetId="8">#REF!</definedName>
    <definedName name="solo" localSheetId="7">#REF!</definedName>
    <definedName name="solo" localSheetId="0">#REF!</definedName>
    <definedName name="solo">#REF!</definedName>
    <definedName name="SOLOCIM" localSheetId="12">[11]Serviços!$G$13</definedName>
    <definedName name="SOLOCIM" localSheetId="8">#REF!</definedName>
    <definedName name="SOLOCIM" localSheetId="7">#REF!</definedName>
    <definedName name="SOLOCIM">#REF!</definedName>
    <definedName name="SOLOMANUAL" localSheetId="15">#REF!</definedName>
    <definedName name="SOLOMANUAL" localSheetId="4">#REF!</definedName>
    <definedName name="SOLOMANUAL" localSheetId="12">#REF!</definedName>
    <definedName name="SOLOMANUAL" localSheetId="5">#REF!</definedName>
    <definedName name="SOLOMANUAL" localSheetId="13">#REF!</definedName>
    <definedName name="SOLOMANUAL" localSheetId="6">#REF!</definedName>
    <definedName name="SOLOMANUAL" localSheetId="11">#REF!</definedName>
    <definedName name="SOLOMANUAL" localSheetId="8">#REF!</definedName>
    <definedName name="SOLOMANUAL" localSheetId="7">#REF!</definedName>
    <definedName name="SOLOMANUAL" localSheetId="0">#REF!</definedName>
    <definedName name="SOLOMANUAL">#REF!</definedName>
    <definedName name="solomecanizado" localSheetId="15">#REF!</definedName>
    <definedName name="solomecanizado" localSheetId="4">#REF!</definedName>
    <definedName name="solomecanizado" localSheetId="12">#REF!</definedName>
    <definedName name="solomecanizado" localSheetId="5">#REF!</definedName>
    <definedName name="solomecanizado" localSheetId="13">#REF!</definedName>
    <definedName name="solomecanizado" localSheetId="6">#REF!</definedName>
    <definedName name="solomecanizado" localSheetId="11">#REF!</definedName>
    <definedName name="solomecanizado" localSheetId="8">#REF!</definedName>
    <definedName name="solomecanizado" localSheetId="7">#REF!</definedName>
    <definedName name="solomecanizado" localSheetId="0">#REF!</definedName>
    <definedName name="solomecanizado">#REF!</definedName>
    <definedName name="SOMA6" localSheetId="15">#REF!</definedName>
    <definedName name="SOMA6" localSheetId="12">[9]ORÇAMENTO!#REF!</definedName>
    <definedName name="SOMA6" localSheetId="13">#REF!</definedName>
    <definedName name="SOMA6" localSheetId="6">#REF!</definedName>
    <definedName name="SOMA6" localSheetId="11">#REF!</definedName>
    <definedName name="SOMA6" localSheetId="8">#REF!</definedName>
    <definedName name="SOMA6" localSheetId="7">#REF!</definedName>
    <definedName name="SOMA6" localSheetId="0">#REF!</definedName>
    <definedName name="SOMA6">#REF!</definedName>
    <definedName name="SOMA7" localSheetId="12">[9]ORÇAMENTO!#REF!</definedName>
    <definedName name="SOMA7" localSheetId="13">#REF!</definedName>
    <definedName name="SOMA7" localSheetId="6">#REF!</definedName>
    <definedName name="SOMA7" localSheetId="11">#REF!</definedName>
    <definedName name="SOMA7" localSheetId="8">#REF!</definedName>
    <definedName name="SOMA7" localSheetId="7">#REF!</definedName>
    <definedName name="SOMA7" localSheetId="0">#REF!</definedName>
    <definedName name="SOMA7">#REF!</definedName>
    <definedName name="SomaTotal" localSheetId="12">#REF!</definedName>
    <definedName name="SomaTotal" localSheetId="8">#REF!</definedName>
    <definedName name="SomaTotal">#REF!</definedName>
    <definedName name="SRV" localSheetId="15" hidden="1">#REF!</definedName>
    <definedName name="SRV" localSheetId="4" hidden="1">#REF!</definedName>
    <definedName name="SRV" localSheetId="12" hidden="1">#REF!</definedName>
    <definedName name="SRV" localSheetId="5" hidden="1">#REF!</definedName>
    <definedName name="SRV" localSheetId="13" hidden="1">#REF!</definedName>
    <definedName name="SRV" localSheetId="11" hidden="1">#REF!</definedName>
    <definedName name="SRV" localSheetId="8" hidden="1">#REF!</definedName>
    <definedName name="SRV" localSheetId="7" hidden="1">#REF!</definedName>
    <definedName name="SRV" localSheetId="0" hidden="1">#REF!</definedName>
    <definedName name="SRV" hidden="1">#REF!</definedName>
    <definedName name="sss" localSheetId="15">#REF!</definedName>
    <definedName name="sss" localSheetId="4">#REF!</definedName>
    <definedName name="sss" localSheetId="12">[34]QuQuant!#REF!</definedName>
    <definedName name="sss" localSheetId="5">#REF!</definedName>
    <definedName name="sss" localSheetId="13">#REF!</definedName>
    <definedName name="sss" localSheetId="11">#REF!</definedName>
    <definedName name="sss" localSheetId="8">#REF!</definedName>
    <definedName name="sss" localSheetId="7">#REF!</definedName>
    <definedName name="sss" localSheetId="2">#REF!</definedName>
    <definedName name="sss" localSheetId="1">#REF!</definedName>
    <definedName name="sss" localSheetId="0">#REF!</definedName>
    <definedName name="sss">#REF!</definedName>
    <definedName name="sssrttt" localSheetId="15">'CALÇADA E ACESS.'!sssrttt</definedName>
    <definedName name="sssrttt" localSheetId="4">#N/A</definedName>
    <definedName name="sssrttt" localSheetId="12">#N/A</definedName>
    <definedName name="sssrttt" localSheetId="5">#N/A</definedName>
    <definedName name="sssrttt" localSheetId="13">'DISP. DRENAGEM'!sssrttt</definedName>
    <definedName name="sssrttt" localSheetId="6">DMT!sssrttt</definedName>
    <definedName name="sssrttt" localSheetId="11">DRENAGEM!sssrttt</definedName>
    <definedName name="sssrttt" localSheetId="8">GRELHA!sssrttt</definedName>
    <definedName name="sssrttt" localSheetId="7">'MAT BET'!sssrttt</definedName>
    <definedName name="sssrttt" localSheetId="2">'ORÇ. SINTÉTICO'!sssrttt</definedName>
    <definedName name="sssrttt" localSheetId="14">#N/A</definedName>
    <definedName name="sssrttt" localSheetId="9">PRELIMINARES!sssrttt</definedName>
    <definedName name="sssrttt" localSheetId="1">RESUMO!sssrttt</definedName>
    <definedName name="sssrttt" localSheetId="0">'RESUMO DES'!sssrttt</definedName>
    <definedName name="sssrttt" localSheetId="16">SINALIZAÇÃO!sssrttt</definedName>
    <definedName name="sssrttt">[0]!sssrttt</definedName>
    <definedName name="SSSS" localSheetId="15">#REF!</definedName>
    <definedName name="SSSS" localSheetId="4">#REF!</definedName>
    <definedName name="SSSS" localSheetId="12">[37]QuQuant!#REF!</definedName>
    <definedName name="SSSS" localSheetId="5">#REF!</definedName>
    <definedName name="SSSS" localSheetId="13">#REF!</definedName>
    <definedName name="SSSS" localSheetId="11">#REF!</definedName>
    <definedName name="SSSS" localSheetId="8">#REF!</definedName>
    <definedName name="SSSS" localSheetId="7">#REF!</definedName>
    <definedName name="SSSS" localSheetId="2">#REF!</definedName>
    <definedName name="SSSS" localSheetId="1">#REF!</definedName>
    <definedName name="SSSS" localSheetId="0">#REF!</definedName>
    <definedName name="SSSS">#REF!</definedName>
    <definedName name="SSSSSS" localSheetId="12">[39]RESUMO_AUT1!#REF!</definedName>
    <definedName name="SSSSSS" localSheetId="13">#REF!</definedName>
    <definedName name="SSSSSS" localSheetId="11">#REF!</definedName>
    <definedName name="SSSSSS" localSheetId="8">#REF!</definedName>
    <definedName name="SSSSSS" localSheetId="7">#REF!</definedName>
    <definedName name="SSSSSS" localSheetId="0">#REF!</definedName>
    <definedName name="SSSSSS">#REF!</definedName>
    <definedName name="ST" localSheetId="12">[11]Serviços!$G$29</definedName>
    <definedName name="ST" localSheetId="8">#REF!</definedName>
    <definedName name="ST" localSheetId="7">#REF!</definedName>
    <definedName name="ST">#REF!</definedName>
    <definedName name="STC" localSheetId="15">#REF!</definedName>
    <definedName name="STC" localSheetId="12">'[16]2 S 04 900 01'!$H$65</definedName>
    <definedName name="STC" localSheetId="13">#REF!</definedName>
    <definedName name="STC" localSheetId="11">#REF!</definedName>
    <definedName name="STC" localSheetId="8">#REF!</definedName>
    <definedName name="STC" localSheetId="7">#REF!</definedName>
    <definedName name="STC">#REF!</definedName>
    <definedName name="STR" localSheetId="12">[9]INDICES!$C$128</definedName>
    <definedName name="STR" localSheetId="8">#REF!</definedName>
    <definedName name="STR" localSheetId="7">#REF!</definedName>
    <definedName name="STR">#REF!</definedName>
    <definedName name="SUB_TRECHO" localSheetId="15">#REF!</definedName>
    <definedName name="SUB_TRECHO" localSheetId="4">#REF!</definedName>
    <definedName name="SUB_TRECHO" localSheetId="12">#REF!</definedName>
    <definedName name="SUB_TRECHO" localSheetId="5">#REF!</definedName>
    <definedName name="SUB_TRECHO" localSheetId="13">#REF!</definedName>
    <definedName name="SUB_TRECHO" localSheetId="11">#REF!</definedName>
    <definedName name="SUB_TRECHO" localSheetId="8">#REF!</definedName>
    <definedName name="SUB_TRECHO" localSheetId="7">#REF!</definedName>
    <definedName name="SUB_TRECHO" localSheetId="0">#REF!</definedName>
    <definedName name="SUB_TRECHO">#REF!</definedName>
    <definedName name="Subt" localSheetId="15">#REF!</definedName>
    <definedName name="Subt" localSheetId="4">#REF!</definedName>
    <definedName name="Subt" localSheetId="12">#REF!</definedName>
    <definedName name="Subt" localSheetId="5">#REF!</definedName>
    <definedName name="Subt" localSheetId="13">#REF!</definedName>
    <definedName name="Subt" localSheetId="11">#REF!</definedName>
    <definedName name="Subt" localSheetId="8">#REF!</definedName>
    <definedName name="Subt" localSheetId="7">#REF!</definedName>
    <definedName name="Subt" localSheetId="0">#REF!</definedName>
    <definedName name="Subt">#REF!</definedName>
    <definedName name="subtrec" localSheetId="15">#REF!</definedName>
    <definedName name="subtrec" localSheetId="12">[24]TRAÇOS!$A$36</definedName>
    <definedName name="subtrec" localSheetId="8">#REF!</definedName>
    <definedName name="subtrec" localSheetId="7">#REF!</definedName>
    <definedName name="subtrec">#REF!</definedName>
    <definedName name="SUBTRECHO" localSheetId="15">#REF!</definedName>
    <definedName name="SUBTRECHO" localSheetId="12">[5]DADOS!$C$11</definedName>
    <definedName name="SUBTRECHO" localSheetId="13">#REF!</definedName>
    <definedName name="SUBTRECHO" localSheetId="6">#REF!</definedName>
    <definedName name="SUBTRECHO" localSheetId="11">#REF!</definedName>
    <definedName name="SUBTRECHO" localSheetId="8">#REF!</definedName>
    <definedName name="SUBTRECHO" localSheetId="7">#REF!</definedName>
    <definedName name="SUBTRECHO">#REF!</definedName>
    <definedName name="SUBTRECHO_1" localSheetId="15">#REF!</definedName>
    <definedName name="SUBTRECHO_1" localSheetId="12">[5]DADOS!$C$12</definedName>
    <definedName name="SUBTRECHO_1" localSheetId="13">#REF!</definedName>
    <definedName name="SUBTRECHO_1" localSheetId="6">#REF!</definedName>
    <definedName name="SUBTRECHO_1" localSheetId="11">#REF!</definedName>
    <definedName name="SUBTRECHO_1" localSheetId="8">#REF!</definedName>
    <definedName name="SUBTRECHO_1" localSheetId="7">#REF!</definedName>
    <definedName name="SUBTRECHO_1">#REF!</definedName>
    <definedName name="SUPER" localSheetId="15">#REF!</definedName>
    <definedName name="SUPER" localSheetId="12">'[3]F. MEDIÇAO'!$A$102</definedName>
    <definedName name="SUPER" localSheetId="13">#REF!</definedName>
    <definedName name="SUPER" localSheetId="6">#REF!</definedName>
    <definedName name="SUPER" localSheetId="11">#REF!</definedName>
    <definedName name="SUPER" localSheetId="8">#REF!</definedName>
    <definedName name="SUPER" localSheetId="7">#REF!</definedName>
    <definedName name="SUPER">#REF!</definedName>
    <definedName name="SUUU7" localSheetId="8">#REF!</definedName>
    <definedName name="SUUU7" localSheetId="7">#REF!</definedName>
    <definedName name="SUUU7">#REF!</definedName>
    <definedName name="SVASRTVARTVAWRTVAWRTBVAWTEBAWEBTAW" localSheetId="8">#REF!</definedName>
    <definedName name="SVASRTVARTVAWRTVAWRTBVAWTEBAWEBTAW" localSheetId="7">#REF!</definedName>
    <definedName name="SVASRTVARTVAWRTVAWRTBVAWTEBAWEBTAW">#REF!</definedName>
    <definedName name="T" localSheetId="12">[42]TABELA!$A$1:$H$1001</definedName>
    <definedName name="T" localSheetId="8">#REF!</definedName>
    <definedName name="T" localSheetId="7">#REF!</definedName>
    <definedName name="T">#REF!</definedName>
    <definedName name="T0.230.17" localSheetId="15">#REF!</definedName>
    <definedName name="T0.230.17" localSheetId="4">#REF!</definedName>
    <definedName name="T0.230.17" localSheetId="12">#REF!</definedName>
    <definedName name="T0.230.17" localSheetId="5">#REF!</definedName>
    <definedName name="T0.230.17" localSheetId="13">#REF!</definedName>
    <definedName name="T0.230.17" localSheetId="6">#REF!</definedName>
    <definedName name="T0.230.17" localSheetId="11">#REF!</definedName>
    <definedName name="T0.230.17" localSheetId="8">#REF!</definedName>
    <definedName name="T0.230.17" localSheetId="7">#REF!</definedName>
    <definedName name="T0.230.17" localSheetId="0">#REF!</definedName>
    <definedName name="T0.230.17">#REF!</definedName>
    <definedName name="T0.303.17" localSheetId="15">#REF!</definedName>
    <definedName name="T0.303.17" localSheetId="4">#REF!</definedName>
    <definedName name="T0.303.17" localSheetId="12">#REF!</definedName>
    <definedName name="T0.303.17" localSheetId="5">#REF!</definedName>
    <definedName name="T0.303.17" localSheetId="13">#REF!</definedName>
    <definedName name="T0.303.17" localSheetId="6">#REF!</definedName>
    <definedName name="T0.303.17" localSheetId="11">#REF!</definedName>
    <definedName name="T0.303.17" localSheetId="8">#REF!</definedName>
    <definedName name="T0.303.17" localSheetId="7">#REF!</definedName>
    <definedName name="T0.303.17" localSheetId="0">#REF!</definedName>
    <definedName name="T0.303.17">#REF!</definedName>
    <definedName name="T2.241.00" localSheetId="15">#REF!</definedName>
    <definedName name="T2.241.00" localSheetId="4">#REF!</definedName>
    <definedName name="T2.241.00" localSheetId="12">#REF!</definedName>
    <definedName name="T2.241.00" localSheetId="5">#REF!</definedName>
    <definedName name="T2.241.00" localSheetId="13">#REF!</definedName>
    <definedName name="T2.241.00" localSheetId="6">#REF!</definedName>
    <definedName name="T2.241.00" localSheetId="8">#REF!</definedName>
    <definedName name="T2.241.00" localSheetId="7">#REF!</definedName>
    <definedName name="T2.241.00" localSheetId="0">#REF!</definedName>
    <definedName name="T2.241.00">#REF!</definedName>
    <definedName name="T2.500.01" localSheetId="15">#REF!</definedName>
    <definedName name="T2.500.01" localSheetId="4">#REF!</definedName>
    <definedName name="T2.500.01" localSheetId="5">#REF!</definedName>
    <definedName name="T2.500.01" localSheetId="13">#REF!</definedName>
    <definedName name="T2.500.01" localSheetId="6">#REF!</definedName>
    <definedName name="T2.500.01" localSheetId="8">#REF!</definedName>
    <definedName name="T2.500.01" localSheetId="7">#REF!</definedName>
    <definedName name="T2.500.01" localSheetId="0">#REF!</definedName>
    <definedName name="T2.500.01">#REF!</definedName>
    <definedName name="T2.530.02" localSheetId="15">#REF!</definedName>
    <definedName name="T2.530.02" localSheetId="12">'[3]Recomp. revest. CBUQ'!#REF!</definedName>
    <definedName name="T2.530.02" localSheetId="13">#REF!</definedName>
    <definedName name="T2.530.02" localSheetId="6">#REF!</definedName>
    <definedName name="T2.530.02" localSheetId="11">#REF!</definedName>
    <definedName name="T2.530.02" localSheetId="8">#REF!</definedName>
    <definedName name="T2.530.02" localSheetId="7">#REF!</definedName>
    <definedName name="T2.530.02" localSheetId="0">#REF!</definedName>
    <definedName name="T2.530.02">#REF!</definedName>
    <definedName name="T3.329.01" localSheetId="15">#REF!</definedName>
    <definedName name="T3.329.01" localSheetId="4">#REF!</definedName>
    <definedName name="T3.329.01" localSheetId="12">#REF!</definedName>
    <definedName name="T3.329.01" localSheetId="5">#REF!</definedName>
    <definedName name="T3.329.01" localSheetId="13">#REF!</definedName>
    <definedName name="T3.329.01" localSheetId="6">#REF!</definedName>
    <definedName name="T3.329.01" localSheetId="11">#REF!</definedName>
    <definedName name="T3.329.01" localSheetId="8">#REF!</definedName>
    <definedName name="T3.329.01" localSheetId="7">#REF!</definedName>
    <definedName name="T3.329.01" localSheetId="0">#REF!</definedName>
    <definedName name="T3.329.01">#REF!</definedName>
    <definedName name="T3.950.00" localSheetId="15">#REF!</definedName>
    <definedName name="T3.950.00" localSheetId="4">#REF!</definedName>
    <definedName name="T3.950.00" localSheetId="12">#REF!</definedName>
    <definedName name="T3.950.00" localSheetId="5">#REF!</definedName>
    <definedName name="T3.950.00" localSheetId="13">#REF!</definedName>
    <definedName name="T3.950.00" localSheetId="6">#REF!</definedName>
    <definedName name="T3.950.00" localSheetId="11">#REF!</definedName>
    <definedName name="T3.950.00" localSheetId="8">#REF!</definedName>
    <definedName name="T3.950.00" localSheetId="7">#REF!</definedName>
    <definedName name="T3.950.00" localSheetId="0">#REF!</definedName>
    <definedName name="T3.950.00">#REF!</definedName>
    <definedName name="T4.000.00" localSheetId="15">#REF!</definedName>
    <definedName name="T4.000.00" localSheetId="4">#REF!</definedName>
    <definedName name="T4.000.00" localSheetId="12">#REF!</definedName>
    <definedName name="T4.000.00" localSheetId="5">#REF!</definedName>
    <definedName name="T4.000.00" localSheetId="13">#REF!</definedName>
    <definedName name="T4.000.00" localSheetId="6">#REF!</definedName>
    <definedName name="T4.000.00" localSheetId="8">#REF!</definedName>
    <definedName name="T4.000.00" localSheetId="7">#REF!</definedName>
    <definedName name="T4.000.00" localSheetId="0">#REF!</definedName>
    <definedName name="T4.000.00">#REF!</definedName>
    <definedName name="T5.000.00" localSheetId="15">#REF!</definedName>
    <definedName name="T5.000.00" localSheetId="4">#REF!</definedName>
    <definedName name="T5.000.00" localSheetId="5">#REF!</definedName>
    <definedName name="T5.000.00" localSheetId="13">#REF!</definedName>
    <definedName name="T5.000.00" localSheetId="6">#REF!</definedName>
    <definedName name="T5.000.00" localSheetId="8">#REF!</definedName>
    <definedName name="T5.000.00" localSheetId="7">#REF!</definedName>
    <definedName name="T5.000.00" localSheetId="0">#REF!</definedName>
    <definedName name="T5.000.00">#REF!</definedName>
    <definedName name="T8.100.01" localSheetId="15">#REF!</definedName>
    <definedName name="T8.100.01" localSheetId="4">#REF!</definedName>
    <definedName name="T8.100.01" localSheetId="5">#REF!</definedName>
    <definedName name="T8.100.01" localSheetId="13">#REF!</definedName>
    <definedName name="T8.100.01" localSheetId="6">#REF!</definedName>
    <definedName name="T8.100.01" localSheetId="8">#REF!</definedName>
    <definedName name="T8.100.01" localSheetId="7">#REF!</definedName>
    <definedName name="T8.100.01" localSheetId="0">#REF!</definedName>
    <definedName name="T8.100.01">#REF!</definedName>
    <definedName name="T8.300.01" localSheetId="15">#REF!</definedName>
    <definedName name="T8.300.01" localSheetId="4">#REF!</definedName>
    <definedName name="T8.300.01" localSheetId="5">#REF!</definedName>
    <definedName name="T8.300.01" localSheetId="13">#REF!</definedName>
    <definedName name="T8.300.01" localSheetId="6">#REF!</definedName>
    <definedName name="T8.300.01" localSheetId="8">#REF!</definedName>
    <definedName name="T8.300.01" localSheetId="7">#REF!</definedName>
    <definedName name="T8.300.01" localSheetId="0">#REF!</definedName>
    <definedName name="T8.300.01">#REF!</definedName>
    <definedName name="t8.301.01" localSheetId="15">#REF!</definedName>
    <definedName name="t8.301.01" localSheetId="4">#REF!</definedName>
    <definedName name="t8.301.01" localSheetId="5">#REF!</definedName>
    <definedName name="t8.301.01" localSheetId="13">#REF!</definedName>
    <definedName name="t8.301.01" localSheetId="6">#REF!</definedName>
    <definedName name="t8.301.01" localSheetId="8">#REF!</definedName>
    <definedName name="t8.301.01" localSheetId="7">#REF!</definedName>
    <definedName name="t8.301.01" localSheetId="0">#REF!</definedName>
    <definedName name="t8.301.01">#REF!</definedName>
    <definedName name="T8.302.05" localSheetId="15">#REF!</definedName>
    <definedName name="T8.302.05" localSheetId="4">#REF!</definedName>
    <definedName name="T8.302.05" localSheetId="5">#REF!</definedName>
    <definedName name="T8.302.05" localSheetId="13">#REF!</definedName>
    <definedName name="T8.302.05" localSheetId="6">#REF!</definedName>
    <definedName name="T8.302.05" localSheetId="8">#REF!</definedName>
    <definedName name="T8.302.05" localSheetId="7">#REF!</definedName>
    <definedName name="T8.302.05" localSheetId="0">#REF!</definedName>
    <definedName name="T8.302.05">#REF!</definedName>
    <definedName name="T8.402.00" localSheetId="15">#REF!</definedName>
    <definedName name="T8.402.00" localSheetId="4">#REF!</definedName>
    <definedName name="T8.402.00" localSheetId="5">#REF!</definedName>
    <definedName name="T8.402.00" localSheetId="13">#REF!</definedName>
    <definedName name="T8.402.00" localSheetId="6">#REF!</definedName>
    <definedName name="T8.402.00" localSheetId="8">#REF!</definedName>
    <definedName name="T8.402.00" localSheetId="7">#REF!</definedName>
    <definedName name="T8.402.00" localSheetId="0">#REF!</definedName>
    <definedName name="T8.402.00">#REF!</definedName>
    <definedName name="T8.500.00" localSheetId="15">#REF!</definedName>
    <definedName name="T8.500.00" localSheetId="4">#REF!</definedName>
    <definedName name="T8.500.00" localSheetId="5">#REF!</definedName>
    <definedName name="T8.500.00" localSheetId="13">#REF!</definedName>
    <definedName name="T8.500.00" localSheetId="6">#REF!</definedName>
    <definedName name="T8.500.00" localSheetId="8">#REF!</definedName>
    <definedName name="T8.500.00" localSheetId="7">#REF!</definedName>
    <definedName name="T8.500.00" localSheetId="0">#REF!</definedName>
    <definedName name="T8.500.00">#REF!</definedName>
    <definedName name="t8.501.00" localSheetId="15">#REF!</definedName>
    <definedName name="t8.501.00" localSheetId="4">#REF!</definedName>
    <definedName name="t8.501.00" localSheetId="5">#REF!</definedName>
    <definedName name="t8.501.00" localSheetId="13">#REF!</definedName>
    <definedName name="t8.501.00" localSheetId="6">#REF!</definedName>
    <definedName name="t8.501.00" localSheetId="8">#REF!</definedName>
    <definedName name="t8.501.00" localSheetId="7">#REF!</definedName>
    <definedName name="t8.501.00" localSheetId="0">#REF!</definedName>
    <definedName name="t8.501.00">#REF!</definedName>
    <definedName name="T8.900.00" localSheetId="15">#REF!</definedName>
    <definedName name="T8.900.00" localSheetId="4">#REF!</definedName>
    <definedName name="T8.900.00" localSheetId="5">#REF!</definedName>
    <definedName name="T8.900.00" localSheetId="13">#REF!</definedName>
    <definedName name="T8.900.00" localSheetId="6">#REF!</definedName>
    <definedName name="T8.900.00" localSheetId="8">#REF!</definedName>
    <definedName name="T8.900.00" localSheetId="7">#REF!</definedName>
    <definedName name="T8.900.00" localSheetId="0">#REF!</definedName>
    <definedName name="T8.900.00">#REF!</definedName>
    <definedName name="T8.900.01" localSheetId="15">#REF!</definedName>
    <definedName name="T8.900.01" localSheetId="4">#REF!</definedName>
    <definedName name="T8.900.01" localSheetId="5">#REF!</definedName>
    <definedName name="T8.900.01" localSheetId="13">#REF!</definedName>
    <definedName name="T8.900.01" localSheetId="6">#REF!</definedName>
    <definedName name="T8.900.01" localSheetId="8">#REF!</definedName>
    <definedName name="T8.900.01" localSheetId="7">#REF!</definedName>
    <definedName name="T8.900.01" localSheetId="0">#REF!</definedName>
    <definedName name="T8.900.01">#REF!</definedName>
    <definedName name="T8.901.01" localSheetId="15">#REF!</definedName>
    <definedName name="T8.901.01" localSheetId="4">#REF!</definedName>
    <definedName name="T8.901.01" localSheetId="5">#REF!</definedName>
    <definedName name="T8.901.01" localSheetId="13">#REF!</definedName>
    <definedName name="T8.901.01" localSheetId="6">#REF!</definedName>
    <definedName name="T8.901.01" localSheetId="8">#REF!</definedName>
    <definedName name="T8.901.01" localSheetId="7">#REF!</definedName>
    <definedName name="T8.901.01" localSheetId="0">#REF!</definedName>
    <definedName name="T8.901.01">#REF!</definedName>
    <definedName name="T8.910.00" localSheetId="15">#REF!</definedName>
    <definedName name="T8.910.00" localSheetId="4">#REF!</definedName>
    <definedName name="T8.910.00" localSheetId="5">#REF!</definedName>
    <definedName name="T8.910.00" localSheetId="13">#REF!</definedName>
    <definedName name="T8.910.00" localSheetId="6">#REF!</definedName>
    <definedName name="T8.910.00" localSheetId="8">#REF!</definedName>
    <definedName name="T8.910.00" localSheetId="7">#REF!</definedName>
    <definedName name="T8.910.00" localSheetId="0">#REF!</definedName>
    <definedName name="T8.910.00">#REF!</definedName>
    <definedName name="T9.002.00" localSheetId="15">#REF!</definedName>
    <definedName name="T9.002.00" localSheetId="12">[3]TRANSPORTE!$J$38</definedName>
    <definedName name="T9.002.00" localSheetId="13">#REF!</definedName>
    <definedName name="T9.002.00" localSheetId="6">#REF!</definedName>
    <definedName name="T9.002.00" localSheetId="11">#REF!</definedName>
    <definedName name="T9.002.00" localSheetId="8">#REF!</definedName>
    <definedName name="T9.002.00" localSheetId="7">#REF!</definedName>
    <definedName name="T9.002.00">#REF!</definedName>
    <definedName name="T9.002.06" localSheetId="15">#REF!</definedName>
    <definedName name="T9.002.06" localSheetId="4">#REF!</definedName>
    <definedName name="T9.002.06" localSheetId="12">#REF!</definedName>
    <definedName name="T9.002.06" localSheetId="5">#REF!</definedName>
    <definedName name="T9.002.06" localSheetId="13">#REF!</definedName>
    <definedName name="T9.002.06" localSheetId="6">#REF!</definedName>
    <definedName name="T9.002.06" localSheetId="11">#REF!</definedName>
    <definedName name="T9.002.06" localSheetId="8">#REF!</definedName>
    <definedName name="T9.002.06" localSheetId="7">#REF!</definedName>
    <definedName name="T9.002.06" localSheetId="0">#REF!</definedName>
    <definedName name="T9.002.06">#REF!</definedName>
    <definedName name="TABELA">#REF!</definedName>
    <definedName name="Tabela_1" localSheetId="8">#REF!</definedName>
    <definedName name="Tabela_1" localSheetId="7">#REF!</definedName>
    <definedName name="Tabela_1">#REF!</definedName>
    <definedName name="Tabela_1_6" localSheetId="8">#REF!</definedName>
    <definedName name="Tabela_1_6" localSheetId="7">#REF!</definedName>
    <definedName name="Tabela_1_6">#REF!</definedName>
    <definedName name="Tabela_10" localSheetId="8">#REF!</definedName>
    <definedName name="Tabela_10" localSheetId="7">#REF!</definedName>
    <definedName name="Tabela_10">#REF!</definedName>
    <definedName name="Tabela_2" localSheetId="8">#REF!</definedName>
    <definedName name="Tabela_2" localSheetId="7">#REF!</definedName>
    <definedName name="Tabela_2">#REF!</definedName>
    <definedName name="Tabela_3" localSheetId="8">#REF!</definedName>
    <definedName name="Tabela_3" localSheetId="7">#REF!</definedName>
    <definedName name="Tabela_3">#REF!</definedName>
    <definedName name="Tabela_4" localSheetId="8">#REF!</definedName>
    <definedName name="Tabela_4" localSheetId="7">#REF!</definedName>
    <definedName name="Tabela_4">#REF!</definedName>
    <definedName name="Tabela_5" localSheetId="8">#REF!</definedName>
    <definedName name="Tabela_5" localSheetId="7">#REF!</definedName>
    <definedName name="Tabela_5">#REF!</definedName>
    <definedName name="Tabela_5_1" localSheetId="8">#REF!</definedName>
    <definedName name="Tabela_5_1" localSheetId="7">#REF!</definedName>
    <definedName name="Tabela_5_1">#REF!</definedName>
    <definedName name="Tabela_6" localSheetId="8">#REF!</definedName>
    <definedName name="Tabela_6" localSheetId="7">#REF!</definedName>
    <definedName name="Tabela_6">#REF!</definedName>
    <definedName name="TACS" localSheetId="15">#REF!</definedName>
    <definedName name="TACS" localSheetId="4">#REF!</definedName>
    <definedName name="TACS" localSheetId="12">#REF!</definedName>
    <definedName name="TACS" localSheetId="5">#REF!</definedName>
    <definedName name="TACS" localSheetId="13">#REF!</definedName>
    <definedName name="TACS" localSheetId="6">#REF!</definedName>
    <definedName name="TACS" localSheetId="8">#REF!</definedName>
    <definedName name="TACS" localSheetId="7">#REF!</definedName>
    <definedName name="TACS" localSheetId="0">#REF!</definedName>
    <definedName name="TACS">#REF!</definedName>
    <definedName name="tapaburaco" localSheetId="15">#REF!</definedName>
    <definedName name="tapaburaco" localSheetId="12">'[3]T. BURACO'!$F$41</definedName>
    <definedName name="tapaburaco" localSheetId="13">#REF!</definedName>
    <definedName name="tapaburaco" localSheetId="6">#REF!</definedName>
    <definedName name="tapaburaco" localSheetId="11">#REF!</definedName>
    <definedName name="tapaburaco" localSheetId="8">#REF!</definedName>
    <definedName name="tapaburaco" localSheetId="7">#REF!</definedName>
    <definedName name="tapaburaco">#REF!</definedName>
    <definedName name="TAPAEMERGENCIAL" localSheetId="15">#REF!</definedName>
    <definedName name="TAPAEMERGENCIAL" localSheetId="4">#REF!</definedName>
    <definedName name="TAPAEMERGENCIAL" localSheetId="12">#REF!</definedName>
    <definedName name="TAPAEMERGENCIAL" localSheetId="5">#REF!</definedName>
    <definedName name="TAPAEMERGENCIAL" localSheetId="13">#REF!</definedName>
    <definedName name="TAPAEMERGENCIAL" localSheetId="6">#REF!</definedName>
    <definedName name="TAPAEMERGENCIAL" localSheetId="11">#REF!</definedName>
    <definedName name="TAPAEMERGENCIAL" localSheetId="8">#REF!</definedName>
    <definedName name="TAPAEMERGENCIAL" localSheetId="7">#REF!</definedName>
    <definedName name="TAPAEMERGENCIAL" localSheetId="0">#REF!</definedName>
    <definedName name="TAPAEMERGENCIAL">#REF!</definedName>
    <definedName name="TaxaJuros" localSheetId="15">#REF!</definedName>
    <definedName name="TaxaJuros" localSheetId="4">#REF!</definedName>
    <definedName name="TaxaJuros" localSheetId="12">#REF!</definedName>
    <definedName name="TaxaJuros" localSheetId="5">#REF!</definedName>
    <definedName name="TaxaJuros" localSheetId="13">#REF!</definedName>
    <definedName name="TaxaJuros" localSheetId="11">#REF!</definedName>
    <definedName name="TaxaJuros" localSheetId="8">#REF!</definedName>
    <definedName name="TaxaJuros" localSheetId="7">#REF!</definedName>
    <definedName name="TaxaJuros" localSheetId="0">#REF!</definedName>
    <definedName name="TaxaJuros">#REF!</definedName>
    <definedName name="TB" localSheetId="12">[11]Serviços!$G$26</definedName>
    <definedName name="TB" localSheetId="8">#REF!</definedName>
    <definedName name="TB" localSheetId="7">#REF!</definedName>
    <definedName name="TB">#REF!</definedName>
    <definedName name="TCAP" localSheetId="15">#REF!</definedName>
    <definedName name="TCAP" localSheetId="12">[16]T_CAP!$H$65</definedName>
    <definedName name="TCAP" localSheetId="13">#REF!</definedName>
    <definedName name="TCAP" localSheetId="11">#REF!</definedName>
    <definedName name="TCAP" localSheetId="8">#REF!</definedName>
    <definedName name="TCAP" localSheetId="7">#REF!</definedName>
    <definedName name="TCAP">#REF!</definedName>
    <definedName name="TCC" localSheetId="12">[11]Serviços!$G$57</definedName>
    <definedName name="TCC" localSheetId="8">#REF!</definedName>
    <definedName name="TCC" localSheetId="7">#REF!</definedName>
    <definedName name="TCC">#REF!</definedName>
    <definedName name="TCM" localSheetId="15">#REF!</definedName>
    <definedName name="TCM" localSheetId="12">[16]T_CM30!$H$65</definedName>
    <definedName name="TCM" localSheetId="13">#REF!</definedName>
    <definedName name="TCM" localSheetId="11">#REF!</definedName>
    <definedName name="TCM" localSheetId="8">#REF!</definedName>
    <definedName name="TCM" localSheetId="7">#REF!</definedName>
    <definedName name="TCM">#REF!</definedName>
    <definedName name="TENROCAMENTO" localSheetId="15">#REF!</definedName>
    <definedName name="TENROCAMENTO" localSheetId="4">#REF!</definedName>
    <definedName name="TENROCAMENTO" localSheetId="12">#REF!</definedName>
    <definedName name="TENROCAMENTO" localSheetId="5">#REF!</definedName>
    <definedName name="TENROCAMENTO" localSheetId="13">#REF!</definedName>
    <definedName name="TENROCAMENTO" localSheetId="6">#REF!</definedName>
    <definedName name="TENROCAMENTO" localSheetId="11">#REF!</definedName>
    <definedName name="TENROCAMENTO" localSheetId="8">#REF!</definedName>
    <definedName name="TENROCAMENTO" localSheetId="7">#REF!</definedName>
    <definedName name="TENROCAMENTO" localSheetId="0">#REF!</definedName>
    <definedName name="TENROCAMENTO">#REF!</definedName>
    <definedName name="Teor" localSheetId="12">[29]Teor!$A$3:$A$7</definedName>
    <definedName name="Teor" localSheetId="6">#REF!</definedName>
    <definedName name="Teor" localSheetId="8">#REF!</definedName>
    <definedName name="Teor" localSheetId="7">#REF!</definedName>
    <definedName name="Teor">#REF!</definedName>
    <definedName name="terra" localSheetId="15">#REF!</definedName>
    <definedName name="terra" localSheetId="4">#REF!</definedName>
    <definedName name="terra" localSheetId="12">#REF!</definedName>
    <definedName name="terra" localSheetId="5">#REF!</definedName>
    <definedName name="terra" localSheetId="13">#REF!</definedName>
    <definedName name="terra" localSheetId="6">#REF!</definedName>
    <definedName name="terra" localSheetId="11">#REF!</definedName>
    <definedName name="terra" localSheetId="8">#REF!</definedName>
    <definedName name="terra" localSheetId="7">#REF!</definedName>
    <definedName name="terra" localSheetId="0">#REF!</definedName>
    <definedName name="terra">#REF!</definedName>
    <definedName name="TEST1" localSheetId="15">#REF!</definedName>
    <definedName name="TEST1" localSheetId="4">#REF!</definedName>
    <definedName name="TEST1" localSheetId="12">#REF!</definedName>
    <definedName name="TEST1" localSheetId="5">#REF!</definedName>
    <definedName name="TEST1" localSheetId="13">#REF!</definedName>
    <definedName name="TEST1" localSheetId="6">#REF!</definedName>
    <definedName name="TEST1" localSheetId="11">#REF!</definedName>
    <definedName name="TEST1" localSheetId="8">#REF!</definedName>
    <definedName name="TEST1" localSheetId="7">#REF!</definedName>
    <definedName name="TEST1" localSheetId="0">#REF!</definedName>
    <definedName name="TEST1">#REF!</definedName>
    <definedName name="TEST10" localSheetId="15">#REF!</definedName>
    <definedName name="TEST10" localSheetId="4">#REF!</definedName>
    <definedName name="TEST10" localSheetId="12">#REF!</definedName>
    <definedName name="TEST10" localSheetId="5">#REF!</definedName>
    <definedName name="TEST10" localSheetId="13">#REF!</definedName>
    <definedName name="TEST10" localSheetId="6">#REF!</definedName>
    <definedName name="TEST10" localSheetId="8">#REF!</definedName>
    <definedName name="TEST10" localSheetId="7">#REF!</definedName>
    <definedName name="TEST10" localSheetId="0">#REF!</definedName>
    <definedName name="TEST10">#REF!</definedName>
    <definedName name="TEST11" localSheetId="15">#REF!</definedName>
    <definedName name="TEST11" localSheetId="4">#REF!</definedName>
    <definedName name="TEST11" localSheetId="5">#REF!</definedName>
    <definedName name="TEST11" localSheetId="13">#REF!</definedName>
    <definedName name="TEST11" localSheetId="6">#REF!</definedName>
    <definedName name="TEST11" localSheetId="8">#REF!</definedName>
    <definedName name="TEST11" localSheetId="7">#REF!</definedName>
    <definedName name="TEST11" localSheetId="0">#REF!</definedName>
    <definedName name="TEST11">#REF!</definedName>
    <definedName name="TEST12" localSheetId="15">#REF!</definedName>
    <definedName name="TEST12" localSheetId="4">#REF!</definedName>
    <definedName name="TEST12" localSheetId="5">#REF!</definedName>
    <definedName name="TEST12" localSheetId="13">#REF!</definedName>
    <definedName name="TEST12" localSheetId="6">#REF!</definedName>
    <definedName name="TEST12" localSheetId="8">#REF!</definedName>
    <definedName name="TEST12" localSheetId="7">#REF!</definedName>
    <definedName name="TEST12" localSheetId="0">#REF!</definedName>
    <definedName name="TEST12">#REF!</definedName>
    <definedName name="TEST13" localSheetId="15">#REF!</definedName>
    <definedName name="TEST13" localSheetId="4">#REF!</definedName>
    <definedName name="TEST13" localSheetId="5">#REF!</definedName>
    <definedName name="TEST13" localSheetId="13">#REF!</definedName>
    <definedName name="TEST13" localSheetId="6">#REF!</definedName>
    <definedName name="TEST13" localSheetId="8">#REF!</definedName>
    <definedName name="TEST13" localSheetId="7">#REF!</definedName>
    <definedName name="TEST13" localSheetId="0">#REF!</definedName>
    <definedName name="TEST13">#REF!</definedName>
    <definedName name="TEST14" localSheetId="15">#REF!</definedName>
    <definedName name="TEST14" localSheetId="4">#REF!</definedName>
    <definedName name="TEST14" localSheetId="5">#REF!</definedName>
    <definedName name="TEST14" localSheetId="13">#REF!</definedName>
    <definedName name="TEST14" localSheetId="6">#REF!</definedName>
    <definedName name="TEST14" localSheetId="8">#REF!</definedName>
    <definedName name="TEST14" localSheetId="7">#REF!</definedName>
    <definedName name="TEST14" localSheetId="0">#REF!</definedName>
    <definedName name="TEST14">#REF!</definedName>
    <definedName name="TEST15" localSheetId="15">#REF!</definedName>
    <definedName name="TEST15" localSheetId="4">#REF!</definedName>
    <definedName name="TEST15" localSheetId="5">#REF!</definedName>
    <definedName name="TEST15" localSheetId="13">#REF!</definedName>
    <definedName name="TEST15" localSheetId="6">#REF!</definedName>
    <definedName name="TEST15" localSheetId="8">#REF!</definedName>
    <definedName name="TEST15" localSheetId="7">#REF!</definedName>
    <definedName name="TEST15" localSheetId="0">#REF!</definedName>
    <definedName name="TEST15">#REF!</definedName>
    <definedName name="TEST16" localSheetId="15">#REF!</definedName>
    <definedName name="TEST16" localSheetId="4">#REF!</definedName>
    <definedName name="TEST16" localSheetId="5">#REF!</definedName>
    <definedName name="TEST16" localSheetId="13">#REF!</definedName>
    <definedName name="TEST16" localSheetId="6">#REF!</definedName>
    <definedName name="TEST16" localSheetId="8">#REF!</definedName>
    <definedName name="TEST16" localSheetId="7">#REF!</definedName>
    <definedName name="TEST16" localSheetId="0">#REF!</definedName>
    <definedName name="TEST16">#REF!</definedName>
    <definedName name="TEST17" localSheetId="15">#REF!</definedName>
    <definedName name="TEST17" localSheetId="4">#REF!</definedName>
    <definedName name="TEST17" localSheetId="5">#REF!</definedName>
    <definedName name="TEST17" localSheetId="13">#REF!</definedName>
    <definedName name="TEST17" localSheetId="6">#REF!</definedName>
    <definedName name="TEST17" localSheetId="8">#REF!</definedName>
    <definedName name="TEST17" localSheetId="7">#REF!</definedName>
    <definedName name="TEST17" localSheetId="0">#REF!</definedName>
    <definedName name="TEST17">#REF!</definedName>
    <definedName name="TEST18" localSheetId="15">#REF!</definedName>
    <definedName name="TEST18" localSheetId="4">#REF!</definedName>
    <definedName name="TEST18" localSheetId="5">#REF!</definedName>
    <definedName name="TEST18" localSheetId="13">#REF!</definedName>
    <definedName name="TEST18" localSheetId="6">#REF!</definedName>
    <definedName name="TEST18" localSheetId="8">#REF!</definedName>
    <definedName name="TEST18" localSheetId="7">#REF!</definedName>
    <definedName name="TEST18" localSheetId="0">#REF!</definedName>
    <definedName name="TEST18">#REF!</definedName>
    <definedName name="TEST19" localSheetId="15">#REF!</definedName>
    <definedName name="TEST19" localSheetId="4">#REF!</definedName>
    <definedName name="TEST19" localSheetId="5">#REF!</definedName>
    <definedName name="TEST19" localSheetId="13">#REF!</definedName>
    <definedName name="TEST19" localSheetId="6">#REF!</definedName>
    <definedName name="TEST19" localSheetId="8">#REF!</definedName>
    <definedName name="TEST19" localSheetId="7">#REF!</definedName>
    <definedName name="TEST19" localSheetId="0">#REF!</definedName>
    <definedName name="TEST19">#REF!</definedName>
    <definedName name="TEST2" localSheetId="15">#REF!</definedName>
    <definedName name="TEST2" localSheetId="4">#REF!</definedName>
    <definedName name="TEST2" localSheetId="5">#REF!</definedName>
    <definedName name="TEST2" localSheetId="13">#REF!</definedName>
    <definedName name="TEST2" localSheetId="6">#REF!</definedName>
    <definedName name="TEST2" localSheetId="8">#REF!</definedName>
    <definedName name="TEST2" localSheetId="7">#REF!</definedName>
    <definedName name="TEST2" localSheetId="0">#REF!</definedName>
    <definedName name="TEST2">#REF!</definedName>
    <definedName name="TEST20" localSheetId="15">#REF!</definedName>
    <definedName name="TEST20" localSheetId="4">#REF!</definedName>
    <definedName name="TEST20" localSheetId="5">#REF!</definedName>
    <definedName name="TEST20" localSheetId="13">#REF!</definedName>
    <definedName name="TEST20" localSheetId="6">#REF!</definedName>
    <definedName name="TEST20" localSheetId="8">#REF!</definedName>
    <definedName name="TEST20" localSheetId="7">#REF!</definedName>
    <definedName name="TEST20" localSheetId="0">#REF!</definedName>
    <definedName name="TEST20">#REF!</definedName>
    <definedName name="TEST21" localSheetId="15">#REF!</definedName>
    <definedName name="TEST21" localSheetId="4">#REF!</definedName>
    <definedName name="TEST21" localSheetId="5">#REF!</definedName>
    <definedName name="TEST21" localSheetId="13">#REF!</definedName>
    <definedName name="TEST21" localSheetId="6">#REF!</definedName>
    <definedName name="TEST21" localSheetId="8">#REF!</definedName>
    <definedName name="TEST21" localSheetId="7">#REF!</definedName>
    <definedName name="TEST21" localSheetId="0">#REF!</definedName>
    <definedName name="TEST21">#REF!</definedName>
    <definedName name="TEST22" localSheetId="15">#REF!</definedName>
    <definedName name="TEST22" localSheetId="4">#REF!</definedName>
    <definedName name="TEST22" localSheetId="5">#REF!</definedName>
    <definedName name="TEST22" localSheetId="13">#REF!</definedName>
    <definedName name="TEST22" localSheetId="6">#REF!</definedName>
    <definedName name="TEST22" localSheetId="8">#REF!</definedName>
    <definedName name="TEST22" localSheetId="7">#REF!</definedName>
    <definedName name="TEST22" localSheetId="0">#REF!</definedName>
    <definedName name="TEST22">#REF!</definedName>
    <definedName name="TEST3" localSheetId="15">#REF!</definedName>
    <definedName name="TEST3" localSheetId="4">#REF!</definedName>
    <definedName name="TEST3" localSheetId="5">#REF!</definedName>
    <definedName name="TEST3" localSheetId="13">#REF!</definedName>
    <definedName name="TEST3" localSheetId="6">#REF!</definedName>
    <definedName name="TEST3" localSheetId="8">#REF!</definedName>
    <definedName name="TEST3" localSheetId="7">#REF!</definedName>
    <definedName name="TEST3" localSheetId="0">#REF!</definedName>
    <definedName name="TEST3">#REF!</definedName>
    <definedName name="TEST4" localSheetId="15">#REF!</definedName>
    <definedName name="TEST4" localSheetId="4">#REF!</definedName>
    <definedName name="TEST4" localSheetId="5">#REF!</definedName>
    <definedName name="TEST4" localSheetId="13">#REF!</definedName>
    <definedName name="TEST4" localSheetId="6">#REF!</definedName>
    <definedName name="TEST4" localSheetId="8">#REF!</definedName>
    <definedName name="TEST4" localSheetId="7">#REF!</definedName>
    <definedName name="TEST4" localSheetId="0">#REF!</definedName>
    <definedName name="TEST4">#REF!</definedName>
    <definedName name="TEST5" localSheetId="15">#REF!</definedName>
    <definedName name="TEST5" localSheetId="4">#REF!</definedName>
    <definedName name="TEST5" localSheetId="5">#REF!</definedName>
    <definedName name="TEST5" localSheetId="13">#REF!</definedName>
    <definedName name="TEST5" localSheetId="6">#REF!</definedName>
    <definedName name="TEST5" localSheetId="8">#REF!</definedName>
    <definedName name="TEST5" localSheetId="7">#REF!</definedName>
    <definedName name="TEST5" localSheetId="0">#REF!</definedName>
    <definedName name="TEST5">#REF!</definedName>
    <definedName name="TEST6" localSheetId="15">#REF!</definedName>
    <definedName name="TEST6" localSheetId="4">#REF!</definedName>
    <definedName name="TEST6" localSheetId="5">#REF!</definedName>
    <definedName name="TEST6" localSheetId="13">#REF!</definedName>
    <definedName name="TEST6" localSheetId="6">#REF!</definedName>
    <definedName name="TEST6" localSheetId="8">#REF!</definedName>
    <definedName name="TEST6" localSheetId="7">#REF!</definedName>
    <definedName name="TEST6" localSheetId="0">#REF!</definedName>
    <definedName name="TEST6">#REF!</definedName>
    <definedName name="TEST7" localSheetId="15">#REF!</definedName>
    <definedName name="TEST7" localSheetId="4">#REF!</definedName>
    <definedName name="TEST7" localSheetId="5">#REF!</definedName>
    <definedName name="TEST7" localSheetId="13">#REF!</definedName>
    <definedName name="TEST7" localSheetId="6">#REF!</definedName>
    <definedName name="TEST7" localSheetId="8">#REF!</definedName>
    <definedName name="TEST7" localSheetId="7">#REF!</definedName>
    <definedName name="TEST7" localSheetId="0">#REF!</definedName>
    <definedName name="TEST7">#REF!</definedName>
    <definedName name="TEST8" localSheetId="15">#REF!</definedName>
    <definedName name="TEST8" localSheetId="4">#REF!</definedName>
    <definedName name="TEST8" localSheetId="5">#REF!</definedName>
    <definedName name="TEST8" localSheetId="13">#REF!</definedName>
    <definedName name="TEST8" localSheetId="6">#REF!</definedName>
    <definedName name="TEST8" localSheetId="8">#REF!</definedName>
    <definedName name="TEST8" localSheetId="7">#REF!</definedName>
    <definedName name="TEST8" localSheetId="0">#REF!</definedName>
    <definedName name="TEST8">#REF!</definedName>
    <definedName name="TEST9" localSheetId="15">#REF!</definedName>
    <definedName name="TEST9" localSheetId="4">#REF!</definedName>
    <definedName name="TEST9" localSheetId="5">#REF!</definedName>
    <definedName name="TEST9" localSheetId="13">#REF!</definedName>
    <definedName name="TEST9" localSheetId="6">#REF!</definedName>
    <definedName name="TEST9" localSheetId="8">#REF!</definedName>
    <definedName name="TEST9" localSheetId="7">#REF!</definedName>
    <definedName name="TEST9" localSheetId="0">#REF!</definedName>
    <definedName name="TEST9">#REF!</definedName>
    <definedName name="teste" localSheetId="8">#REF!</definedName>
    <definedName name="teste" localSheetId="7">#REF!</definedName>
    <definedName name="teste">#REF!</definedName>
    <definedName name="teste1" localSheetId="8">#REF!</definedName>
    <definedName name="teste1" localSheetId="7">#REF!</definedName>
    <definedName name="teste1">#REF!</definedName>
    <definedName name="teste10" localSheetId="8">#REF!</definedName>
    <definedName name="teste10" localSheetId="7">#REF!</definedName>
    <definedName name="teste10">#REF!</definedName>
    <definedName name="teste2" localSheetId="8">#REF!</definedName>
    <definedName name="teste2" localSheetId="7">#REF!</definedName>
    <definedName name="teste2">#REF!</definedName>
    <definedName name="teste3" localSheetId="8">#REF!</definedName>
    <definedName name="teste3" localSheetId="7">#REF!</definedName>
    <definedName name="teste3">#REF!</definedName>
    <definedName name="TESTE4" localSheetId="8">#REF!</definedName>
    <definedName name="TESTE4" localSheetId="7">#REF!</definedName>
    <definedName name="TESTE4">#REF!</definedName>
    <definedName name="TESTE4teste" localSheetId="8">#REF!</definedName>
    <definedName name="TESTE4teste" localSheetId="7">#REF!</definedName>
    <definedName name="TESTE4teste">#REF!</definedName>
    <definedName name="TESTES" localSheetId="8">#REF!</definedName>
    <definedName name="TESTES" localSheetId="7">#REF!</definedName>
    <definedName name="TESTES">#REF!</definedName>
    <definedName name="TESTHKEY" localSheetId="15">#REF!</definedName>
    <definedName name="TESTHKEY" localSheetId="4">#REF!</definedName>
    <definedName name="TESTHKEY" localSheetId="5">#REF!</definedName>
    <definedName name="TESTHKEY" localSheetId="13">#REF!</definedName>
    <definedName name="TESTHKEY" localSheetId="6">#REF!</definedName>
    <definedName name="TESTHKEY" localSheetId="8">#REF!</definedName>
    <definedName name="TESTHKEY" localSheetId="7">#REF!</definedName>
    <definedName name="TESTHKEY" localSheetId="0">#REF!</definedName>
    <definedName name="TESTHKEY">#REF!</definedName>
    <definedName name="TESTKEYS" localSheetId="15">#REF!</definedName>
    <definedName name="TESTKEYS" localSheetId="4">#REF!</definedName>
    <definedName name="TESTKEYS" localSheetId="5">#REF!</definedName>
    <definedName name="TESTKEYS" localSheetId="13">#REF!</definedName>
    <definedName name="TESTKEYS" localSheetId="6">#REF!</definedName>
    <definedName name="TESTKEYS" localSheetId="8">#REF!</definedName>
    <definedName name="TESTKEYS" localSheetId="7">#REF!</definedName>
    <definedName name="TESTKEYS" localSheetId="0">#REF!</definedName>
    <definedName name="TESTKEYS">#REF!</definedName>
    <definedName name="TESTVKEY" localSheetId="15">#REF!</definedName>
    <definedName name="TESTVKEY" localSheetId="4">#REF!</definedName>
    <definedName name="TESTVKEY" localSheetId="5">#REF!</definedName>
    <definedName name="TESTVKEY" localSheetId="13">#REF!</definedName>
    <definedName name="TESTVKEY" localSheetId="6">#REF!</definedName>
    <definedName name="TESTVKEY" localSheetId="8">#REF!</definedName>
    <definedName name="TESTVKEY" localSheetId="7">#REF!</definedName>
    <definedName name="TESTVKEY" localSheetId="0">#REF!</definedName>
    <definedName name="TESTVKEY">#REF!</definedName>
    <definedName name="TETO" localSheetId="8">#REF!</definedName>
    <definedName name="TETO">[27]MEMORIAL!$AE$67</definedName>
    <definedName name="TipoObra">2</definedName>
    <definedName name="TipoRel">"Vale"</definedName>
    <definedName name="TITULO" localSheetId="8">#REF!</definedName>
    <definedName name="TITULO" localSheetId="7">#REF!</definedName>
    <definedName name="TITULO" localSheetId="14">#REF!</definedName>
    <definedName name="TITULO">#REF!</definedName>
    <definedName name="_xlnm.Print_Titles" localSheetId="15">'CALÇADA E ACESS.'!$4:$7</definedName>
    <definedName name="_xlnm.Print_Titles" localSheetId="5">CPU!$3:$7</definedName>
    <definedName name="_xlnm.Print_Titles" localSheetId="13">'DISP. DRENAGEM'!$2:$3</definedName>
    <definedName name="_xlnm.Print_Titles" localSheetId="11">DRENAGEM!$10:$14</definedName>
    <definedName name="_xlnm.Print_Titles" localSheetId="2">'ORÇ. SINTÉTICO'!$3:$8</definedName>
    <definedName name="TLMBCS" localSheetId="15">#REF!</definedName>
    <definedName name="TLMBCS" localSheetId="4">#REF!</definedName>
    <definedName name="TLMBCS" localSheetId="5">#REF!</definedName>
    <definedName name="TLMBCS" localSheetId="13">#REF!</definedName>
    <definedName name="TLMBCS" localSheetId="6">#REF!</definedName>
    <definedName name="TLMBCS" localSheetId="11">#REF!</definedName>
    <definedName name="TLMBCS" localSheetId="8">#REF!</definedName>
    <definedName name="TLMBCS" localSheetId="7">#REF!</definedName>
    <definedName name="TLMBCS" localSheetId="0">#REF!</definedName>
    <definedName name="TLMBCS">#REF!</definedName>
    <definedName name="TOT" localSheetId="15" hidden="1">#REF!</definedName>
    <definedName name="TOT" localSheetId="4" hidden="1">#REF!</definedName>
    <definedName name="TOT" localSheetId="5" hidden="1">#REF!</definedName>
    <definedName name="TOT" localSheetId="13" hidden="1">#REF!</definedName>
    <definedName name="TOT" localSheetId="11" hidden="1">#REF!</definedName>
    <definedName name="TOT" localSheetId="8" hidden="1">#REF!</definedName>
    <definedName name="TOT" localSheetId="7" hidden="1">#REF!</definedName>
    <definedName name="TOT" localSheetId="0" hidden="1">#REF!</definedName>
    <definedName name="TOT" hidden="1">#REF!</definedName>
    <definedName name="TOTAL" localSheetId="15">#REF!</definedName>
    <definedName name="TOTAL" localSheetId="4">#REF!</definedName>
    <definedName name="TOTAL" localSheetId="5">#REF!</definedName>
    <definedName name="TOTAL" localSheetId="13">#REF!</definedName>
    <definedName name="TOTAL" localSheetId="8">#REF!</definedName>
    <definedName name="TOTAL" localSheetId="7">#REF!</definedName>
    <definedName name="TOTAL" localSheetId="0">#REF!</definedName>
    <definedName name="TOTAL">#REF!</definedName>
    <definedName name="TOTGC" localSheetId="15">#REF!</definedName>
    <definedName name="TOTGC" localSheetId="4">#REF!</definedName>
    <definedName name="TOTGC" localSheetId="5">#REF!</definedName>
    <definedName name="TOTGC" localSheetId="13">#REF!</definedName>
    <definedName name="TOTGC" localSheetId="6">#REF!</definedName>
    <definedName name="TOTGC" localSheetId="8">#REF!</definedName>
    <definedName name="TOTGC" localSheetId="7">#REF!</definedName>
    <definedName name="TOTGC" localSheetId="0">#REF!</definedName>
    <definedName name="TOTGC">#REF!</definedName>
    <definedName name="TPM" localSheetId="15">#REF!</definedName>
    <definedName name="TPM" localSheetId="4">#REF!</definedName>
    <definedName name="TPM" localSheetId="5">#REF!</definedName>
    <definedName name="TPM" localSheetId="13">#REF!</definedName>
    <definedName name="TPM" localSheetId="8">#REF!</definedName>
    <definedName name="TPM" localSheetId="7">#REF!</definedName>
    <definedName name="TPM" localSheetId="0">#REF!</definedName>
    <definedName name="TPM">#REF!</definedName>
    <definedName name="TR" localSheetId="12">[9]INDICES!$C$127</definedName>
    <definedName name="TR" localSheetId="8">#REF!</definedName>
    <definedName name="TR" localSheetId="7">#REF!</definedName>
    <definedName name="TR">#REF!</definedName>
    <definedName name="TrabAnual" localSheetId="15">#REF!</definedName>
    <definedName name="TrabAnual" localSheetId="4">#REF!</definedName>
    <definedName name="TrabAnual" localSheetId="12">#REF!</definedName>
    <definedName name="TrabAnual" localSheetId="5">#REF!</definedName>
    <definedName name="TrabAnual" localSheetId="13">#REF!</definedName>
    <definedName name="TrabAnual" localSheetId="11">#REF!</definedName>
    <definedName name="TrabAnual" localSheetId="8">#REF!</definedName>
    <definedName name="TrabAnual" localSheetId="7">#REF!</definedName>
    <definedName name="TrabAnual" localSheetId="0">#REF!</definedName>
    <definedName name="TrabAnual">#REF!</definedName>
    <definedName name="TRAÇO">#REF!</definedName>
    <definedName name="TRAF" localSheetId="15">#REF!</definedName>
    <definedName name="TRAF" localSheetId="4">#REF!</definedName>
    <definedName name="TRAF" localSheetId="12">[33]RESUMO_AUT1!#REF!</definedName>
    <definedName name="TRAF" localSheetId="5">#REF!</definedName>
    <definedName name="TRAF" localSheetId="13">#REF!</definedName>
    <definedName name="TRAF" localSheetId="11">#REF!</definedName>
    <definedName name="TRAF" localSheetId="8">#REF!</definedName>
    <definedName name="TRAF" localSheetId="7">#REF!</definedName>
    <definedName name="TRAF" localSheetId="2">#REF!</definedName>
    <definedName name="TRAF" localSheetId="1">#REF!</definedName>
    <definedName name="TRAF" localSheetId="0">#REF!</definedName>
    <definedName name="TRAF">#REF!</definedName>
    <definedName name="TRANSPORTE10" localSheetId="15">#REF!</definedName>
    <definedName name="TRANSPORTE10" localSheetId="4">#REF!</definedName>
    <definedName name="TRANSPORTE10" localSheetId="12">#REF!</definedName>
    <definedName name="TRANSPORTE10" localSheetId="5">#REF!</definedName>
    <definedName name="TRANSPORTE10" localSheetId="13">#REF!</definedName>
    <definedName name="TRANSPORTE10" localSheetId="6">#REF!</definedName>
    <definedName name="TRANSPORTE10" localSheetId="11">#REF!</definedName>
    <definedName name="TRANSPORTE10" localSheetId="8">#REF!</definedName>
    <definedName name="TRANSPORTE10" localSheetId="7">#REF!</definedName>
    <definedName name="TRANSPORTE10" localSheetId="0">#REF!</definedName>
    <definedName name="TRANSPORTE10">#REF!</definedName>
    <definedName name="TRANSPORTE4T" localSheetId="15">#REF!</definedName>
    <definedName name="TRANSPORTE4T" localSheetId="12">[3]TRANSPORTE!$J$86</definedName>
    <definedName name="TRANSPORTE4T" localSheetId="13">#REF!</definedName>
    <definedName name="TRANSPORTE4T" localSheetId="6">#REF!</definedName>
    <definedName name="TRANSPORTE4T" localSheetId="11">#REF!</definedName>
    <definedName name="TRANSPORTE4T" localSheetId="8">#REF!</definedName>
    <definedName name="TRANSPORTE4T" localSheetId="7">#REF!</definedName>
    <definedName name="TRANSPORTE4T">#REF!</definedName>
    <definedName name="TRANSPORTE5M" localSheetId="15">#REF!</definedName>
    <definedName name="TRANSPORTE5M" localSheetId="12">[3]TRANSPORTE!$J$36</definedName>
    <definedName name="TRANSPORTE5M" localSheetId="13">#REF!</definedName>
    <definedName name="TRANSPORTE5M" localSheetId="6">#REF!</definedName>
    <definedName name="TRANSPORTE5M" localSheetId="11">#REF!</definedName>
    <definedName name="TRANSPORTE5M" localSheetId="8">#REF!</definedName>
    <definedName name="TRANSPORTE5M" localSheetId="7">#REF!</definedName>
    <definedName name="TRANSPORTE5M">#REF!</definedName>
    <definedName name="TRANSPORTEBASEMANUAL" localSheetId="15">#REF!</definedName>
    <definedName name="TRANSPORTEBASEMANUAL" localSheetId="4">#REF!</definedName>
    <definedName name="TRANSPORTEBASEMANUAL" localSheetId="12">#REF!</definedName>
    <definedName name="TRANSPORTEBASEMANUAL" localSheetId="5">#REF!</definedName>
    <definedName name="TRANSPORTEBASEMANUAL" localSheetId="13">#REF!</definedName>
    <definedName name="TRANSPORTEBASEMANUAL" localSheetId="6">#REF!</definedName>
    <definedName name="TRANSPORTEBASEMANUAL" localSheetId="11">#REF!</definedName>
    <definedName name="TRANSPORTEBASEMANUAL" localSheetId="8">#REF!</definedName>
    <definedName name="TRANSPORTEBASEMANUAL" localSheetId="7">#REF!</definedName>
    <definedName name="TRANSPORTEBASEMANUAL" localSheetId="0">#REF!</definedName>
    <definedName name="TRANSPORTEBASEMANUAL">#REF!</definedName>
    <definedName name="TRANSPORTECAPAMANUAL" localSheetId="15">#REF!</definedName>
    <definedName name="TRANSPORTECAPAMANUAL" localSheetId="4">#REF!</definedName>
    <definedName name="TRANSPORTECAPAMANUAL" localSheetId="12">#REF!</definedName>
    <definedName name="TRANSPORTECAPAMANUAL" localSheetId="5">#REF!</definedName>
    <definedName name="TRANSPORTECAPAMANUAL" localSheetId="13">#REF!</definedName>
    <definedName name="TRANSPORTECAPAMANUAL" localSheetId="6">#REF!</definedName>
    <definedName name="TRANSPORTECAPAMANUAL" localSheetId="11">#REF!</definedName>
    <definedName name="TRANSPORTECAPAMANUAL" localSheetId="8">#REF!</definedName>
    <definedName name="TRANSPORTECAPAMANUAL" localSheetId="7">#REF!</definedName>
    <definedName name="TRANSPORTECAPAMANUAL" localSheetId="0">#REF!</definedName>
    <definedName name="TRANSPORTECAPAMANUAL">#REF!</definedName>
    <definedName name="transportecorreção" localSheetId="15">#REF!</definedName>
    <definedName name="transportecorreção" localSheetId="12">[3]correção!$K$26</definedName>
    <definedName name="transportecorreção" localSheetId="13">#REF!</definedName>
    <definedName name="transportecorreção" localSheetId="6">#REF!</definedName>
    <definedName name="transportecorreção" localSheetId="11">#REF!</definedName>
    <definedName name="transportecorreção" localSheetId="8">#REF!</definedName>
    <definedName name="transportecorreção" localSheetId="7">#REF!</definedName>
    <definedName name="transportecorreção">#REF!</definedName>
    <definedName name="Transporteenrocamento" localSheetId="15">#REF!</definedName>
    <definedName name="Transporteenrocamento" localSheetId="4">#REF!</definedName>
    <definedName name="Transporteenrocamento" localSheetId="12">#REF!</definedName>
    <definedName name="Transporteenrocamento" localSheetId="5">#REF!</definedName>
    <definedName name="Transporteenrocamento" localSheetId="13">#REF!</definedName>
    <definedName name="Transporteenrocamento" localSheetId="6">#REF!</definedName>
    <definedName name="Transporteenrocamento" localSheetId="11">#REF!</definedName>
    <definedName name="Transporteenrocamento" localSheetId="8">#REF!</definedName>
    <definedName name="Transporteenrocamento" localSheetId="7">#REF!</definedName>
    <definedName name="Transporteenrocamento" localSheetId="0">#REF!</definedName>
    <definedName name="Transporteenrocamento">#REF!</definedName>
    <definedName name="TRANSPORTEESPECIAL" localSheetId="15">#REF!</definedName>
    <definedName name="TRANSPORTEESPECIAL" localSheetId="12">[3]TRANSPORTE!$J$17</definedName>
    <definedName name="TRANSPORTEESPECIAL" localSheetId="13">#REF!</definedName>
    <definedName name="TRANSPORTEESPECIAL" localSheetId="6">#REF!</definedName>
    <definedName name="TRANSPORTEESPECIAL" localSheetId="11">#REF!</definedName>
    <definedName name="TRANSPORTEESPECIAL" localSheetId="8">#REF!</definedName>
    <definedName name="TRANSPORTEESPECIAL" localSheetId="7">#REF!</definedName>
    <definedName name="TRANSPORTEESPECIAL">#REF!</definedName>
    <definedName name="TRANSPORTELOCAL" localSheetId="15">#REF!</definedName>
    <definedName name="TRANSPORTELOCAL" localSheetId="4">#REF!</definedName>
    <definedName name="TRANSPORTELOCAL" localSheetId="12">#REF!</definedName>
    <definedName name="TRANSPORTELOCAL" localSheetId="5">#REF!</definedName>
    <definedName name="TRANSPORTELOCAL" localSheetId="13">#REF!</definedName>
    <definedName name="TRANSPORTELOCAL" localSheetId="6">#REF!</definedName>
    <definedName name="TRANSPORTELOCAL" localSheetId="11">#REF!</definedName>
    <definedName name="TRANSPORTELOCAL" localSheetId="8">#REF!</definedName>
    <definedName name="TRANSPORTELOCAL" localSheetId="7">#REF!</definedName>
    <definedName name="TRANSPORTELOCAL" localSheetId="0">#REF!</definedName>
    <definedName name="TRANSPORTELOCAL">#REF!</definedName>
    <definedName name="TRANSPORTEMATBET" localSheetId="15">#REF!</definedName>
    <definedName name="TRANSPORTEMATBET" localSheetId="12">[3]correção!#REF!</definedName>
    <definedName name="TRANSPORTEMATBET" localSheetId="13">#REF!</definedName>
    <definedName name="TRANSPORTEMATBET" localSheetId="6">#REF!</definedName>
    <definedName name="TRANSPORTEMATBET" localSheetId="11">#REF!</definedName>
    <definedName name="TRANSPORTEMATBET" localSheetId="8">#REF!</definedName>
    <definedName name="TRANSPORTEMATBET" localSheetId="7">#REF!</definedName>
    <definedName name="TRANSPORTEMATBET" localSheetId="0">#REF!</definedName>
    <definedName name="TRANSPORTEMATBET">#REF!</definedName>
    <definedName name="TRANSPORTERECOMPOSIÇÃO" localSheetId="15">#REF!</definedName>
    <definedName name="TRANSPORTERECOMPOSIÇÃO" localSheetId="4">#REF!</definedName>
    <definedName name="TRANSPORTERECOMPOSIÇÃO" localSheetId="12">#REF!</definedName>
    <definedName name="TRANSPORTERECOMPOSIÇÃO" localSheetId="5">#REF!</definedName>
    <definedName name="TRANSPORTERECOMPOSIÇÃO" localSheetId="13">#REF!</definedName>
    <definedName name="TRANSPORTERECOMPOSIÇÃO" localSheetId="6">#REF!</definedName>
    <definedName name="TRANSPORTERECOMPOSIÇÃO" localSheetId="11">#REF!</definedName>
    <definedName name="TRANSPORTERECOMPOSIÇÃO" localSheetId="8">#REF!</definedName>
    <definedName name="TRANSPORTERECOMPOSIÇÃO" localSheetId="7">#REF!</definedName>
    <definedName name="TRANSPORTERECOMPOSIÇÃO" localSheetId="0">#REF!</definedName>
    <definedName name="TRANSPORTERECOMPOSIÇÃO">#REF!</definedName>
    <definedName name="transportetapaburaco" localSheetId="15">#REF!</definedName>
    <definedName name="transportetapaburaco" localSheetId="12">'[3]T. BURACO'!#REF!</definedName>
    <definedName name="transportetapaburaco" localSheetId="13">#REF!</definedName>
    <definedName name="transportetapaburaco" localSheetId="6">#REF!</definedName>
    <definedName name="transportetapaburaco" localSheetId="11">#REF!</definedName>
    <definedName name="transportetapaburaco" localSheetId="8">#REF!</definedName>
    <definedName name="transportetapaburaco" localSheetId="7">#REF!</definedName>
    <definedName name="transportetapaburaco" localSheetId="0">#REF!</definedName>
    <definedName name="transportetapaburaco">#REF!</definedName>
    <definedName name="TRANSPORTETAPAEMERGENCIAL" localSheetId="15">#REF!</definedName>
    <definedName name="TRANSPORTETAPAEMERGENCIAL" localSheetId="4">#REF!</definedName>
    <definedName name="TRANSPORTETAPAEMERGENCIAL" localSheetId="12">#REF!</definedName>
    <definedName name="TRANSPORTETAPAEMERGENCIAL" localSheetId="5">#REF!</definedName>
    <definedName name="TRANSPORTETAPAEMERGENCIAL" localSheetId="13">#REF!</definedName>
    <definedName name="TRANSPORTETAPAEMERGENCIAL" localSheetId="6">#REF!</definedName>
    <definedName name="TRANSPORTETAPAEMERGENCIAL" localSheetId="11">#REF!</definedName>
    <definedName name="TRANSPORTETAPAEMERGENCIAL" localSheetId="8">#REF!</definedName>
    <definedName name="TRANSPORTETAPAEMERGENCIAL" localSheetId="7">#REF!</definedName>
    <definedName name="TRANSPORTETAPAEMERGENCIAL" localSheetId="0">#REF!</definedName>
    <definedName name="TRANSPORTETAPAEMERGENCIAL">#REF!</definedName>
    <definedName name="TRANSPSOLO" localSheetId="15">#REF!</definedName>
    <definedName name="TRANSPSOLO" localSheetId="4">#REF!</definedName>
    <definedName name="TRANSPSOLO" localSheetId="12">#REF!</definedName>
    <definedName name="TRANSPSOLO" localSheetId="5">#REF!</definedName>
    <definedName name="TRANSPSOLO" localSheetId="13">#REF!</definedName>
    <definedName name="TRANSPSOLO" localSheetId="6">#REF!</definedName>
    <definedName name="TRANSPSOLO" localSheetId="11">#REF!</definedName>
    <definedName name="TRANSPSOLO" localSheetId="8">#REF!</definedName>
    <definedName name="TRANSPSOLO" localSheetId="7">#REF!</definedName>
    <definedName name="TRANSPSOLO" localSheetId="0">#REF!</definedName>
    <definedName name="TRANSPSOLO">#REF!</definedName>
    <definedName name="TRANSREM" localSheetId="12">[11]Serviços!$G$55</definedName>
    <definedName name="TRANSREM" localSheetId="8">#REF!</definedName>
    <definedName name="TRANSREM" localSheetId="7">#REF!</definedName>
    <definedName name="TRANSREM">#REF!</definedName>
    <definedName name="TRC1C" localSheetId="15">#REF!</definedName>
    <definedName name="TRC1C" localSheetId="12">[16]T_RC1C!$H$65</definedName>
    <definedName name="TRC1C" localSheetId="13">#REF!</definedName>
    <definedName name="TRC1C" localSheetId="11">#REF!</definedName>
    <definedName name="TRC1C" localSheetId="8">#REF!</definedName>
    <definedName name="TRC1C" localSheetId="7">#REF!</definedName>
    <definedName name="TRC1C">#REF!</definedName>
    <definedName name="trec" localSheetId="15">#REF!</definedName>
    <definedName name="trec" localSheetId="12">[24]TRAÇOS!$A$33</definedName>
    <definedName name="Trec" localSheetId="6">#REF!</definedName>
    <definedName name="trec" localSheetId="8">#REF!</definedName>
    <definedName name="trec" localSheetId="7">#REF!</definedName>
    <definedName name="trec">#REF!</definedName>
    <definedName name="trech" localSheetId="12">#REF!</definedName>
    <definedName name="trech" localSheetId="8">#REF!</definedName>
    <definedName name="trech">#REF!</definedName>
    <definedName name="TRECHO" localSheetId="15">#REF!</definedName>
    <definedName name="TRECHO" localSheetId="12">[5]DADOS!$C$9</definedName>
    <definedName name="TRECHO" localSheetId="13">#REF!</definedName>
    <definedName name="TRECHO" localSheetId="6">#REF!</definedName>
    <definedName name="TRECHO" localSheetId="11">#REF!</definedName>
    <definedName name="TRECHO" localSheetId="8">#REF!</definedName>
    <definedName name="TRECHO" localSheetId="7">#REF!</definedName>
    <definedName name="TRECHO">#REF!</definedName>
    <definedName name="TRECHO_1" localSheetId="15">#REF!</definedName>
    <definedName name="TRECHO_1" localSheetId="12">[5]DADOS!$C$10</definedName>
    <definedName name="TRECHO_1" localSheetId="13">#REF!</definedName>
    <definedName name="TRECHO_1" localSheetId="6">#REF!</definedName>
    <definedName name="TRECHO_1" localSheetId="11">#REF!</definedName>
    <definedName name="TRECHO_1" localSheetId="8">#REF!</definedName>
    <definedName name="TRECHO_1" localSheetId="7">#REF!</definedName>
    <definedName name="TRECHO_1">#REF!</definedName>
    <definedName name="TRECREVPRIMARIO" localSheetId="15">#REF!</definedName>
    <definedName name="TRECREVPRIMARIO" localSheetId="4">#REF!</definedName>
    <definedName name="TRECREVPRIMARIO" localSheetId="12">#REF!</definedName>
    <definedName name="TRECREVPRIMARIO" localSheetId="5">#REF!</definedName>
    <definedName name="TRECREVPRIMARIO" localSheetId="13">#REF!</definedName>
    <definedName name="TRECREVPRIMARIO" localSheetId="6">#REF!</definedName>
    <definedName name="TRECREVPRIMARIO" localSheetId="11">#REF!</definedName>
    <definedName name="TRECREVPRIMARIO" localSheetId="8">#REF!</definedName>
    <definedName name="TRECREVPRIMARIO" localSheetId="7">#REF!</definedName>
    <definedName name="TRECREVPRIMARIO" localSheetId="0">#REF!</definedName>
    <definedName name="TRECREVPRIMARIO">#REF!</definedName>
    <definedName name="TRFORMA" localSheetId="15">#REF!</definedName>
    <definedName name="TRFORMA" localSheetId="4">#REF!</definedName>
    <definedName name="TRFORMA" localSheetId="12">#REF!</definedName>
    <definedName name="TRFORMA" localSheetId="5">#REF!</definedName>
    <definedName name="TRFORMA" localSheetId="13">#REF!</definedName>
    <definedName name="TRFORMA" localSheetId="6">#REF!</definedName>
    <definedName name="TRFORMA" localSheetId="11">#REF!</definedName>
    <definedName name="TRFORMA" localSheetId="8">#REF!</definedName>
    <definedName name="TRFORMA" localSheetId="7">#REF!</definedName>
    <definedName name="TRFORMA" localSheetId="0">#REF!</definedName>
    <definedName name="TRFORMA">#REF!</definedName>
    <definedName name="TRMUDAS" localSheetId="15">#REF!</definedName>
    <definedName name="TRMUDAS" localSheetId="4">#REF!</definedName>
    <definedName name="TRMUDAS" localSheetId="12">#REF!</definedName>
    <definedName name="TRMUDAS" localSheetId="5">#REF!</definedName>
    <definedName name="TRMUDAS" localSheetId="13">#REF!</definedName>
    <definedName name="TRMUDAS" localSheetId="6">#REF!</definedName>
    <definedName name="TRMUDAS" localSheetId="8">#REF!</definedName>
    <definedName name="TRMUDAS" localSheetId="7">#REF!</definedName>
    <definedName name="TRMUDAS" localSheetId="0">#REF!</definedName>
    <definedName name="TRMUDAS">#REF!</definedName>
    <definedName name="TRP" localSheetId="8">#REF!</definedName>
    <definedName name="TRP" localSheetId="7">#REF!</definedName>
    <definedName name="TRP">#REF!</definedName>
    <definedName name="TRR1C" localSheetId="15">#REF!</definedName>
    <definedName name="TRR1C" localSheetId="12">[16]T_RR1C!$H$65</definedName>
    <definedName name="TRR1C" localSheetId="13">#REF!</definedName>
    <definedName name="TRR1C" localSheetId="11">#REF!</definedName>
    <definedName name="TRR1C" localSheetId="8">#REF!</definedName>
    <definedName name="TRR1C" localSheetId="7">#REF!</definedName>
    <definedName name="TRR1C">#REF!</definedName>
    <definedName name="TRR2C" localSheetId="15">#REF!</definedName>
    <definedName name="TRR2C" localSheetId="12">[16]T_RR2C!$H$65</definedName>
    <definedName name="TRR2C" localSheetId="13">#REF!</definedName>
    <definedName name="TRR2C" localSheetId="11">#REF!</definedName>
    <definedName name="TRR2C" localSheetId="8">#REF!</definedName>
    <definedName name="TRR2C" localSheetId="7">#REF!</definedName>
    <definedName name="TRR2C">#REF!</definedName>
    <definedName name="TSD" localSheetId="15">#REF!</definedName>
    <definedName name="TSD" localSheetId="4">#REF!</definedName>
    <definedName name="TSD" localSheetId="12">#REF!</definedName>
    <definedName name="TSD" localSheetId="5">#REF!</definedName>
    <definedName name="TSD" localSheetId="13">#REF!</definedName>
    <definedName name="TSD" localSheetId="6">#REF!</definedName>
    <definedName name="TSD" localSheetId="11">#REF!</definedName>
    <definedName name="TSD" localSheetId="8">#REF!</definedName>
    <definedName name="TSD" localSheetId="7">#REF!</definedName>
    <definedName name="TSD" localSheetId="0">#REF!</definedName>
    <definedName name="TSD">#REF!</definedName>
    <definedName name="TUBO" localSheetId="15">#REF!</definedName>
    <definedName name="TUBO" localSheetId="12">[9]SERVIÇOS!#REF!</definedName>
    <definedName name="TUBO" localSheetId="13">#REF!</definedName>
    <definedName name="TUBO" localSheetId="6">#REF!</definedName>
    <definedName name="TUBO" localSheetId="11">#REF!</definedName>
    <definedName name="TUBO" localSheetId="8">#REF!</definedName>
    <definedName name="TUBO" localSheetId="7">#REF!</definedName>
    <definedName name="TUBO" localSheetId="0">#REF!</definedName>
    <definedName name="TUBO">#REF!</definedName>
    <definedName name="TxCresc" localSheetId="12">#REF!</definedName>
    <definedName name="TxCresc" localSheetId="8">#REF!</definedName>
    <definedName name="TxCresc">#REF!</definedName>
    <definedName name="un" hidden="1">#N/A</definedName>
    <definedName name="Und">#N/A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D" localSheetId="8">#REF!</definedName>
    <definedName name="UNID" localSheetId="14">#REF!</definedName>
    <definedName name="UNID">#REF!</definedName>
    <definedName name="unid.2" localSheetId="15">#REF!</definedName>
    <definedName name="unid.2" localSheetId="4">#REF!</definedName>
    <definedName name="unid.2" localSheetId="12">#REF!</definedName>
    <definedName name="unid.2" localSheetId="5">#REF!</definedName>
    <definedName name="unid.2" localSheetId="13">#REF!</definedName>
    <definedName name="unid.2" localSheetId="11">#REF!</definedName>
    <definedName name="unid.2" localSheetId="8">#REF!</definedName>
    <definedName name="unid.2" localSheetId="7">#REF!</definedName>
    <definedName name="unid.2" localSheetId="0">#REF!</definedName>
    <definedName name="unid.2">#REF!</definedName>
    <definedName name="UNID2">#REF!</definedName>
    <definedName name="unidade" localSheetId="15">#REF!</definedName>
    <definedName name="unidade" localSheetId="12">'[21]TPU-MARÇO_2002'!$F$2:$F$1965</definedName>
    <definedName name="unidade" localSheetId="13">#REF!</definedName>
    <definedName name="unidade" localSheetId="11">#REF!</definedName>
    <definedName name="unidade" localSheetId="8">#REF!</definedName>
    <definedName name="unidade" localSheetId="7">#REF!</definedName>
    <definedName name="unidade">#REF!</definedName>
    <definedName name="Unidade1" localSheetId="15">#REF!</definedName>
    <definedName name="Unidade1" localSheetId="4">#REF!</definedName>
    <definedName name="Unidade1" localSheetId="12">#REF!</definedName>
    <definedName name="Unidade1" localSheetId="5">#REF!</definedName>
    <definedName name="Unidade1" localSheetId="13">#REF!</definedName>
    <definedName name="Unidade1" localSheetId="11">#REF!</definedName>
    <definedName name="Unidade1" localSheetId="8">#REF!</definedName>
    <definedName name="Unidade1" localSheetId="7">#REF!</definedName>
    <definedName name="Unidade1" localSheetId="0">#REF!</definedName>
    <definedName name="Unidade1">#REF!</definedName>
    <definedName name="UnidAux" hidden="1">#N/A</definedName>
    <definedName name="Unit." localSheetId="8">#REF!</definedName>
    <definedName name="Unit." localSheetId="7">#REF!</definedName>
    <definedName name="Unit." localSheetId="14">#REF!</definedName>
    <definedName name="Unit.">#REF!</definedName>
    <definedName name="USINA" localSheetId="15">#REF!</definedName>
    <definedName name="USINA" localSheetId="12">'[17]Vínculo (2)'!$Y$9</definedName>
    <definedName name="USINA" localSheetId="13">#REF!</definedName>
    <definedName name="USINA" localSheetId="11">#REF!</definedName>
    <definedName name="USINA" localSheetId="8">#REF!</definedName>
    <definedName name="USINA" localSheetId="7">#REF!</definedName>
    <definedName name="USINA">#REF!</definedName>
    <definedName name="uuujsh" localSheetId="15">#REF!</definedName>
    <definedName name="uuujsh" localSheetId="4">#REF!</definedName>
    <definedName name="uuujsh" localSheetId="12">#REF!</definedName>
    <definedName name="uuujsh" localSheetId="5">#REF!</definedName>
    <definedName name="uuujsh" localSheetId="13">#REF!</definedName>
    <definedName name="uuujsh" localSheetId="6">#REF!</definedName>
    <definedName name="uuujsh" localSheetId="11">#REF!</definedName>
    <definedName name="uuujsh" localSheetId="8">#REF!</definedName>
    <definedName name="uuujsh" localSheetId="7">#REF!</definedName>
    <definedName name="uuujsh" localSheetId="0">#REF!</definedName>
    <definedName name="uuujsh">#REF!</definedName>
    <definedName name="VALCORTE" localSheetId="15">#REF!</definedName>
    <definedName name="VALCORTE" localSheetId="4">#REF!</definedName>
    <definedName name="VALCORTE" localSheetId="12">#REF!</definedName>
    <definedName name="VALCORTE" localSheetId="5">#REF!</definedName>
    <definedName name="VALCORTE" localSheetId="13">#REF!</definedName>
    <definedName name="VALCORTE" localSheetId="6">#REF!</definedName>
    <definedName name="VALCORTE" localSheetId="11">#REF!</definedName>
    <definedName name="VALCORTE" localSheetId="8">#REF!</definedName>
    <definedName name="VALCORTE" localSheetId="7">#REF!</definedName>
    <definedName name="VALCORTE" localSheetId="0">#REF!</definedName>
    <definedName name="VALCORTE">#REF!</definedName>
    <definedName name="valeta" localSheetId="15">#REF!</definedName>
    <definedName name="valeta" localSheetId="4">#REF!</definedName>
    <definedName name="valeta" localSheetId="12">#REF!</definedName>
    <definedName name="valeta" localSheetId="5">#REF!</definedName>
    <definedName name="valeta" localSheetId="13">#REF!</definedName>
    <definedName name="valeta" localSheetId="6">#REF!</definedName>
    <definedName name="valeta" localSheetId="8">#REF!</definedName>
    <definedName name="valeta" localSheetId="7">#REF!</definedName>
    <definedName name="valeta" localSheetId="0">#REF!</definedName>
    <definedName name="valeta">#REF!</definedName>
    <definedName name="VALOR_NF" localSheetId="15">#REF!</definedName>
    <definedName name="VALOR_NF" localSheetId="12">[5]DADOS!$C$26</definedName>
    <definedName name="VALOR_NF" localSheetId="13">#REF!</definedName>
    <definedName name="VALOR_NF" localSheetId="6">#REF!</definedName>
    <definedName name="VALOR_NF" localSheetId="11">#REF!</definedName>
    <definedName name="VALOR_NF" localSheetId="8">#REF!</definedName>
    <definedName name="VALOR_NF" localSheetId="7">#REF!</definedName>
    <definedName name="VALOR_NF">#REF!</definedName>
    <definedName name="Vazios" localSheetId="12">[29]Teor!$B$3:$B$7</definedName>
    <definedName name="Vazios" localSheetId="6">#REF!</definedName>
    <definedName name="Vazios" localSheetId="8">#REF!</definedName>
    <definedName name="Vazios" localSheetId="7">#REF!</definedName>
    <definedName name="Vazios">#REF!</definedName>
    <definedName name="verde" localSheetId="15">#REF!</definedName>
    <definedName name="verde" localSheetId="4">#REF!</definedName>
    <definedName name="verde" localSheetId="12">#REF!</definedName>
    <definedName name="verde" localSheetId="5">#REF!</definedName>
    <definedName name="verde" localSheetId="13">#REF!</definedName>
    <definedName name="verde" localSheetId="11">#REF!</definedName>
    <definedName name="verde" localSheetId="8">#REF!</definedName>
    <definedName name="verde" localSheetId="7">#REF!</definedName>
    <definedName name="verde" localSheetId="0">#REF!</definedName>
    <definedName name="verde">#REF!</definedName>
    <definedName name="verdepav" localSheetId="15">#REF!</definedName>
    <definedName name="verdepav" localSheetId="4">#REF!</definedName>
    <definedName name="verdepav" localSheetId="12">#REF!</definedName>
    <definedName name="verdepav" localSheetId="5">#REF!</definedName>
    <definedName name="verdepav" localSheetId="13">#REF!</definedName>
    <definedName name="verdepav" localSheetId="11">#REF!</definedName>
    <definedName name="verdepav" localSheetId="8">#REF!</definedName>
    <definedName name="verdepav" localSheetId="7">#REF!</definedName>
    <definedName name="verdepav" localSheetId="0">#REF!</definedName>
    <definedName name="verdepav">#REF!</definedName>
    <definedName name="VidaAnos" localSheetId="15">#REF!</definedName>
    <definedName name="VidaAnos" localSheetId="4">#REF!</definedName>
    <definedName name="VidaAnos" localSheetId="12">#REF!</definedName>
    <definedName name="VidaAnos" localSheetId="5">#REF!</definedName>
    <definedName name="VidaAnos" localSheetId="13">#REF!</definedName>
    <definedName name="VidaAnos" localSheetId="8">#REF!</definedName>
    <definedName name="VidaAnos" localSheetId="7">#REF!</definedName>
    <definedName name="VidaAnos" localSheetId="0">#REF!</definedName>
    <definedName name="VidaAnos">#REF!</definedName>
    <definedName name="Vidahoras" localSheetId="15">#REF!</definedName>
    <definedName name="Vidahoras" localSheetId="4">#REF!</definedName>
    <definedName name="Vidahoras" localSheetId="5">#REF!</definedName>
    <definedName name="Vidahoras" localSheetId="13">#REF!</definedName>
    <definedName name="Vidahoras" localSheetId="8">#REF!</definedName>
    <definedName name="Vidahoras" localSheetId="7">#REF!</definedName>
    <definedName name="Vidahoras" localSheetId="0">#REF!</definedName>
    <definedName name="Vidahoras">#REF!</definedName>
    <definedName name="VOL_ACUM" localSheetId="15">#REF!</definedName>
    <definedName name="VOL_ACUM" localSheetId="12">'[12]Fresagem de Pista Ago-98'!#REF!</definedName>
    <definedName name="VOL_ACUM" localSheetId="13">#REF!</definedName>
    <definedName name="VOL_ACUM" localSheetId="6">#REF!</definedName>
    <definedName name="VOL_ACUM" localSheetId="11">#REF!</definedName>
    <definedName name="VOL_ACUM" localSheetId="8">#REF!</definedName>
    <definedName name="VOL_ACUM" localSheetId="7">#REF!</definedName>
    <definedName name="VOL_ACUM" localSheetId="0">#REF!</definedName>
    <definedName name="VOL_ACUM">#REF!</definedName>
    <definedName name="VOLUME" localSheetId="15">#REF!</definedName>
    <definedName name="VOLUME" localSheetId="12">'[12]Fresagem de Pista Ago-98'!#REF!</definedName>
    <definedName name="VOLUME" localSheetId="13">#REF!</definedName>
    <definedName name="VOLUME" localSheetId="6">#REF!</definedName>
    <definedName name="VOLUME" localSheetId="11">#REF!</definedName>
    <definedName name="VOLUME" localSheetId="8">#REF!</definedName>
    <definedName name="VOLUME" localSheetId="7">#REF!</definedName>
    <definedName name="VOLUME" localSheetId="0">#REF!</definedName>
    <definedName name="VOLUME">#REF!</definedName>
    <definedName name="VPA" localSheetId="15">#REF!</definedName>
    <definedName name="VPA" localSheetId="12">'[16]2 S 04 401 01'!$H$65</definedName>
    <definedName name="VPA" localSheetId="13">#REF!</definedName>
    <definedName name="VPA" localSheetId="11">#REF!</definedName>
    <definedName name="VPA" localSheetId="8">#REF!</definedName>
    <definedName name="VPA" localSheetId="7">#REF!</definedName>
    <definedName name="VPA">#REF!</definedName>
    <definedName name="wdgadfgdsz" localSheetId="15">#REF!</definedName>
    <definedName name="wdgadfgdsz" localSheetId="12">[1]SID_NI_5!#REF!</definedName>
    <definedName name="wdgadfgdsz" localSheetId="13">#REF!</definedName>
    <definedName name="wdgadfgdsz" localSheetId="6">#REF!</definedName>
    <definedName name="wdgadfgdsz" localSheetId="11">#REF!</definedName>
    <definedName name="wdgadfgdsz" localSheetId="8">#REF!</definedName>
    <definedName name="wdgadfgdsz" localSheetId="7">#REF!</definedName>
    <definedName name="wdgadfgdsz" localSheetId="0">#REF!</definedName>
    <definedName name="wdgadfgdsz">#REF!</definedName>
    <definedName name="wdwqdq" localSheetId="12" hidden="1">#REF!</definedName>
    <definedName name="wdwqdq" localSheetId="8" hidden="1">#REF!</definedName>
    <definedName name="wdwqdq" hidden="1">#REF!</definedName>
    <definedName name="WEWRWR" localSheetId="15">'CALÇADA E ACESS.'!WEWRWR</definedName>
    <definedName name="WEWRWR" localSheetId="4">#N/A</definedName>
    <definedName name="WEWRWR" localSheetId="12">COMPLEMENTARES!WEWRWR</definedName>
    <definedName name="WEWRWR" localSheetId="5">#N/A</definedName>
    <definedName name="WEWRWR" localSheetId="13">'DISP. DRENAGEM'!WEWRWR</definedName>
    <definedName name="WEWRWR" localSheetId="6">DMT!WEWRWR</definedName>
    <definedName name="WEWRWR" localSheetId="11">DRENAGEM!WEWRWR</definedName>
    <definedName name="WEWRWR" localSheetId="8">GRELHA!WEWRWR</definedName>
    <definedName name="WEWRWR" localSheetId="7">'MAT BET'!WEWRWR</definedName>
    <definedName name="WEWRWR" localSheetId="2">'ORÇ. SINTÉTICO'!WEWRWR</definedName>
    <definedName name="WEWRWR" localSheetId="14">#N/A</definedName>
    <definedName name="WEWRWR" localSheetId="9">PRELIMINARES!WEWRWR</definedName>
    <definedName name="WEWRWR" localSheetId="1">RESUMO!WEWRWR</definedName>
    <definedName name="WEWRWR" localSheetId="0">'RESUMO DES'!WEWRWR</definedName>
    <definedName name="WEWRWR" localSheetId="16">SINALIZAÇÃO!WEWRWR</definedName>
    <definedName name="WEWRWR">[0]!WEWRWR</definedName>
    <definedName name="WQW" localSheetId="8">#REF!</definedName>
    <definedName name="WQW" localSheetId="7">#REF!</definedName>
    <definedName name="WQW" localSheetId="14">#REF!</definedName>
    <definedName name="WQW" localSheetId="16">#REF!</definedName>
    <definedName name="WQW">#REF!</definedName>
    <definedName name="wrkifoerngperg" localSheetId="8">#REF!</definedName>
    <definedName name="wrkifoerngperg" localSheetId="7">#REF!</definedName>
    <definedName name="wrkifoerngperg">#REF!</definedName>
    <definedName name="wrn.GERAL." localSheetId="15" hidden="1">{#N/A,#N/A,FALSE,"ET-CAPA";#N/A,#N/A,FALSE,"ET-PAG1";#N/A,#N/A,FALSE,"ET-PAG2";#N/A,#N/A,FALSE,"ET-PAG3";#N/A,#N/A,FALSE,"ET-PAG4";#N/A,#N/A,FALSE,"ET-PAG5"}</definedName>
    <definedName name="wrn.GERAL." localSheetId="12" hidden="1">{#N/A,#N/A,FALSE,"ET-CAPA";#N/A,#N/A,FALSE,"ET-PAG1";#N/A,#N/A,FALSE,"ET-PAG2";#N/A,#N/A,FALSE,"ET-PAG3";#N/A,#N/A,FALSE,"ET-PAG4";#N/A,#N/A,FALSE,"ET-PAG5"}</definedName>
    <definedName name="wrn.GERAL." localSheetId="8" hidden="1">{#N/A,#N/A,FALSE,"ET-CAPA";#N/A,#N/A,FALSE,"ET-PAG1";#N/A,#N/A,FALSE,"ET-PAG2";#N/A,#N/A,FALSE,"ET-PAG3";#N/A,#N/A,FALSE,"ET-PAG4";#N/A,#N/A,FALSE,"ET-PAG5"}</definedName>
    <definedName name="wrn.GERAL." localSheetId="14" hidden="1">{#N/A,#N/A,FALSE,"ET-CAPA";#N/A,#N/A,FALSE,"ET-PAG1";#N/A,#N/A,FALSE,"ET-PAG2";#N/A,#N/A,FALSE,"ET-PAG3";#N/A,#N/A,FALSE,"ET-PAG4";#N/A,#N/A,FALSE,"ET-PAG5"}</definedName>
    <definedName name="wrn.GERAL." localSheetId="16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mo2." localSheetId="15" hidden="1">{#N/A,#N/A,FALSE,"MO (2)"}</definedName>
    <definedName name="wrn.mo2." localSheetId="12" hidden="1">{#N/A,#N/A,FALSE,"MO (2)"}</definedName>
    <definedName name="wrn.mo2." localSheetId="8" hidden="1">{#N/A,#N/A,FALSE,"MO (2)"}</definedName>
    <definedName name="wrn.mo2." localSheetId="14" hidden="1">{#N/A,#N/A,FALSE,"MO (2)"}</definedName>
    <definedName name="wrn.mo2." localSheetId="16" hidden="1">{#N/A,#N/A,FALSE,"MO (2)"}</definedName>
    <definedName name="wrn.mo2." hidden="1">{#N/A,#N/A,FALSE,"MO (2)"}</definedName>
    <definedName name="wrn.PENDENCIAS." localSheetId="1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8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reco." localSheetId="15" hidden="1">{#N/A,#N/A,FALSE,"Pla_Preço";#N/A,#N/A,FALSE,"Crono"}</definedName>
    <definedName name="wrn.preco." localSheetId="4" hidden="1">{#N/A,#N/A,FALSE,"Pla_Preço";#N/A,#N/A,FALSE,"Crono"}</definedName>
    <definedName name="wrn.preco." localSheetId="12" hidden="1">{#N/A,#N/A,FALSE,"Pla_Preço";#N/A,#N/A,FALSE,"Crono"}</definedName>
    <definedName name="wrn.preco." localSheetId="5" hidden="1">{#N/A,#N/A,FALSE,"Pla_Preço";#N/A,#N/A,FALSE,"Crono"}</definedName>
    <definedName name="wrn.preco." localSheetId="13" hidden="1">{#N/A,#N/A,FALSE,"Pla_Preço";#N/A,#N/A,FALSE,"Crono"}</definedName>
    <definedName name="wrn.preco." localSheetId="6" hidden="1">{#N/A,#N/A,FALSE,"Pla_Preço";#N/A,#N/A,FALSE,"Crono"}</definedName>
    <definedName name="wrn.preco." localSheetId="11" hidden="1">{#N/A,#N/A,FALSE,"Pla_Preço";#N/A,#N/A,FALSE,"Crono"}</definedName>
    <definedName name="wrn.preco." localSheetId="8" hidden="1">{#N/A,#N/A,FALSE,"Pla_Preço";#N/A,#N/A,FALSE,"Crono"}</definedName>
    <definedName name="wrn.preco." localSheetId="7" hidden="1">{#N/A,#N/A,FALSE,"Pla_Preço";#N/A,#N/A,FALSE,"Crono"}</definedName>
    <definedName name="wrn.preco." localSheetId="2" hidden="1">{#N/A,#N/A,FALSE,"Pla_Preço";#N/A,#N/A,FALSE,"Crono"}</definedName>
    <definedName name="wrn.preco." localSheetId="14" hidden="1">{#N/A,#N/A,FALSE,"Pla_Preço";#N/A,#N/A,FALSE,"Crono"}</definedName>
    <definedName name="wrn.preco." localSheetId="9" hidden="1">{#N/A,#N/A,FALSE,"Pla_Preço";#N/A,#N/A,FALSE,"Crono"}</definedName>
    <definedName name="wrn.preco." localSheetId="1" hidden="1">{#N/A,#N/A,FALSE,"Pla_Preço";#N/A,#N/A,FALSE,"Crono"}</definedName>
    <definedName name="wrn.preco." localSheetId="0" hidden="1">{#N/A,#N/A,FALSE,"Pla_Preço";#N/A,#N/A,FALSE,"Crono"}</definedName>
    <definedName name="wrn.preco." localSheetId="16" hidden="1">{#N/A,#N/A,FALSE,"Pla_Preço";#N/A,#N/A,FALSE,"Crono"}</definedName>
    <definedName name="wrn.preco." hidden="1">{#N/A,#N/A,FALSE,"Pla_Preço";#N/A,#N/A,FALSE,"Crono"}</definedName>
    <definedName name="wrn.Quadros._.relatório." localSheetId="15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1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8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16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SFDGSJHKJSçghsK" localSheetId="8">#REF!</definedName>
    <definedName name="WSFDGSJHKJSçghsK" localSheetId="7">#REF!</definedName>
    <definedName name="WSFDGSJHKJSçghsK" localSheetId="14">#REF!</definedName>
    <definedName name="WSFDGSJHKJSçghsK">#REF!</definedName>
    <definedName name="x" localSheetId="12">[43]Equipamentos!#REF!</definedName>
    <definedName name="x" localSheetId="13">#REF!</definedName>
    <definedName name="x" localSheetId="11">#REF!</definedName>
    <definedName name="x" localSheetId="8">#REF!</definedName>
    <definedName name="x" localSheetId="7">#REF!</definedName>
    <definedName name="x" localSheetId="0">#REF!</definedName>
    <definedName name="x">#REF!</definedName>
    <definedName name="xczvzxc" localSheetId="8">#REF!</definedName>
    <definedName name="xczvzxc" localSheetId="7">#REF!</definedName>
    <definedName name="xczvzxc">#REF!</definedName>
    <definedName name="XXX" localSheetId="15">'CALÇADA E ACESS.'!XXX</definedName>
    <definedName name="XXX" localSheetId="4">#N/A</definedName>
    <definedName name="XXX" localSheetId="12">COMPLEMENTARES!XXX</definedName>
    <definedName name="XXX" localSheetId="5">#N/A</definedName>
    <definedName name="XXX" localSheetId="13">'DISP. DRENAGEM'!XXX</definedName>
    <definedName name="XXX" localSheetId="6">DMT!XXX</definedName>
    <definedName name="XXX" localSheetId="11">DRENAGEM!XXX</definedName>
    <definedName name="XXX" localSheetId="8">GRELHA!XXX</definedName>
    <definedName name="XXX" localSheetId="7">'MAT BET'!XXX</definedName>
    <definedName name="XXX" localSheetId="2">'ORÇ. SINTÉTICO'!XXX</definedName>
    <definedName name="XXX" localSheetId="14">#N/A</definedName>
    <definedName name="XXX" localSheetId="9">PRELIMINARES!XXX</definedName>
    <definedName name="XXX" localSheetId="1">RESUMO!XXX</definedName>
    <definedName name="XXX" localSheetId="0">'RESUMO DES'!XXX</definedName>
    <definedName name="XXX" localSheetId="16">SINALIZAÇÃO!XXX</definedName>
    <definedName name="XXX">[0]!XXX</definedName>
    <definedName name="xxxx" localSheetId="15">#REF!</definedName>
    <definedName name="xxxx" localSheetId="4">#REF!</definedName>
    <definedName name="xxxx" localSheetId="12">#REF!</definedName>
    <definedName name="xxxx" localSheetId="5">#REF!</definedName>
    <definedName name="xxxx" localSheetId="13">#REF!</definedName>
    <definedName name="xxxx" localSheetId="11">#REF!</definedName>
    <definedName name="xxxx" localSheetId="8">#REF!</definedName>
    <definedName name="xxxx" localSheetId="7">#REF!</definedName>
    <definedName name="xxxx" localSheetId="2">#REF!</definedName>
    <definedName name="xxxx" localSheetId="1">#REF!</definedName>
    <definedName name="xxxx" localSheetId="0">#REF!</definedName>
    <definedName name="xxxx">#REF!</definedName>
    <definedName name="xxxxxxx" localSheetId="12">#REF!</definedName>
    <definedName name="xxxxxxx" localSheetId="8">#REF!</definedName>
    <definedName name="xxxxxxx">#REF!</definedName>
    <definedName name="yngrid" localSheetId="8">#REF!</definedName>
    <definedName name="yngrid" localSheetId="7">#REF!</definedName>
    <definedName name="yngrid">#REF!</definedName>
    <definedName name="yngridd" localSheetId="8">#REF!</definedName>
    <definedName name="yngridd" localSheetId="7">#REF!</definedName>
    <definedName name="yngridd">#REF!</definedName>
    <definedName name="yoli" localSheetId="8">#REF!</definedName>
    <definedName name="yoli" localSheetId="7">#REF!</definedName>
    <definedName name="yoli">#REF!</definedName>
    <definedName name="yULIAN" localSheetId="8">#REF!</definedName>
    <definedName name="yULIAN" localSheetId="7">#REF!</definedName>
    <definedName name="yULIAN">#REF!</definedName>
    <definedName name="Z_022B7420_7F94_427F_B370_84030F9B3342_.wvu.FilterData" hidden="1">#REF!</definedName>
    <definedName name="Z_04BC043C_175B_412D_8093_6F29CD74FBAE_.wvu.FilterData" hidden="1">#REF!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32423B2_94C7_44C1_9A2A_9712DAE92CE9_.wvu.FilterData" hidden="1">#REF!</definedName>
    <definedName name="Z_53F31130_5EA7_42BA_93EB_88A7CB743782_.wvu.FilterData" hidden="1">#REF!</definedName>
    <definedName name="Z_55213581_1831_4A94_AB4D_23E4F8BC8085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localSheetId="15" hidden="1">#REF!,#REF!</definedName>
    <definedName name="Z_60DF8B29_1C1F_4B50_BDA8_B8E0C7DD04C3_.wvu.Cols" localSheetId="8" hidden="1">#REF!,#REF!</definedName>
    <definedName name="Z_60DF8B29_1C1F_4B50_BDA8_B8E0C7DD04C3_.wvu.Cols" localSheetId="14" hidden="1">#REF!,#REF!</definedName>
    <definedName name="Z_60DF8B29_1C1F_4B50_BDA8_B8E0C7DD04C3_.wvu.Cols" localSheetId="16" hidden="1">#REF!,#REF!</definedName>
    <definedName name="Z_60DF8B29_1C1F_4B50_BDA8_B8E0C7DD04C3_.wvu.Cols" hidden="1">#REF!,#REF!</definedName>
    <definedName name="Z_60DF8B29_1C1F_4B50_BDA8_B8E0C7DD04C3_.wvu.FilterData" localSheetId="15" hidden="1">#REF!</definedName>
    <definedName name="Z_60DF8B29_1C1F_4B50_BDA8_B8E0C7DD04C3_.wvu.FilterData" localSheetId="8" hidden="1">#REF!</definedName>
    <definedName name="Z_60DF8B29_1C1F_4B50_BDA8_B8E0C7DD04C3_.wvu.FilterData" localSheetId="14" hidden="1">#REF!</definedName>
    <definedName name="Z_60DF8B29_1C1F_4B50_BDA8_B8E0C7DD04C3_.wvu.FilterData" hidden="1">#REF!</definedName>
    <definedName name="Z_615F4A4D_D5AB_4A04_81F5_F436484247A5_.wvu.FilterData" localSheetId="8" hidden="1">#REF!</definedName>
    <definedName name="Z_615F4A4D_D5AB_4A04_81F5_F436484247A5_.wvu.FilterData" localSheetId="14" hidden="1">#REF!</definedName>
    <definedName name="Z_615F4A4D_D5AB_4A04_81F5_F436484247A5_.wvu.FilterData" hidden="1">#REF!</definedName>
    <definedName name="Z_616443B5_6F0D_4082_9223_F71B54305366_.wvu.FilterData" localSheetId="8" hidden="1">#REF!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3FFE9E0_6C4F_4FB4_A56E_FBE96871B5C8_.wvu.Cols" localSheetId="15" hidden="1">#REF!,#REF!</definedName>
    <definedName name="Z_E3FFE9E0_6C4F_4FB4_A56E_FBE96871B5C8_.wvu.Cols" localSheetId="8" hidden="1">#REF!,#REF!</definedName>
    <definedName name="Z_E3FFE9E0_6C4F_4FB4_A56E_FBE96871B5C8_.wvu.Cols" localSheetId="14" hidden="1">#REF!,#REF!</definedName>
    <definedName name="Z_E3FFE9E0_6C4F_4FB4_A56E_FBE96871B5C8_.wvu.Cols" hidden="1">#REF!,#REF!</definedName>
    <definedName name="Z_E3FFE9E0_6C4F_4FB4_A56E_FBE96871B5C8_.wvu.FilterData" localSheetId="8" hidden="1">#REF!</definedName>
    <definedName name="Z_E3FFE9E0_6C4F_4FB4_A56E_FBE96871B5C8_.wvu.FilterData" localSheetId="14" hidden="1">#REF!</definedName>
    <definedName name="Z_E3FFE9E0_6C4F_4FB4_A56E_FBE96871B5C8_.wvu.FilterData" hidden="1">#REF!</definedName>
    <definedName name="Z_E42D429F_E4E8_41D2_9176_83C726BAF8E3_.wvu.FilterData" localSheetId="8" hidden="1">#REF!</definedName>
    <definedName name="Z_E42D429F_E4E8_41D2_9176_83C726BAF8E3_.wvu.FilterData" localSheetId="14" hidden="1">#REF!</definedName>
    <definedName name="Z_E42D429F_E4E8_41D2_9176_83C726BAF8E3_.wvu.FilterData" hidden="1">#REF!</definedName>
    <definedName name="Z_E491B72F_902A_11D7_9C1E_0004231B06E7_.wvu.FilterData" localSheetId="8" hidden="1">#REF!</definedName>
    <definedName name="Z_E491B72F_902A_11D7_9C1E_0004231B06E7_.wvu.FilterData" localSheetId="14" hidden="1">#REF!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sfdbvzsfdbfzdb">#REF!</definedName>
    <definedName name="zzz" localSheetId="15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localSheetId="1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localSheetId="8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localSheetId="16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7" i="97" l="1"/>
  <c r="D7" i="97"/>
  <c r="I129" i="95"/>
  <c r="I128" i="95"/>
  <c r="I127" i="95"/>
  <c r="I126" i="95"/>
  <c r="I125" i="95"/>
  <c r="I123" i="95"/>
  <c r="I122" i="95"/>
  <c r="I121" i="95"/>
  <c r="I120" i="95"/>
  <c r="I119" i="95"/>
  <c r="I118" i="95"/>
  <c r="I117" i="95"/>
  <c r="I115" i="95"/>
  <c r="I114" i="95"/>
  <c r="I113" i="95"/>
  <c r="I112" i="95"/>
  <c r="I110" i="95"/>
  <c r="I109" i="95"/>
  <c r="I108" i="95"/>
  <c r="I107" i="95"/>
  <c r="I106" i="95"/>
  <c r="I105" i="95"/>
  <c r="I104" i="95"/>
  <c r="I103" i="95"/>
  <c r="I102" i="95"/>
  <c r="I101" i="95"/>
  <c r="I100" i="95"/>
  <c r="I99" i="95"/>
  <c r="I98" i="95"/>
  <c r="I97" i="95"/>
  <c r="I95" i="95"/>
  <c r="I94" i="95"/>
  <c r="I93" i="95"/>
  <c r="I92" i="95"/>
  <c r="I91" i="95"/>
  <c r="I90" i="95"/>
  <c r="I87" i="95"/>
  <c r="I86" i="95"/>
  <c r="I85" i="95"/>
  <c r="I84" i="95"/>
  <c r="I83" i="95"/>
  <c r="I82" i="95"/>
  <c r="I81" i="95"/>
  <c r="I80" i="95"/>
  <c r="I79" i="95"/>
  <c r="I78" i="95"/>
  <c r="I77" i="95"/>
  <c r="I76" i="95"/>
  <c r="I75" i="95"/>
  <c r="I74" i="95"/>
  <c r="I73" i="95"/>
  <c r="I72" i="95"/>
  <c r="I71" i="95"/>
  <c r="I70" i="95"/>
  <c r="I69" i="95"/>
  <c r="I58" i="95"/>
  <c r="I57" i="95"/>
  <c r="I68" i="95"/>
  <c r="I67" i="95"/>
  <c r="I66" i="95"/>
  <c r="I65" i="95"/>
  <c r="I64" i="95"/>
  <c r="I63" i="95"/>
  <c r="I62" i="95"/>
  <c r="I61" i="95"/>
  <c r="I60" i="95"/>
  <c r="I59" i="95"/>
  <c r="I56" i="95"/>
  <c r="I55" i="95"/>
  <c r="I54" i="95"/>
  <c r="I53" i="95"/>
  <c r="I46" i="95"/>
  <c r="I51" i="95"/>
  <c r="I50" i="95"/>
  <c r="I49" i="95"/>
  <c r="I48" i="95"/>
  <c r="I47" i="95"/>
  <c r="I45" i="95"/>
  <c r="I44" i="95"/>
  <c r="I43" i="95"/>
  <c r="I42" i="95"/>
  <c r="I41" i="95"/>
  <c r="I40" i="95"/>
  <c r="I39" i="95"/>
  <c r="I37" i="95"/>
  <c r="I38" i="95"/>
  <c r="I36" i="95"/>
  <c r="I35" i="95"/>
  <c r="I34" i="95"/>
  <c r="I33" i="95"/>
  <c r="I30" i="95"/>
  <c r="I29" i="95"/>
  <c r="I28" i="95"/>
  <c r="I27" i="95"/>
  <c r="I26" i="95"/>
  <c r="I25" i="95"/>
  <c r="I19" i="95"/>
  <c r="I20" i="95"/>
  <c r="I22" i="95"/>
  <c r="I23" i="95"/>
  <c r="I21" i="95"/>
  <c r="I18" i="95"/>
  <c r="I17" i="95"/>
  <c r="BL32" i="86"/>
  <c r="P14" i="95"/>
  <c r="J131" i="95"/>
  <c r="F2" i="96"/>
  <c r="B2" i="96"/>
  <c r="D19" i="104"/>
  <c r="F123" i="95"/>
  <c r="F114" i="95"/>
  <c r="F110" i="95"/>
  <c r="F108" i="95"/>
  <c r="F104" i="95"/>
  <c r="F100" i="95"/>
  <c r="F94" i="95"/>
  <c r="F87" i="95"/>
  <c r="F83" i="95"/>
  <c r="F82" i="95"/>
  <c r="F76" i="95"/>
  <c r="F75" i="95"/>
  <c r="F70" i="95"/>
  <c r="H123" i="95" l="1"/>
  <c r="G126" i="95"/>
  <c r="E122" i="95"/>
  <c r="J114" i="95"/>
  <c r="C112" i="95"/>
  <c r="C123" i="95"/>
  <c r="P101" i="95"/>
  <c r="J107" i="95"/>
  <c r="C98" i="95"/>
  <c r="C108" i="95"/>
  <c r="J91" i="95"/>
  <c r="M91" i="95" s="1"/>
  <c r="D94" i="95"/>
  <c r="H81" i="95"/>
  <c r="D84" i="95"/>
  <c r="P74" i="95"/>
  <c r="J79" i="95"/>
  <c r="D66" i="95"/>
  <c r="C73" i="95"/>
  <c r="E79" i="95"/>
  <c r="P61" i="95"/>
  <c r="H57" i="95"/>
  <c r="C59" i="95"/>
  <c r="P51" i="95"/>
  <c r="D43" i="95"/>
  <c r="C50" i="95"/>
  <c r="E30" i="95"/>
  <c r="J41" i="95"/>
  <c r="C37" i="95"/>
  <c r="J27" i="95"/>
  <c r="M27" i="95" s="1"/>
  <c r="C30" i="95"/>
  <c r="J17" i="95"/>
  <c r="H11" i="95"/>
  <c r="D22" i="95"/>
  <c r="J29" i="95"/>
  <c r="M29" i="95" s="1"/>
  <c r="J19" i="95"/>
  <c r="P15" i="95"/>
  <c r="E17" i="95"/>
  <c r="H125" i="95"/>
  <c r="G127" i="95"/>
  <c r="E123" i="95"/>
  <c r="J115" i="95"/>
  <c r="D112" i="95"/>
  <c r="D123" i="95"/>
  <c r="P102" i="95"/>
  <c r="J108" i="95"/>
  <c r="M108" i="95" s="1"/>
  <c r="D98" i="95"/>
  <c r="D108" i="95"/>
  <c r="J92" i="95"/>
  <c r="M92" i="95" s="1"/>
  <c r="C95" i="95"/>
  <c r="H82" i="95"/>
  <c r="E84" i="95"/>
  <c r="P75" i="95"/>
  <c r="H65" i="95"/>
  <c r="E66" i="95"/>
  <c r="D73" i="95"/>
  <c r="E54" i="95"/>
  <c r="P62" i="95"/>
  <c r="H58" i="95"/>
  <c r="D59" i="95"/>
  <c r="J43" i="95"/>
  <c r="M43" i="95" s="1"/>
  <c r="E43" i="95"/>
  <c r="D50" i="95"/>
  <c r="E25" i="95"/>
  <c r="J42" i="95"/>
  <c r="M42" i="95" s="1"/>
  <c r="D37" i="95"/>
  <c r="J28" i="95"/>
  <c r="M28" i="95" s="1"/>
  <c r="D30" i="95"/>
  <c r="J18" i="95"/>
  <c r="C16" i="95"/>
  <c r="E22" i="95"/>
  <c r="G13" i="95"/>
  <c r="Q13" i="95" s="1"/>
  <c r="C38" i="95"/>
  <c r="D16" i="95"/>
  <c r="H26" i="95"/>
  <c r="P16" i="95"/>
  <c r="H126" i="95"/>
  <c r="G128" i="95"/>
  <c r="K128" i="95" s="1"/>
  <c r="E117" i="95"/>
  <c r="J117" i="95"/>
  <c r="C113" i="95"/>
  <c r="E108" i="95"/>
  <c r="P103" i="95"/>
  <c r="J109" i="95"/>
  <c r="M109" i="95" s="1"/>
  <c r="C99" i="95"/>
  <c r="C109" i="95"/>
  <c r="J93" i="95"/>
  <c r="M93" i="95" s="1"/>
  <c r="D95" i="95"/>
  <c r="H83" i="95"/>
  <c r="C85" i="95"/>
  <c r="P76" i="95"/>
  <c r="H66" i="95"/>
  <c r="C67" i="95"/>
  <c r="E73" i="95"/>
  <c r="E55" i="95"/>
  <c r="P63" i="95"/>
  <c r="H59" i="95"/>
  <c r="C60" i="95"/>
  <c r="J44" i="95"/>
  <c r="M44" i="95" s="1"/>
  <c r="C44" i="95"/>
  <c r="E50" i="95"/>
  <c r="P33" i="95"/>
  <c r="H33" i="95"/>
  <c r="P12" i="95"/>
  <c r="C23" i="95"/>
  <c r="C15" i="95"/>
  <c r="G50" i="95"/>
  <c r="Q50" i="95" s="1"/>
  <c r="H127" i="95"/>
  <c r="G129" i="95"/>
  <c r="E113" i="95"/>
  <c r="J118" i="95"/>
  <c r="M118" i="95" s="1"/>
  <c r="D113" i="95"/>
  <c r="E109" i="95"/>
  <c r="P104" i="95"/>
  <c r="S104" i="95" s="1"/>
  <c r="J110" i="95"/>
  <c r="D99" i="95"/>
  <c r="D109" i="95"/>
  <c r="J94" i="95"/>
  <c r="P80" i="95"/>
  <c r="H84" i="95"/>
  <c r="D85" i="95"/>
  <c r="P77" i="95"/>
  <c r="H67" i="95"/>
  <c r="D67" i="95"/>
  <c r="C74" i="95"/>
  <c r="E56" i="95"/>
  <c r="P64" i="95"/>
  <c r="H60" i="95"/>
  <c r="D60" i="95"/>
  <c r="J45" i="95"/>
  <c r="M45" i="95" s="1"/>
  <c r="D44" i="95"/>
  <c r="C51" i="95"/>
  <c r="P34" i="95"/>
  <c r="S34" i="95" s="1"/>
  <c r="H34" i="95"/>
  <c r="D38" i="95"/>
  <c r="J30" i="95"/>
  <c r="P13" i="95"/>
  <c r="J20" i="95"/>
  <c r="E16" i="95"/>
  <c r="D23" i="95"/>
  <c r="C39" i="95"/>
  <c r="C17" i="95"/>
  <c r="J22" i="95"/>
  <c r="D15" i="95"/>
  <c r="G48" i="95"/>
  <c r="Q48" i="95" s="1"/>
  <c r="H128" i="95"/>
  <c r="C125" i="95"/>
  <c r="E114" i="95"/>
  <c r="J119" i="95"/>
  <c r="M119" i="95" s="1"/>
  <c r="C114" i="95"/>
  <c r="E110" i="95"/>
  <c r="P105" i="95"/>
  <c r="H97" i="95"/>
  <c r="C100" i="95"/>
  <c r="C110" i="95"/>
  <c r="J95" i="95"/>
  <c r="P81" i="95"/>
  <c r="H85" i="95"/>
  <c r="E85" i="95"/>
  <c r="P78" i="95"/>
  <c r="H68" i="95"/>
  <c r="E67" i="95"/>
  <c r="D74" i="95"/>
  <c r="E57" i="95"/>
  <c r="J53" i="95"/>
  <c r="H61" i="95"/>
  <c r="C61" i="95"/>
  <c r="J46" i="95"/>
  <c r="M46" i="95" s="1"/>
  <c r="E44" i="95"/>
  <c r="D51" i="95"/>
  <c r="P35" i="95"/>
  <c r="H35" i="95"/>
  <c r="H25" i="95"/>
  <c r="J21" i="95"/>
  <c r="E23" i="95"/>
  <c r="G49" i="95"/>
  <c r="H129" i="95"/>
  <c r="C126" i="95"/>
  <c r="E115" i="95"/>
  <c r="J120" i="95"/>
  <c r="M120" i="95" s="1"/>
  <c r="D114" i="95"/>
  <c r="E98" i="95"/>
  <c r="P106" i="95"/>
  <c r="S106" i="95" s="1"/>
  <c r="H98" i="95"/>
  <c r="D100" i="95"/>
  <c r="D110" i="95"/>
  <c r="H90" i="95"/>
  <c r="P82" i="95"/>
  <c r="H86" i="95"/>
  <c r="C86" i="95"/>
  <c r="P79" i="95"/>
  <c r="H69" i="95"/>
  <c r="C68" i="95"/>
  <c r="E74" i="95"/>
  <c r="E58" i="95"/>
  <c r="J54" i="95"/>
  <c r="H62" i="95"/>
  <c r="D61" i="95"/>
  <c r="J47" i="95"/>
  <c r="M47" i="95" s="1"/>
  <c r="C45" i="95"/>
  <c r="E51" i="95"/>
  <c r="P36" i="95"/>
  <c r="H36" i="95"/>
  <c r="D39" i="95"/>
  <c r="D17" i="95"/>
  <c r="G79" i="95"/>
  <c r="H131" i="95"/>
  <c r="C127" i="95"/>
  <c r="E112" i="95"/>
  <c r="J121" i="95"/>
  <c r="C115" i="95"/>
  <c r="E99" i="95"/>
  <c r="P107" i="95"/>
  <c r="H99" i="95"/>
  <c r="C101" i="95"/>
  <c r="E90" i="95"/>
  <c r="H91" i="95"/>
  <c r="P83" i="95"/>
  <c r="H87" i="95"/>
  <c r="D86" i="95"/>
  <c r="J65" i="95"/>
  <c r="H70" i="95"/>
  <c r="D68" i="95"/>
  <c r="C75" i="95"/>
  <c r="E59" i="95"/>
  <c r="J55" i="95"/>
  <c r="H63" i="95"/>
  <c r="C62" i="95"/>
  <c r="J48" i="95"/>
  <c r="M48" i="95" s="1"/>
  <c r="D45" i="95"/>
  <c r="E40" i="95"/>
  <c r="P37" i="95"/>
  <c r="H37" i="95"/>
  <c r="C40" i="95"/>
  <c r="H27" i="95"/>
  <c r="J23" i="95"/>
  <c r="G80" i="95"/>
  <c r="G125" i="95"/>
  <c r="C128" i="95"/>
  <c r="P112" i="95"/>
  <c r="J122" i="95"/>
  <c r="M122" i="95" s="1"/>
  <c r="D115" i="95"/>
  <c r="E100" i="95"/>
  <c r="P108" i="95"/>
  <c r="H100" i="95"/>
  <c r="D101" i="95"/>
  <c r="E53" i="95"/>
  <c r="H92" i="95"/>
  <c r="P84" i="95"/>
  <c r="C80" i="95"/>
  <c r="E86" i="95"/>
  <c r="J66" i="95"/>
  <c r="H71" i="95"/>
  <c r="E68" i="95"/>
  <c r="D75" i="95"/>
  <c r="E60" i="95"/>
  <c r="J56" i="95"/>
  <c r="H64" i="95"/>
  <c r="D62" i="95"/>
  <c r="J49" i="95"/>
  <c r="M49" i="95" s="1"/>
  <c r="E45" i="95"/>
  <c r="E41" i="95"/>
  <c r="P38" i="95"/>
  <c r="S38" i="95" s="1"/>
  <c r="H38" i="95"/>
  <c r="D40" i="95"/>
  <c r="H28" i="95"/>
  <c r="P17" i="95"/>
  <c r="J11" i="95"/>
  <c r="M11" i="95" s="1"/>
  <c r="C18" i="95"/>
  <c r="E15" i="95"/>
  <c r="H29" i="95"/>
  <c r="H12" i="95"/>
  <c r="H13" i="95"/>
  <c r="G131" i="95"/>
  <c r="P125" i="95"/>
  <c r="C129" i="95"/>
  <c r="P113" i="95"/>
  <c r="J123" i="95"/>
  <c r="M123" i="95" s="1"/>
  <c r="C117" i="95"/>
  <c r="E101" i="95"/>
  <c r="P109" i="95"/>
  <c r="S109" i="95" s="1"/>
  <c r="H101" i="95"/>
  <c r="C102" i="95"/>
  <c r="E91" i="95"/>
  <c r="H93" i="95"/>
  <c r="P85" i="95"/>
  <c r="D80" i="95"/>
  <c r="C87" i="95"/>
  <c r="J67" i="95"/>
  <c r="M67" i="95" s="1"/>
  <c r="H72" i="95"/>
  <c r="C69" i="95"/>
  <c r="E75" i="95"/>
  <c r="E61" i="95"/>
  <c r="J57" i="95"/>
  <c r="C53" i="95"/>
  <c r="C63" i="95"/>
  <c r="J50" i="95"/>
  <c r="C46" i="95"/>
  <c r="E42" i="95"/>
  <c r="P39" i="95"/>
  <c r="S39" i="95" s="1"/>
  <c r="H39" i="95"/>
  <c r="C41" i="95"/>
  <c r="P18" i="95"/>
  <c r="D18" i="95"/>
  <c r="C14" i="95"/>
  <c r="E18" i="95"/>
  <c r="D13" i="95"/>
  <c r="G117" i="95"/>
  <c r="P126" i="95"/>
  <c r="S126" i="95" s="1"/>
  <c r="C131" i="95"/>
  <c r="P114" i="95"/>
  <c r="G110" i="95"/>
  <c r="Q110" i="95" s="1"/>
  <c r="D117" i="95"/>
  <c r="E102" i="95"/>
  <c r="P110" i="95"/>
  <c r="H102" i="95"/>
  <c r="D102" i="95"/>
  <c r="E92" i="95"/>
  <c r="H94" i="95"/>
  <c r="P86" i="95"/>
  <c r="S86" i="95" s="1"/>
  <c r="E80" i="95"/>
  <c r="D87" i="95"/>
  <c r="J68" i="95"/>
  <c r="H73" i="95"/>
  <c r="D69" i="95"/>
  <c r="C76" i="95"/>
  <c r="E62" i="95"/>
  <c r="J58" i="95"/>
  <c r="D53" i="95"/>
  <c r="D63" i="95"/>
  <c r="J51" i="95"/>
  <c r="M51" i="95" s="1"/>
  <c r="D46" i="95"/>
  <c r="E34" i="95"/>
  <c r="P40" i="95"/>
  <c r="S40" i="95" s="1"/>
  <c r="H40" i="95"/>
  <c r="D41" i="95"/>
  <c r="H30" i="95"/>
  <c r="P19" i="95"/>
  <c r="D14" i="95"/>
  <c r="H112" i="95"/>
  <c r="P127" i="95"/>
  <c r="S127" i="95" s="1"/>
  <c r="E131" i="95"/>
  <c r="P115" i="95"/>
  <c r="S115" i="95" s="1"/>
  <c r="G112" i="95"/>
  <c r="C118" i="95"/>
  <c r="E103" i="95"/>
  <c r="J97" i="95"/>
  <c r="H103" i="95"/>
  <c r="C103" i="95"/>
  <c r="E93" i="95"/>
  <c r="H95" i="95"/>
  <c r="P87" i="95"/>
  <c r="S87" i="95" s="1"/>
  <c r="C81" i="95"/>
  <c r="E87" i="95"/>
  <c r="J69" i="95"/>
  <c r="H74" i="95"/>
  <c r="E69" i="95"/>
  <c r="D76" i="95"/>
  <c r="E63" i="95"/>
  <c r="J59" i="95"/>
  <c r="C54" i="95"/>
  <c r="C64" i="95"/>
  <c r="H43" i="95"/>
  <c r="E46" i="95"/>
  <c r="E35" i="95"/>
  <c r="P41" i="95"/>
  <c r="S41" i="95" s="1"/>
  <c r="H41" i="95"/>
  <c r="C42" i="95"/>
  <c r="C25" i="95"/>
  <c r="P20" i="95"/>
  <c r="H14" i="95"/>
  <c r="C19" i="95"/>
  <c r="E14" i="95"/>
  <c r="H42" i="95"/>
  <c r="D25" i="95"/>
  <c r="H15" i="95"/>
  <c r="E19" i="95"/>
  <c r="H113" i="95"/>
  <c r="P128" i="95"/>
  <c r="S128" i="95" s="1"/>
  <c r="E126" i="95"/>
  <c r="P117" i="95"/>
  <c r="G113" i="95"/>
  <c r="D118" i="95"/>
  <c r="E104" i="95"/>
  <c r="J98" i="95"/>
  <c r="M98" i="95" s="1"/>
  <c r="H104" i="95"/>
  <c r="D103" i="95"/>
  <c r="E94" i="95"/>
  <c r="C90" i="95"/>
  <c r="J80" i="95"/>
  <c r="D81" i="95"/>
  <c r="P65" i="95"/>
  <c r="J70" i="95"/>
  <c r="H75" i="95"/>
  <c r="C70" i="95"/>
  <c r="E76" i="95"/>
  <c r="E64" i="95"/>
  <c r="J60" i="95"/>
  <c r="D54" i="95"/>
  <c r="D64" i="95"/>
  <c r="H44" i="95"/>
  <c r="C47" i="95"/>
  <c r="E36" i="95"/>
  <c r="P42" i="95"/>
  <c r="S42" i="95" s="1"/>
  <c r="D42" i="95"/>
  <c r="P21" i="95"/>
  <c r="D19" i="95"/>
  <c r="C13" i="95"/>
  <c r="H114" i="95"/>
  <c r="P129" i="95"/>
  <c r="S129" i="95" s="1"/>
  <c r="E127" i="95"/>
  <c r="P118" i="95"/>
  <c r="S118" i="95" s="1"/>
  <c r="G114" i="95"/>
  <c r="Q114" i="95" s="1"/>
  <c r="C119" i="95"/>
  <c r="E105" i="95"/>
  <c r="J99" i="95"/>
  <c r="M99" i="95" s="1"/>
  <c r="H105" i="95"/>
  <c r="C104" i="95"/>
  <c r="E95" i="95"/>
  <c r="D90" i="95"/>
  <c r="J81" i="95"/>
  <c r="E81" i="95"/>
  <c r="P66" i="95"/>
  <c r="J71" i="95"/>
  <c r="H76" i="95"/>
  <c r="D70" i="95"/>
  <c r="C77" i="95"/>
  <c r="P53" i="95"/>
  <c r="J61" i="95"/>
  <c r="C55" i="95"/>
  <c r="P43" i="95"/>
  <c r="S43" i="95" s="1"/>
  <c r="H45" i="95"/>
  <c r="D47" i="95"/>
  <c r="E37" i="95"/>
  <c r="J33" i="95"/>
  <c r="C33" i="95"/>
  <c r="P25" i="95"/>
  <c r="C26" i="95"/>
  <c r="P22" i="95"/>
  <c r="H16" i="95"/>
  <c r="H115" i="95"/>
  <c r="P131" i="95"/>
  <c r="S131" i="95" s="1"/>
  <c r="S130" i="95" s="1"/>
  <c r="E128" i="95"/>
  <c r="P119" i="95"/>
  <c r="S119" i="95" s="1"/>
  <c r="G115" i="95"/>
  <c r="D119" i="95"/>
  <c r="E106" i="95"/>
  <c r="J100" i="95"/>
  <c r="M100" i="95" s="1"/>
  <c r="H106" i="95"/>
  <c r="D104" i="95"/>
  <c r="P90" i="95"/>
  <c r="C91" i="95"/>
  <c r="J82" i="95"/>
  <c r="C82" i="95"/>
  <c r="P67" i="95"/>
  <c r="J72" i="95"/>
  <c r="H77" i="95"/>
  <c r="E70" i="95"/>
  <c r="D77" i="95"/>
  <c r="P54" i="95"/>
  <c r="J62" i="95"/>
  <c r="D55" i="95"/>
  <c r="P44" i="95"/>
  <c r="S44" i="95" s="1"/>
  <c r="H46" i="95"/>
  <c r="E47" i="95"/>
  <c r="E38" i="95"/>
  <c r="J34" i="95"/>
  <c r="M34" i="95" s="1"/>
  <c r="D33" i="95"/>
  <c r="P26" i="95"/>
  <c r="S26" i="95" s="1"/>
  <c r="D26" i="95"/>
  <c r="P23" i="95"/>
  <c r="H17" i="95"/>
  <c r="C20" i="95"/>
  <c r="E13" i="95"/>
  <c r="J36" i="95"/>
  <c r="M36" i="95" s="1"/>
  <c r="D27" i="95"/>
  <c r="E20" i="95"/>
  <c r="E11" i="95"/>
  <c r="H117" i="95"/>
  <c r="J125" i="95"/>
  <c r="E129" i="95"/>
  <c r="P120" i="95"/>
  <c r="S120" i="95" s="1"/>
  <c r="G118" i="95"/>
  <c r="C120" i="95"/>
  <c r="E107" i="95"/>
  <c r="J101" i="95"/>
  <c r="M101" i="95" s="1"/>
  <c r="H107" i="95"/>
  <c r="C105" i="95"/>
  <c r="P91" i="95"/>
  <c r="S91" i="95" s="1"/>
  <c r="D91" i="95"/>
  <c r="J83" i="95"/>
  <c r="D82" i="95"/>
  <c r="P68" i="95"/>
  <c r="J73" i="95"/>
  <c r="H78" i="95"/>
  <c r="C71" i="95"/>
  <c r="E77" i="95"/>
  <c r="P55" i="95"/>
  <c r="J63" i="95"/>
  <c r="C56" i="95"/>
  <c r="P45" i="95"/>
  <c r="S45" i="95" s="1"/>
  <c r="H47" i="95"/>
  <c r="C48" i="95"/>
  <c r="E39" i="95"/>
  <c r="J35" i="95"/>
  <c r="M35" i="95" s="1"/>
  <c r="C34" i="95"/>
  <c r="P27" i="95"/>
  <c r="S27" i="95" s="1"/>
  <c r="C27" i="95"/>
  <c r="P11" i="95"/>
  <c r="H18" i="95"/>
  <c r="D20" i="95"/>
  <c r="C12" i="95"/>
  <c r="D34" i="95"/>
  <c r="J12" i="95"/>
  <c r="D12" i="95"/>
  <c r="E12" i="95"/>
  <c r="H118" i="95"/>
  <c r="J126" i="95"/>
  <c r="M126" i="95" s="1"/>
  <c r="E125" i="95"/>
  <c r="P121" i="95"/>
  <c r="S121" i="95" s="1"/>
  <c r="G119" i="95"/>
  <c r="D120" i="95"/>
  <c r="E97" i="95"/>
  <c r="J102" i="95"/>
  <c r="M102" i="95" s="1"/>
  <c r="H108" i="95"/>
  <c r="D105" i="95"/>
  <c r="P92" i="95"/>
  <c r="S92" i="95" s="1"/>
  <c r="C92" i="95"/>
  <c r="J84" i="95"/>
  <c r="E82" i="95"/>
  <c r="P69" i="95"/>
  <c r="J74" i="95"/>
  <c r="M74" i="95" s="1"/>
  <c r="H79" i="95"/>
  <c r="D71" i="95"/>
  <c r="C78" i="95"/>
  <c r="P56" i="95"/>
  <c r="J64" i="95"/>
  <c r="D56" i="95"/>
  <c r="P46" i="95"/>
  <c r="S46" i="95" s="1"/>
  <c r="H48" i="95"/>
  <c r="D48" i="95"/>
  <c r="E33" i="95"/>
  <c r="P28" i="95"/>
  <c r="S28" i="95" s="1"/>
  <c r="H19" i="95"/>
  <c r="H20" i="95"/>
  <c r="E21" i="95"/>
  <c r="H119" i="95"/>
  <c r="J127" i="95"/>
  <c r="M127" i="95" s="1"/>
  <c r="E118" i="95"/>
  <c r="P122" i="95"/>
  <c r="S122" i="95" s="1"/>
  <c r="G120" i="95"/>
  <c r="C121" i="95"/>
  <c r="P97" i="95"/>
  <c r="J103" i="95"/>
  <c r="M103" i="95" s="1"/>
  <c r="H109" i="95"/>
  <c r="C106" i="95"/>
  <c r="P93" i="95"/>
  <c r="S93" i="95" s="1"/>
  <c r="D92" i="95"/>
  <c r="J85" i="95"/>
  <c r="C83" i="95"/>
  <c r="P70" i="95"/>
  <c r="J75" i="95"/>
  <c r="C65" i="95"/>
  <c r="E71" i="95"/>
  <c r="D78" i="95"/>
  <c r="P57" i="95"/>
  <c r="H53" i="95"/>
  <c r="C57" i="95"/>
  <c r="P47" i="95"/>
  <c r="S47" i="95" s="1"/>
  <c r="H49" i="95"/>
  <c r="E48" i="95"/>
  <c r="E26" i="95"/>
  <c r="J37" i="95"/>
  <c r="M37" i="95" s="1"/>
  <c r="C35" i="95"/>
  <c r="P29" i="95"/>
  <c r="S29" i="95" s="1"/>
  <c r="C28" i="95"/>
  <c r="J13" i="95"/>
  <c r="C21" i="95"/>
  <c r="H120" i="95"/>
  <c r="J128" i="95"/>
  <c r="M128" i="95" s="1"/>
  <c r="E119" i="95"/>
  <c r="P123" i="95"/>
  <c r="S123" i="95" s="1"/>
  <c r="G121" i="95"/>
  <c r="D121" i="95"/>
  <c r="P98" i="95"/>
  <c r="S98" i="95" s="1"/>
  <c r="J104" i="95"/>
  <c r="M104" i="95" s="1"/>
  <c r="H110" i="95"/>
  <c r="D106" i="95"/>
  <c r="P94" i="95"/>
  <c r="S94" i="95" s="1"/>
  <c r="C93" i="95"/>
  <c r="J86" i="95"/>
  <c r="M86" i="95" s="1"/>
  <c r="D83" i="95"/>
  <c r="P71" i="95"/>
  <c r="J76" i="95"/>
  <c r="D65" i="95"/>
  <c r="C72" i="95"/>
  <c r="E78" i="95"/>
  <c r="P58" i="95"/>
  <c r="H54" i="95"/>
  <c r="D57" i="95"/>
  <c r="P48" i="95"/>
  <c r="H50" i="95"/>
  <c r="C49" i="95"/>
  <c r="E27" i="95"/>
  <c r="J38" i="95"/>
  <c r="M38" i="95" s="1"/>
  <c r="D35" i="95"/>
  <c r="P30" i="95"/>
  <c r="S30" i="95" s="1"/>
  <c r="D28" i="95"/>
  <c r="J14" i="95"/>
  <c r="H21" i="95"/>
  <c r="D21" i="95"/>
  <c r="D11" i="95"/>
  <c r="H121" i="95"/>
  <c r="J129" i="95"/>
  <c r="M129" i="95" s="1"/>
  <c r="E120" i="95"/>
  <c r="J112" i="95"/>
  <c r="G122" i="95"/>
  <c r="C122" i="95"/>
  <c r="P99" i="95"/>
  <c r="S99" i="95" s="1"/>
  <c r="J105" i="95"/>
  <c r="M105" i="95" s="1"/>
  <c r="C97" i="95"/>
  <c r="C107" i="95"/>
  <c r="P95" i="95"/>
  <c r="S95" i="95" s="1"/>
  <c r="D93" i="95"/>
  <c r="J87" i="95"/>
  <c r="M87" i="95" s="1"/>
  <c r="E83" i="95"/>
  <c r="P72" i="95"/>
  <c r="J77" i="95"/>
  <c r="E65" i="95"/>
  <c r="D72" i="95"/>
  <c r="C79" i="95"/>
  <c r="P59" i="95"/>
  <c r="H55" i="95"/>
  <c r="C58" i="95"/>
  <c r="P49" i="95"/>
  <c r="S49" i="95" s="1"/>
  <c r="H51" i="95"/>
  <c r="D49" i="95"/>
  <c r="E28" i="95"/>
  <c r="J39" i="95"/>
  <c r="M39" i="95" s="1"/>
  <c r="C36" i="95"/>
  <c r="J25" i="95"/>
  <c r="C29" i="95"/>
  <c r="J15" i="95"/>
  <c r="H22" i="95"/>
  <c r="H122" i="95"/>
  <c r="M131" i="95"/>
  <c r="M130" i="95" s="1"/>
  <c r="E121" i="95"/>
  <c r="J113" i="95"/>
  <c r="G123" i="95"/>
  <c r="D122" i="95"/>
  <c r="P100" i="95"/>
  <c r="S100" i="95" s="1"/>
  <c r="J106" i="95"/>
  <c r="M106" i="95" s="1"/>
  <c r="D97" i="95"/>
  <c r="D107" i="95"/>
  <c r="J90" i="95"/>
  <c r="C94" i="95"/>
  <c r="H80" i="95"/>
  <c r="C84" i="95"/>
  <c r="P73" i="95"/>
  <c r="J78" i="95"/>
  <c r="C66" i="95"/>
  <c r="E72" i="95"/>
  <c r="D79" i="95"/>
  <c r="P60" i="95"/>
  <c r="H56" i="95"/>
  <c r="D58" i="95"/>
  <c r="P50" i="95"/>
  <c r="S50" i="95" s="1"/>
  <c r="C43" i="95"/>
  <c r="E49" i="95"/>
  <c r="E29" i="95"/>
  <c r="J40" i="95"/>
  <c r="M40" i="95" s="1"/>
  <c r="D36" i="95"/>
  <c r="J26" i="95"/>
  <c r="M26" i="95" s="1"/>
  <c r="D29" i="95"/>
  <c r="J16" i="95"/>
  <c r="H23" i="95"/>
  <c r="C22" i="95"/>
  <c r="C11" i="95"/>
  <c r="Q128" i="95"/>
  <c r="S113" i="95"/>
  <c r="M115" i="95"/>
  <c r="M114" i="95"/>
  <c r="M121" i="95"/>
  <c r="S105" i="95"/>
  <c r="S103" i="95"/>
  <c r="S101" i="95"/>
  <c r="S108" i="95"/>
  <c r="S102" i="95"/>
  <c r="M95" i="95"/>
  <c r="M94" i="95"/>
  <c r="M50" i="95"/>
  <c r="S36" i="95"/>
  <c r="S35" i="95"/>
  <c r="S37" i="95"/>
  <c r="M41" i="95"/>
  <c r="M30" i="95"/>
  <c r="S13" i="95"/>
  <c r="G12" i="95"/>
  <c r="K131" i="95"/>
  <c r="G67" i="95"/>
  <c r="Q67" i="95" s="1"/>
  <c r="F20" i="10"/>
  <c r="G12" i="103"/>
  <c r="G13" i="103"/>
  <c r="AF38" i="101"/>
  <c r="N35" i="101"/>
  <c r="N33" i="101"/>
  <c r="AJ20" i="102"/>
  <c r="AJ21" i="102" s="1"/>
  <c r="AA24" i="102"/>
  <c r="W21" i="102"/>
  <c r="W22" i="102"/>
  <c r="W20" i="102"/>
  <c r="R24" i="102"/>
  <c r="R26" i="102"/>
  <c r="O15" i="89"/>
  <c r="R13" i="95" l="1"/>
  <c r="T13" i="95" s="1"/>
  <c r="R48" i="95"/>
  <c r="T48" i="95" s="1"/>
  <c r="R110" i="95"/>
  <c r="T110" i="95" s="1"/>
  <c r="R114" i="95"/>
  <c r="T114" i="95" s="1"/>
  <c r="S51" i="95"/>
  <c r="S114" i="95"/>
  <c r="R50" i="95"/>
  <c r="T50" i="95" s="1"/>
  <c r="K114" i="95"/>
  <c r="L114" i="95" s="1"/>
  <c r="N114" i="95" s="1"/>
  <c r="L131" i="95"/>
  <c r="N131" i="95" s="1"/>
  <c r="N130" i="95" s="1"/>
  <c r="I11" i="94" s="1"/>
  <c r="S48" i="95"/>
  <c r="S110" i="95"/>
  <c r="M110" i="95"/>
  <c r="S107" i="95"/>
  <c r="M107" i="95"/>
  <c r="L128" i="95"/>
  <c r="N128" i="95" s="1"/>
  <c r="R128" i="95"/>
  <c r="T128" i="95" s="1"/>
  <c r="Q131" i="95"/>
  <c r="R131" i="95" s="1"/>
  <c r="T131" i="95" s="1"/>
  <c r="T130" i="95" s="1"/>
  <c r="I11" i="93" s="1"/>
  <c r="D37" i="85" l="1"/>
  <c r="C14" i="85"/>
  <c r="D38" i="85" l="1"/>
  <c r="D39" i="85"/>
  <c r="O9" i="89"/>
  <c r="S6" i="102" l="1"/>
  <c r="F9" i="9"/>
  <c r="F8" i="9"/>
  <c r="I4" i="90"/>
  <c r="H5" i="90"/>
  <c r="H4" i="90"/>
  <c r="C32" i="85"/>
  <c r="K7" i="89"/>
  <c r="O7" i="89" s="1"/>
  <c r="K50" i="95"/>
  <c r="L50" i="95" s="1"/>
  <c r="N50" i="95" s="1"/>
  <c r="E16" i="105"/>
  <c r="C16" i="105"/>
  <c r="F13" i="105"/>
  <c r="E13" i="105"/>
  <c r="K11" i="105"/>
  <c r="D13" i="105" s="1"/>
  <c r="F11" i="105"/>
  <c r="F12" i="105" s="1"/>
  <c r="F14" i="105" s="1"/>
  <c r="J6" i="105" s="1"/>
  <c r="K6" i="105" s="1"/>
  <c r="E11" i="105"/>
  <c r="E12" i="105" s="1"/>
  <c r="E14" i="105" s="1"/>
  <c r="J5" i="105" s="1"/>
  <c r="K5" i="105" s="1"/>
  <c r="D11" i="105"/>
  <c r="D12" i="105" s="1"/>
  <c r="D14" i="105" s="1"/>
  <c r="J4" i="105" s="1"/>
  <c r="F9" i="105"/>
  <c r="I16" i="105" s="1"/>
  <c r="E9" i="105"/>
  <c r="D9" i="105"/>
  <c r="I6" i="105"/>
  <c r="H6" i="105"/>
  <c r="H5" i="105"/>
  <c r="I4" i="105"/>
  <c r="H4" i="105"/>
  <c r="L6" i="105" l="1"/>
  <c r="L4" i="105"/>
  <c r="K4" i="105"/>
  <c r="K9" i="90" l="1"/>
  <c r="K6" i="90"/>
  <c r="L9" i="90"/>
  <c r="I5" i="90"/>
  <c r="I7" i="90"/>
  <c r="H7" i="90"/>
  <c r="H8" i="90"/>
  <c r="G7" i="90"/>
  <c r="G9" i="90"/>
  <c r="P8" i="89" l="1"/>
  <c r="B4" i="104"/>
  <c r="D18" i="104" s="1"/>
  <c r="D3" i="93" l="1"/>
  <c r="B3" i="93"/>
  <c r="F17" i="103" l="1"/>
  <c r="G4" i="103"/>
  <c r="M11" i="101"/>
  <c r="AV19" i="86" l="1"/>
  <c r="Q79" i="95" l="1"/>
  <c r="Q80" i="95"/>
  <c r="K110" i="95"/>
  <c r="L110" i="95" s="1"/>
  <c r="N110" i="95" s="1"/>
  <c r="K80" i="95"/>
  <c r="K79" i="95"/>
  <c r="F17" i="85"/>
  <c r="F33" i="85" s="1"/>
  <c r="G27" i="85"/>
  <c r="H27" i="85" s="1"/>
  <c r="G24" i="85"/>
  <c r="H24" i="85" s="1"/>
  <c r="G22" i="85"/>
  <c r="H22" i="85" s="1"/>
  <c r="G16" i="85"/>
  <c r="H16" i="85" s="1"/>
  <c r="G15" i="85"/>
  <c r="H15" i="85" s="1"/>
  <c r="G9" i="85"/>
  <c r="H9" i="85" s="1"/>
  <c r="G6" i="85"/>
  <c r="H6" i="85" s="1"/>
  <c r="G5" i="85"/>
  <c r="H5" i="85" s="1"/>
  <c r="G4" i="85"/>
  <c r="G17" i="85" l="1"/>
  <c r="H17" i="85" s="1"/>
  <c r="H4" i="85"/>
  <c r="H33" i="85" s="1"/>
  <c r="DH14" i="86"/>
  <c r="DH26" i="86"/>
  <c r="DH29" i="86"/>
  <c r="DH21" i="86"/>
  <c r="DH20" i="86"/>
  <c r="DH19" i="86"/>
  <c r="DH17" i="86"/>
  <c r="G33" i="85" l="1"/>
  <c r="DH18" i="86"/>
  <c r="K48" i="95" l="1"/>
  <c r="L48" i="95" s="1"/>
  <c r="N48" i="95" s="1"/>
  <c r="G12" i="10" l="1"/>
  <c r="G13" i="10" l="1"/>
  <c r="F21" i="10" s="1"/>
  <c r="G8" i="90" l="1"/>
  <c r="I8" i="90" s="1"/>
  <c r="D9" i="90"/>
  <c r="D7" i="90"/>
  <c r="D8" i="90"/>
  <c r="C5" i="90"/>
  <c r="G24" i="103" l="1"/>
  <c r="G19" i="103"/>
  <c r="AF36" i="101"/>
  <c r="N29" i="101"/>
  <c r="Q12" i="102" l="1"/>
  <c r="Q14" i="102"/>
  <c r="B2" i="89"/>
  <c r="F2" i="89" s="1"/>
  <c r="Q18" i="102" l="1"/>
  <c r="DG31" i="86"/>
  <c r="G23" i="103"/>
  <c r="P11" i="89"/>
  <c r="C7" i="90"/>
  <c r="C8" i="90"/>
  <c r="C9" i="90" s="1"/>
  <c r="C6" i="90"/>
  <c r="K6" i="89"/>
  <c r="O6" i="89" s="1"/>
  <c r="O11" i="89" s="1"/>
  <c r="O14" i="89" s="1"/>
  <c r="M26" i="101" l="1"/>
  <c r="M14" i="101"/>
  <c r="M13" i="101"/>
  <c r="M12" i="101"/>
  <c r="M10" i="101"/>
  <c r="M9" i="101"/>
  <c r="AJ14" i="102"/>
  <c r="S14" i="102"/>
  <c r="L14" i="102"/>
  <c r="S17" i="102"/>
  <c r="O17" i="102"/>
  <c r="K17" i="102"/>
  <c r="T17" i="102" s="1"/>
  <c r="I17" i="102"/>
  <c r="S16" i="102"/>
  <c r="O16" i="102"/>
  <c r="K16" i="102"/>
  <c r="T16" i="102" s="1"/>
  <c r="I16" i="102"/>
  <c r="S15" i="102"/>
  <c r="O15" i="102"/>
  <c r="K15" i="102"/>
  <c r="T15" i="102" s="1"/>
  <c r="I15" i="102"/>
  <c r="O14" i="102"/>
  <c r="K14" i="102"/>
  <c r="T14" i="102" s="1"/>
  <c r="I14" i="102"/>
  <c r="R12" i="102"/>
  <c r="L10" i="102"/>
  <c r="L9" i="102"/>
  <c r="L8" i="102"/>
  <c r="M7" i="102"/>
  <c r="L7" i="102"/>
  <c r="M6" i="102"/>
  <c r="L6" i="102"/>
  <c r="H23" i="103"/>
  <c r="F23" i="103"/>
  <c r="G25" i="103" s="1"/>
  <c r="F19" i="103"/>
  <c r="F20" i="103" s="1"/>
  <c r="H18" i="103"/>
  <c r="H17" i="103"/>
  <c r="H10" i="103"/>
  <c r="H9" i="103"/>
  <c r="H8" i="103"/>
  <c r="H5" i="103"/>
  <c r="H4" i="103"/>
  <c r="V16" i="102" l="1"/>
  <c r="V14" i="102"/>
  <c r="P14" i="102"/>
  <c r="V15" i="102"/>
  <c r="P17" i="102"/>
  <c r="V17" i="102"/>
  <c r="P15" i="102"/>
  <c r="P16" i="102"/>
  <c r="G11" i="103"/>
  <c r="N14" i="102"/>
  <c r="AC14" i="102" s="1"/>
  <c r="AD14" i="102" s="1"/>
  <c r="AE14" i="102" s="1"/>
  <c r="W17" i="102"/>
  <c r="W16" i="102"/>
  <c r="W15" i="102"/>
  <c r="N15" i="102"/>
  <c r="X15" i="102" s="1"/>
  <c r="Y15" i="102" s="1"/>
  <c r="W14" i="102"/>
  <c r="N17" i="102"/>
  <c r="N16" i="102"/>
  <c r="S13" i="102"/>
  <c r="S12" i="102"/>
  <c r="S11" i="102"/>
  <c r="S10" i="102"/>
  <c r="S9" i="102"/>
  <c r="S8" i="102"/>
  <c r="S7" i="102"/>
  <c r="AK18" i="102"/>
  <c r="AJ18" i="102"/>
  <c r="AI18" i="102"/>
  <c r="AH18" i="102"/>
  <c r="AG18" i="102"/>
  <c r="AF18" i="102"/>
  <c r="R18" i="102"/>
  <c r="O13" i="102"/>
  <c r="K13" i="102"/>
  <c r="T13" i="102" s="1"/>
  <c r="I13" i="102"/>
  <c r="N13" i="102" s="1"/>
  <c r="O12" i="102"/>
  <c r="K12" i="102"/>
  <c r="T12" i="102" s="1"/>
  <c r="I12" i="102"/>
  <c r="O11" i="102"/>
  <c r="K11" i="102"/>
  <c r="I11" i="102"/>
  <c r="O10" i="102"/>
  <c r="K10" i="102"/>
  <c r="I10" i="102"/>
  <c r="O9" i="102"/>
  <c r="K9" i="102"/>
  <c r="I9" i="102"/>
  <c r="O8" i="102"/>
  <c r="K8" i="102"/>
  <c r="I8" i="102"/>
  <c r="O7" i="102"/>
  <c r="K7" i="102"/>
  <c r="I7" i="102"/>
  <c r="O6" i="102"/>
  <c r="K6" i="102"/>
  <c r="T6" i="102" s="1"/>
  <c r="I6" i="102"/>
  <c r="V13" i="102" l="1"/>
  <c r="V6" i="102"/>
  <c r="P11" i="102"/>
  <c r="R20" i="102"/>
  <c r="R22" i="102"/>
  <c r="V12" i="102"/>
  <c r="W12" i="102" s="1"/>
  <c r="P13" i="102"/>
  <c r="P12" i="102"/>
  <c r="P6" i="102"/>
  <c r="P7" i="102"/>
  <c r="P9" i="102"/>
  <c r="P10" i="102"/>
  <c r="P8" i="102"/>
  <c r="N8" i="102"/>
  <c r="AC8" i="102" s="1"/>
  <c r="AD8" i="102" s="1"/>
  <c r="AE8" i="102" s="1"/>
  <c r="N7" i="102"/>
  <c r="AC7" i="102" s="1"/>
  <c r="AD7" i="102" s="1"/>
  <c r="AE7" i="102" s="1"/>
  <c r="X14" i="102"/>
  <c r="Y14" i="102" s="1"/>
  <c r="Z14" i="102"/>
  <c r="AA14" i="102" s="1"/>
  <c r="Z15" i="102"/>
  <c r="AA15" i="102" s="1"/>
  <c r="AC15" i="102"/>
  <c r="AD15" i="102" s="1"/>
  <c r="AE15" i="102" s="1"/>
  <c r="AC16" i="102"/>
  <c r="AD16" i="102" s="1"/>
  <c r="AE16" i="102" s="1"/>
  <c r="Z16" i="102"/>
  <c r="AA16" i="102" s="1"/>
  <c r="X16" i="102"/>
  <c r="Y16" i="102" s="1"/>
  <c r="X17" i="102"/>
  <c r="Y17" i="102" s="1"/>
  <c r="AC17" i="102"/>
  <c r="AD17" i="102" s="1"/>
  <c r="AE17" i="102" s="1"/>
  <c r="Z17" i="102"/>
  <c r="AA17" i="102" s="1"/>
  <c r="N9" i="102"/>
  <c r="N10" i="102"/>
  <c r="X10" i="102" s="1"/>
  <c r="Y10" i="102" s="1"/>
  <c r="N12" i="102"/>
  <c r="N11" i="102"/>
  <c r="L18" i="102"/>
  <c r="T11" i="102"/>
  <c r="T7" i="102"/>
  <c r="T8" i="102"/>
  <c r="I18" i="102"/>
  <c r="D6" i="10" s="1"/>
  <c r="T10" i="102"/>
  <c r="S18" i="102"/>
  <c r="M18" i="102"/>
  <c r="W13" i="102"/>
  <c r="T9" i="102"/>
  <c r="N6" i="102"/>
  <c r="X6" i="102" s="1"/>
  <c r="V8" i="102" l="1"/>
  <c r="W8" i="102" s="1"/>
  <c r="R23" i="102"/>
  <c r="R21" i="102"/>
  <c r="R25" i="102"/>
  <c r="V11" i="102"/>
  <c r="W11" i="102" s="1"/>
  <c r="V7" i="102"/>
  <c r="V9" i="102"/>
  <c r="W9" i="102" s="1"/>
  <c r="V10" i="102"/>
  <c r="W10" i="102" s="1"/>
  <c r="Z10" i="102"/>
  <c r="AA10" i="102" s="1"/>
  <c r="AC10" i="102"/>
  <c r="AD10" i="102" s="1"/>
  <c r="AE10" i="102" s="1"/>
  <c r="X7" i="102"/>
  <c r="Y7" i="102" s="1"/>
  <c r="Z7" i="102"/>
  <c r="AA7" i="102" s="1"/>
  <c r="Z8" i="102"/>
  <c r="AA8" i="102" s="1"/>
  <c r="X8" i="102"/>
  <c r="Y8" i="102" s="1"/>
  <c r="AC11" i="102"/>
  <c r="AD11" i="102" s="1"/>
  <c r="AE11" i="102" s="1"/>
  <c r="X11" i="102"/>
  <c r="Y11" i="102" s="1"/>
  <c r="Z11" i="102"/>
  <c r="AA11" i="102" s="1"/>
  <c r="P18" i="102"/>
  <c r="Z9" i="102"/>
  <c r="AA9" i="102" s="1"/>
  <c r="X9" i="102"/>
  <c r="Y9" i="102" s="1"/>
  <c r="AC9" i="102"/>
  <c r="AD9" i="102" s="1"/>
  <c r="AE9" i="102" s="1"/>
  <c r="AC13" i="102"/>
  <c r="AD13" i="102" s="1"/>
  <c r="AE13" i="102" s="1"/>
  <c r="Z13" i="102"/>
  <c r="AA13" i="102" s="1"/>
  <c r="X13" i="102"/>
  <c r="Y13" i="102" s="1"/>
  <c r="N18" i="102"/>
  <c r="AC6" i="102"/>
  <c r="Z6" i="102"/>
  <c r="X12" i="102"/>
  <c r="Y12" i="102" s="1"/>
  <c r="AC12" i="102"/>
  <c r="AD12" i="102" s="1"/>
  <c r="AE12" i="102" s="1"/>
  <c r="Z12" i="102"/>
  <c r="AA12" i="102" s="1"/>
  <c r="W6" i="102"/>
  <c r="V18" i="102" l="1"/>
  <c r="W7" i="102"/>
  <c r="W18" i="102" s="1"/>
  <c r="Z18" i="102"/>
  <c r="AA6" i="102"/>
  <c r="AA18" i="102" s="1"/>
  <c r="X18" i="102"/>
  <c r="Y6" i="102"/>
  <c r="Y18" i="102" s="1"/>
  <c r="AC18" i="102"/>
  <c r="AD6" i="102"/>
  <c r="AA23" i="102" l="1"/>
  <c r="AA20" i="102"/>
  <c r="AA22" i="102"/>
  <c r="AD18" i="102"/>
  <c r="AE6" i="102"/>
  <c r="AE18" i="102" s="1"/>
  <c r="Q9" i="101" l="1"/>
  <c r="Y9" i="101" s="1"/>
  <c r="M20" i="101" l="1"/>
  <c r="M19" i="101"/>
  <c r="M18" i="101"/>
  <c r="M17" i="101"/>
  <c r="M16" i="101"/>
  <c r="M15" i="101"/>
  <c r="M29" i="101" s="1"/>
  <c r="J17" i="85" l="1"/>
  <c r="BC26" i="86"/>
  <c r="BB26" i="86"/>
  <c r="AZ26" i="86"/>
  <c r="DF26" i="86" s="1"/>
  <c r="AY26" i="86"/>
  <c r="AX26" i="86"/>
  <c r="AW26" i="86"/>
  <c r="AV26" i="86"/>
  <c r="AU26" i="86"/>
  <c r="BC27" i="86"/>
  <c r="AZ27" i="86"/>
  <c r="DF27" i="86" s="1"/>
  <c r="AY27" i="86"/>
  <c r="AX27" i="86"/>
  <c r="AW27" i="86"/>
  <c r="AV27" i="86"/>
  <c r="AU27" i="86"/>
  <c r="BC28" i="86"/>
  <c r="AZ28" i="86"/>
  <c r="DF28" i="86" s="1"/>
  <c r="AY28" i="86"/>
  <c r="AX28" i="86"/>
  <c r="AW28" i="86"/>
  <c r="AV28" i="86"/>
  <c r="AU28" i="86"/>
  <c r="DH24" i="86"/>
  <c r="DH22" i="86"/>
  <c r="BB19" i="86"/>
  <c r="BB18" i="86"/>
  <c r="DH16" i="86"/>
  <c r="BC20" i="86"/>
  <c r="BB20" i="86"/>
  <c r="AZ20" i="86"/>
  <c r="DD20" i="86" s="1"/>
  <c r="AY20" i="86"/>
  <c r="AX20" i="86"/>
  <c r="AW20" i="86"/>
  <c r="AV20" i="86"/>
  <c r="AU20" i="86"/>
  <c r="BC19" i="86"/>
  <c r="AZ19" i="86"/>
  <c r="AY19" i="86"/>
  <c r="AX19" i="86"/>
  <c r="AW19" i="86"/>
  <c r="AU19" i="86"/>
  <c r="BC18" i="86"/>
  <c r="AZ18" i="86"/>
  <c r="BD18" i="86" s="1"/>
  <c r="AY18" i="86"/>
  <c r="AX18" i="86"/>
  <c r="AW18" i="86"/>
  <c r="AV18" i="86"/>
  <c r="AU18" i="86"/>
  <c r="BC23" i="86"/>
  <c r="AZ23" i="86"/>
  <c r="DF23" i="86" s="1"/>
  <c r="AY23" i="86"/>
  <c r="AX23" i="86"/>
  <c r="AW23" i="86"/>
  <c r="AV23" i="86"/>
  <c r="AU23" i="86"/>
  <c r="BC22" i="86"/>
  <c r="AZ22" i="86"/>
  <c r="BA22" i="86" s="1"/>
  <c r="AY22" i="86"/>
  <c r="AX22" i="86"/>
  <c r="AW22" i="86"/>
  <c r="AV22" i="86"/>
  <c r="AU22" i="86"/>
  <c r="BC21" i="86"/>
  <c r="BB21" i="86"/>
  <c r="AZ21" i="86"/>
  <c r="DB21" i="86" s="1"/>
  <c r="AY21" i="86"/>
  <c r="AX21" i="86"/>
  <c r="AW21" i="86"/>
  <c r="AV21" i="86"/>
  <c r="AU21" i="86"/>
  <c r="BC24" i="86"/>
  <c r="AZ24" i="86"/>
  <c r="DE24" i="86" s="1"/>
  <c r="AY24" i="86"/>
  <c r="AX24" i="86"/>
  <c r="AW24" i="86"/>
  <c r="AV24" i="86"/>
  <c r="AU24" i="86"/>
  <c r="BC25" i="86"/>
  <c r="AZ25" i="86"/>
  <c r="AY25" i="86"/>
  <c r="AX25" i="86"/>
  <c r="AW25" i="86"/>
  <c r="AV25" i="86"/>
  <c r="AU25" i="86"/>
  <c r="DH15" i="86"/>
  <c r="DF25" i="86" l="1"/>
  <c r="DD25" i="86"/>
  <c r="BB25" i="86"/>
  <c r="DH25" i="86"/>
  <c r="BB27" i="86"/>
  <c r="DH27" i="86"/>
  <c r="BB28" i="86"/>
  <c r="BG28" i="86" s="1"/>
  <c r="BF28" i="86" s="1"/>
  <c r="DH28" i="86"/>
  <c r="BB23" i="86"/>
  <c r="BG23" i="86" s="1"/>
  <c r="BF23" i="86" s="1"/>
  <c r="DH23" i="86"/>
  <c r="BG26" i="86"/>
  <c r="BF26" i="86" s="1"/>
  <c r="BI20" i="86"/>
  <c r="BI26" i="86"/>
  <c r="BI27" i="86"/>
  <c r="BG27" i="86"/>
  <c r="BF27" i="86" s="1"/>
  <c r="BI22" i="86"/>
  <c r="DF19" i="86"/>
  <c r="BW27" i="86"/>
  <c r="BA26" i="86"/>
  <c r="BW26" i="86"/>
  <c r="BD26" i="86"/>
  <c r="DA26" i="86"/>
  <c r="DB26" i="86"/>
  <c r="DC26" i="86"/>
  <c r="DD26" i="86"/>
  <c r="DE26" i="86"/>
  <c r="BA27" i="86"/>
  <c r="BD27" i="86"/>
  <c r="DA27" i="86"/>
  <c r="DB27" i="86"/>
  <c r="DC27" i="86"/>
  <c r="DD27" i="86"/>
  <c r="DE27" i="86"/>
  <c r="BA28" i="86"/>
  <c r="BW28" i="86"/>
  <c r="BD28" i="86"/>
  <c r="DA28" i="86"/>
  <c r="DB28" i="86"/>
  <c r="DC28" i="86"/>
  <c r="BW19" i="86"/>
  <c r="DD28" i="86"/>
  <c r="DE28" i="86"/>
  <c r="BI28" i="86"/>
  <c r="BG21" i="86"/>
  <c r="BF21" i="86" s="1"/>
  <c r="BB24" i="86"/>
  <c r="BG24" i="86" s="1"/>
  <c r="BF24" i="86" s="1"/>
  <c r="BB22" i="86"/>
  <c r="BG22" i="86" s="1"/>
  <c r="BF22" i="86" s="1"/>
  <c r="DA23" i="86"/>
  <c r="BI21" i="86"/>
  <c r="BI19" i="86"/>
  <c r="DC23" i="86"/>
  <c r="DF21" i="86"/>
  <c r="DE23" i="86"/>
  <c r="BG19" i="86"/>
  <c r="BF19" i="86" s="1"/>
  <c r="BW18" i="86"/>
  <c r="DC18" i="86"/>
  <c r="BG18" i="86"/>
  <c r="BF18" i="86" s="1"/>
  <c r="BI18" i="86"/>
  <c r="CH18" i="86" s="1"/>
  <c r="DB20" i="86"/>
  <c r="DE20" i="86"/>
  <c r="DF20" i="86"/>
  <c r="BG20" i="86"/>
  <c r="BF20" i="86" s="1"/>
  <c r="BA19" i="86"/>
  <c r="BD21" i="86"/>
  <c r="DB18" i="86"/>
  <c r="DC21" i="86"/>
  <c r="DD18" i="86"/>
  <c r="DD21" i="86"/>
  <c r="DE18" i="86"/>
  <c r="DE21" i="86"/>
  <c r="DF18" i="86"/>
  <c r="DA18" i="86"/>
  <c r="BD19" i="86"/>
  <c r="DA19" i="86"/>
  <c r="DB19" i="86"/>
  <c r="BA20" i="86"/>
  <c r="BI23" i="86"/>
  <c r="DC19" i="86"/>
  <c r="BW20" i="86"/>
  <c r="DD19" i="86"/>
  <c r="DE19" i="86"/>
  <c r="BD20" i="86"/>
  <c r="BA18" i="86"/>
  <c r="BW21" i="86"/>
  <c r="DD23" i="86"/>
  <c r="DA20" i="86"/>
  <c r="DC20" i="86"/>
  <c r="DA21" i="86"/>
  <c r="BW22" i="86"/>
  <c r="BD22" i="86"/>
  <c r="DA22" i="86"/>
  <c r="DB22" i="86"/>
  <c r="BA23" i="86"/>
  <c r="DC22" i="86"/>
  <c r="BW23" i="86"/>
  <c r="DD22" i="86"/>
  <c r="BI24" i="86"/>
  <c r="DE22" i="86"/>
  <c r="BD23" i="86"/>
  <c r="BA21" i="86"/>
  <c r="DF22" i="86"/>
  <c r="DF24" i="86"/>
  <c r="DB23" i="86"/>
  <c r="BI25" i="86"/>
  <c r="BG25" i="86"/>
  <c r="BF25" i="86" s="1"/>
  <c r="BD24" i="86"/>
  <c r="BA24" i="86"/>
  <c r="DC24" i="86"/>
  <c r="BW24" i="86"/>
  <c r="DB24" i="86"/>
  <c r="DD24" i="86"/>
  <c r="DA24" i="86"/>
  <c r="BW25" i="86"/>
  <c r="BA25" i="86"/>
  <c r="DA25" i="86"/>
  <c r="BD25" i="86"/>
  <c r="DC25" i="86"/>
  <c r="DE25" i="86"/>
  <c r="DB25" i="86"/>
  <c r="F10" i="9"/>
  <c r="F11" i="9"/>
  <c r="F58" i="95" s="1"/>
  <c r="F12" i="9"/>
  <c r="F13" i="9"/>
  <c r="F7" i="9"/>
  <c r="F6" i="9"/>
  <c r="AW46" i="86" l="1"/>
  <c r="AW47" i="86"/>
  <c r="O16" i="89"/>
  <c r="D22" i="104"/>
  <c r="F51" i="95"/>
  <c r="F46" i="95"/>
  <c r="F20" i="95"/>
  <c r="D23" i="104"/>
  <c r="F38" i="95"/>
  <c r="CL18" i="86"/>
  <c r="Y34" i="101"/>
  <c r="D36" i="85"/>
  <c r="F28" i="95"/>
  <c r="DH30" i="86"/>
  <c r="AA21" i="102"/>
  <c r="CI21" i="86"/>
  <c r="CK26" i="86"/>
  <c r="CI26" i="86"/>
  <c r="CH26" i="86"/>
  <c r="CL26" i="86"/>
  <c r="BH26" i="86"/>
  <c r="CK27" i="86"/>
  <c r="CI27" i="86"/>
  <c r="CH27" i="86"/>
  <c r="CL27" i="86"/>
  <c r="CH21" i="86"/>
  <c r="BH27" i="86"/>
  <c r="CK28" i="86"/>
  <c r="CI28" i="86"/>
  <c r="CH28" i="86"/>
  <c r="CL28" i="86"/>
  <c r="BH28" i="86"/>
  <c r="BH22" i="86"/>
  <c r="BJ22" i="86" s="1"/>
  <c r="BH20" i="86"/>
  <c r="BJ20" i="86" s="1"/>
  <c r="BN20" i="86" s="1"/>
  <c r="BH18" i="86"/>
  <c r="CK18" i="86"/>
  <c r="CI18" i="86"/>
  <c r="CL21" i="86"/>
  <c r="CK21" i="86"/>
  <c r="BH21" i="86"/>
  <c r="BJ21" i="86" s="1"/>
  <c r="BV21" i="86" s="1"/>
  <c r="CL19" i="86"/>
  <c r="CK19" i="86"/>
  <c r="CI19" i="86"/>
  <c r="CH19" i="86"/>
  <c r="BH19" i="86"/>
  <c r="CI20" i="86"/>
  <c r="CH20" i="86"/>
  <c r="CL20" i="86"/>
  <c r="CK20" i="86"/>
  <c r="BH23" i="86"/>
  <c r="CL22" i="86"/>
  <c r="CK22" i="86"/>
  <c r="CH22" i="86"/>
  <c r="CI22" i="86"/>
  <c r="CK23" i="86"/>
  <c r="CI23" i="86"/>
  <c r="CH23" i="86"/>
  <c r="CL23" i="86"/>
  <c r="CI24" i="86"/>
  <c r="CH24" i="86"/>
  <c r="CK24" i="86"/>
  <c r="CL24" i="86"/>
  <c r="BH24" i="86"/>
  <c r="CK25" i="86"/>
  <c r="CI25" i="86"/>
  <c r="CH25" i="86"/>
  <c r="CL25" i="86"/>
  <c r="BH25" i="86"/>
  <c r="AK24" i="101"/>
  <c r="AJ24" i="101"/>
  <c r="Z24" i="101"/>
  <c r="Y24" i="101"/>
  <c r="J24" i="101"/>
  <c r="Z23" i="101"/>
  <c r="Y23" i="101"/>
  <c r="J23" i="101"/>
  <c r="AK22" i="101"/>
  <c r="AJ22" i="101"/>
  <c r="Z22" i="101"/>
  <c r="Y22" i="101"/>
  <c r="J22" i="101"/>
  <c r="Z21" i="101"/>
  <c r="Y21" i="101"/>
  <c r="J21" i="101"/>
  <c r="B2" i="101"/>
  <c r="I27" i="85" l="1"/>
  <c r="I22" i="85"/>
  <c r="I17" i="85"/>
  <c r="I16" i="85"/>
  <c r="I15" i="85"/>
  <c r="I9" i="85"/>
  <c r="I6" i="85"/>
  <c r="I5" i="85"/>
  <c r="I24" i="85"/>
  <c r="I4" i="85"/>
  <c r="C15" i="85"/>
  <c r="CC20" i="86"/>
  <c r="AL22" i="101"/>
  <c r="AL24" i="101"/>
  <c r="AE23" i="101"/>
  <c r="AE21" i="101"/>
  <c r="BJ26" i="86"/>
  <c r="BN26" i="86" s="1"/>
  <c r="CN26" i="86"/>
  <c r="BJ27" i="86"/>
  <c r="CN27" i="86"/>
  <c r="CY20" i="86"/>
  <c r="CB20" i="86"/>
  <c r="CF20" i="86"/>
  <c r="CW20" i="86"/>
  <c r="CG20" i="86"/>
  <c r="CD20" i="86"/>
  <c r="CN28" i="86"/>
  <c r="CE20" i="86"/>
  <c r="BJ28" i="86"/>
  <c r="BN28" i="86" s="1"/>
  <c r="CX20" i="86"/>
  <c r="BL22" i="86"/>
  <c r="CP22" i="86" s="1"/>
  <c r="BR22" i="86"/>
  <c r="BS22" i="86"/>
  <c r="BO22" i="86"/>
  <c r="BT22" i="86"/>
  <c r="CC22" i="86"/>
  <c r="CR22" i="86"/>
  <c r="BN22" i="86"/>
  <c r="CG22" i="86"/>
  <c r="BU22" i="86"/>
  <c r="CV22" i="86"/>
  <c r="CB22" i="86"/>
  <c r="BQ22" i="86"/>
  <c r="CS22" i="86"/>
  <c r="CD22" i="86"/>
  <c r="CF22" i="86"/>
  <c r="BV22" i="86"/>
  <c r="BK22" i="86"/>
  <c r="BM22" i="86"/>
  <c r="CU22" i="86"/>
  <c r="CW22" i="86"/>
  <c r="CY22" i="86"/>
  <c r="CE22" i="86"/>
  <c r="BP22" i="86"/>
  <c r="CQ22" i="86" s="1"/>
  <c r="CZ22" i="86"/>
  <c r="CX22" i="86"/>
  <c r="CB21" i="86"/>
  <c r="CE21" i="86"/>
  <c r="CF21" i="86"/>
  <c r="CC21" i="86"/>
  <c r="CD21" i="86"/>
  <c r="CG21" i="86"/>
  <c r="CZ21" i="86"/>
  <c r="CR21" i="86"/>
  <c r="CX21" i="86"/>
  <c r="BU21" i="86"/>
  <c r="CW21" i="86"/>
  <c r="CY21" i="86"/>
  <c r="CZ20" i="86"/>
  <c r="BK20" i="86"/>
  <c r="BR20" i="86"/>
  <c r="CP20" i="86" s="1"/>
  <c r="BL20" i="86"/>
  <c r="BM20" i="86"/>
  <c r="BP20" i="86"/>
  <c r="BQ20" i="86"/>
  <c r="BS20" i="86"/>
  <c r="BT20" i="86"/>
  <c r="CR20" i="86"/>
  <c r="BO20" i="86"/>
  <c r="BU20" i="86"/>
  <c r="CS20" i="86"/>
  <c r="CU20" i="86"/>
  <c r="BV20" i="86"/>
  <c r="CV20" i="86"/>
  <c r="CN21" i="86"/>
  <c r="BP21" i="86"/>
  <c r="BQ21" i="86"/>
  <c r="BN21" i="86"/>
  <c r="BR21" i="86"/>
  <c r="BO21" i="86"/>
  <c r="BS21" i="86"/>
  <c r="BM21" i="86"/>
  <c r="BL21" i="86"/>
  <c r="BK21" i="86"/>
  <c r="CP21" i="86" s="1"/>
  <c r="BT21" i="86"/>
  <c r="CN19" i="86"/>
  <c r="CS21" i="86"/>
  <c r="CU21" i="86"/>
  <c r="CV21" i="86"/>
  <c r="CN18" i="86"/>
  <c r="BJ18" i="86"/>
  <c r="CR18" i="86" s="1"/>
  <c r="CN20" i="86"/>
  <c r="CO20" i="86"/>
  <c r="BJ19" i="86"/>
  <c r="CZ19" i="86" s="1"/>
  <c r="CN25" i="86"/>
  <c r="CN23" i="86"/>
  <c r="BJ23" i="86"/>
  <c r="CF23" i="86" s="1"/>
  <c r="CN22" i="86"/>
  <c r="CN24" i="86"/>
  <c r="CO21" i="86"/>
  <c r="CO22" i="86"/>
  <c r="BJ24" i="86"/>
  <c r="BJ25" i="86"/>
  <c r="BN25" i="86" s="1"/>
  <c r="AA21" i="101"/>
  <c r="AA23" i="101"/>
  <c r="I33" i="85" l="1"/>
  <c r="CF26" i="86"/>
  <c r="AF23" i="101"/>
  <c r="AG23" i="101" s="1"/>
  <c r="AI23" i="101"/>
  <c r="AF21" i="101"/>
  <c r="AI21" i="101" s="1"/>
  <c r="CG26" i="86"/>
  <c r="CD25" i="86"/>
  <c r="CE19" i="86"/>
  <c r="CC19" i="86"/>
  <c r="CF19" i="86"/>
  <c r="CD19" i="86"/>
  <c r="CB19" i="86"/>
  <c r="CG19" i="86"/>
  <c r="CB25" i="86"/>
  <c r="CE25" i="86"/>
  <c r="CC25" i="86"/>
  <c r="CG25" i="86"/>
  <c r="CF25" i="86"/>
  <c r="AB21" i="101"/>
  <c r="AB23" i="101"/>
  <c r="CF28" i="86"/>
  <c r="CE28" i="86"/>
  <c r="CC28" i="86"/>
  <c r="CB28" i="86"/>
  <c r="CD28" i="86"/>
  <c r="CG28" i="86"/>
  <c r="BN27" i="86"/>
  <c r="CD27" i="86"/>
  <c r="CB27" i="86"/>
  <c r="CF27" i="86"/>
  <c r="CC27" i="86"/>
  <c r="CE27" i="86"/>
  <c r="CG27" i="86"/>
  <c r="CE26" i="86"/>
  <c r="CD26" i="86"/>
  <c r="CC26" i="86"/>
  <c r="CB26" i="86"/>
  <c r="CU27" i="86"/>
  <c r="BU27" i="86"/>
  <c r="BV27" i="86"/>
  <c r="CV27" i="86"/>
  <c r="CW27" i="86"/>
  <c r="BO27" i="86"/>
  <c r="CX27" i="86"/>
  <c r="CR27" i="86"/>
  <c r="CS27" i="86"/>
  <c r="CY27" i="86"/>
  <c r="CZ27" i="86"/>
  <c r="BK27" i="86"/>
  <c r="CP27" i="86" s="1"/>
  <c r="BT26" i="86"/>
  <c r="CR26" i="86"/>
  <c r="BU26" i="86"/>
  <c r="CS26" i="86"/>
  <c r="BV26" i="86"/>
  <c r="BS26" i="86"/>
  <c r="CQ26" i="86" s="1"/>
  <c r="CW26" i="86"/>
  <c r="CU26" i="86"/>
  <c r="CX26" i="86"/>
  <c r="CV26" i="86"/>
  <c r="CY26" i="86"/>
  <c r="BT28" i="86"/>
  <c r="CR28" i="86"/>
  <c r="CS28" i="86"/>
  <c r="CZ26" i="86"/>
  <c r="BK26" i="86"/>
  <c r="CP26" i="86" s="1"/>
  <c r="CU28" i="86"/>
  <c r="BQ26" i="86"/>
  <c r="BP26" i="86"/>
  <c r="BL26" i="86"/>
  <c r="BO26" i="86"/>
  <c r="BM26" i="86"/>
  <c r="BR26" i="86"/>
  <c r="BL27" i="86"/>
  <c r="BQ27" i="86"/>
  <c r="BM27" i="86"/>
  <c r="BS27" i="86"/>
  <c r="BP27" i="86"/>
  <c r="BR27" i="86"/>
  <c r="BT27" i="86"/>
  <c r="BV28" i="86"/>
  <c r="CV28" i="86"/>
  <c r="CW28" i="86"/>
  <c r="CX28" i="86"/>
  <c r="BP28" i="86"/>
  <c r="CQ28" i="86" s="1"/>
  <c r="CY28" i="86"/>
  <c r="BU28" i="86"/>
  <c r="CZ28" i="86"/>
  <c r="BQ28" i="86"/>
  <c r="BL28" i="86"/>
  <c r="BR28" i="86"/>
  <c r="CT21" i="86"/>
  <c r="BM28" i="86"/>
  <c r="BK28" i="86"/>
  <c r="CP28" i="86" s="1"/>
  <c r="BS28" i="86"/>
  <c r="BO28" i="86"/>
  <c r="CT22" i="86"/>
  <c r="CC23" i="86"/>
  <c r="CB23" i="86"/>
  <c r="BM24" i="86"/>
  <c r="CD24" i="86"/>
  <c r="CE24" i="86"/>
  <c r="CB24" i="86"/>
  <c r="CC24" i="86"/>
  <c r="CG24" i="86"/>
  <c r="CF24" i="86"/>
  <c r="CG23" i="86"/>
  <c r="CE23" i="86"/>
  <c r="CD23" i="86"/>
  <c r="BZ22" i="86"/>
  <c r="CA22" i="86" s="1"/>
  <c r="CQ21" i="86"/>
  <c r="CT20" i="86"/>
  <c r="BZ20" i="86"/>
  <c r="CA20" i="86" s="1"/>
  <c r="CQ20" i="86"/>
  <c r="BZ21" i="86"/>
  <c r="CA21" i="86" s="1"/>
  <c r="CU23" i="86"/>
  <c r="BR23" i="86"/>
  <c r="BQ23" i="86"/>
  <c r="CY23" i="86"/>
  <c r="CX23" i="86"/>
  <c r="BP23" i="86"/>
  <c r="CZ23" i="86"/>
  <c r="CW18" i="86"/>
  <c r="CX18" i="86"/>
  <c r="CC18" i="86"/>
  <c r="BN18" i="86"/>
  <c r="BM18" i="86"/>
  <c r="CU18" i="86"/>
  <c r="BV18" i="86"/>
  <c r="CS18" i="86"/>
  <c r="CY18" i="86"/>
  <c r="CE18" i="86"/>
  <c r="CG18" i="86"/>
  <c r="CB18" i="86"/>
  <c r="CF18" i="86"/>
  <c r="CD18" i="86"/>
  <c r="BS18" i="86"/>
  <c r="BQ18" i="86"/>
  <c r="BL18" i="86"/>
  <c r="CV18" i="86"/>
  <c r="CP18" i="86"/>
  <c r="BT18" i="86"/>
  <c r="BU18" i="86"/>
  <c r="CO18" i="86"/>
  <c r="BR18" i="86"/>
  <c r="BK18" i="86"/>
  <c r="BP18" i="86"/>
  <c r="BO18" i="86"/>
  <c r="CZ18" i="86"/>
  <c r="CQ18" i="86"/>
  <c r="BO19" i="86"/>
  <c r="BM19" i="86"/>
  <c r="BP19" i="86"/>
  <c r="BQ19" i="86"/>
  <c r="BN19" i="86"/>
  <c r="BL19" i="86"/>
  <c r="CP19" i="86"/>
  <c r="BK23" i="86"/>
  <c r="BR19" i="86"/>
  <c r="BS19" i="86"/>
  <c r="CV19" i="86"/>
  <c r="BT19" i="86"/>
  <c r="CR19" i="86"/>
  <c r="CY19" i="86"/>
  <c r="CS19" i="86"/>
  <c r="CU19" i="86"/>
  <c r="BU19" i="86"/>
  <c r="BK19" i="86"/>
  <c r="CW19" i="86" s="1"/>
  <c r="CX19" i="86"/>
  <c r="BL23" i="86"/>
  <c r="BN23" i="86"/>
  <c r="BV23" i="86"/>
  <c r="CV23" i="86"/>
  <c r="BU23" i="86"/>
  <c r="CS23" i="86"/>
  <c r="BS23" i="86"/>
  <c r="CR23" i="86"/>
  <c r="BT23" i="86"/>
  <c r="BV19" i="86"/>
  <c r="BL24" i="86"/>
  <c r="CQ24" i="86" s="1"/>
  <c r="BU24" i="86"/>
  <c r="BM23" i="86"/>
  <c r="CP23" i="86" s="1"/>
  <c r="BO23" i="86"/>
  <c r="CW24" i="86"/>
  <c r="CX24" i="86"/>
  <c r="BV24" i="86"/>
  <c r="BT24" i="86"/>
  <c r="BQ24" i="86"/>
  <c r="CY24" i="86"/>
  <c r="BN24" i="86"/>
  <c r="CZ24" i="86"/>
  <c r="CU24" i="86"/>
  <c r="BS24" i="86"/>
  <c r="BP24" i="86"/>
  <c r="BR25" i="86"/>
  <c r="CX25" i="86"/>
  <c r="CV25" i="86"/>
  <c r="BP25" i="86"/>
  <c r="CY25" i="86"/>
  <c r="CP25" i="86"/>
  <c r="CZ25" i="86"/>
  <c r="BU25" i="86"/>
  <c r="CS24" i="86"/>
  <c r="CS25" i="86"/>
  <c r="BO25" i="86"/>
  <c r="BK24" i="86"/>
  <c r="CP24" i="86" s="1"/>
  <c r="CR25" i="86"/>
  <c r="BL25" i="86"/>
  <c r="BO24" i="86"/>
  <c r="BM25" i="86"/>
  <c r="CR24" i="86"/>
  <c r="BR24" i="86"/>
  <c r="CV24" i="86"/>
  <c r="BS25" i="86"/>
  <c r="BV25" i="86"/>
  <c r="BQ25" i="86"/>
  <c r="BT25" i="86"/>
  <c r="CU25" i="86"/>
  <c r="BK25" i="86"/>
  <c r="CW25" i="86"/>
  <c r="CW23" i="86" l="1"/>
  <c r="AG21" i="101"/>
  <c r="CT25" i="86"/>
  <c r="CT19" i="86"/>
  <c r="CT28" i="86"/>
  <c r="CT27" i="86"/>
  <c r="CQ27" i="86"/>
  <c r="CT26" i="86"/>
  <c r="CO26" i="86"/>
  <c r="BZ26" i="86"/>
  <c r="CA26" i="86" s="1"/>
  <c r="CO27" i="86"/>
  <c r="BZ27" i="86"/>
  <c r="CA27" i="86" s="1"/>
  <c r="BZ28" i="86"/>
  <c r="CA28" i="86" s="1"/>
  <c r="CO28" i="86"/>
  <c r="CQ25" i="86"/>
  <c r="CT24" i="86"/>
  <c r="CT23" i="86"/>
  <c r="CQ23" i="86"/>
  <c r="CQ19" i="86"/>
  <c r="CT18" i="86"/>
  <c r="BZ18" i="86"/>
  <c r="CA18" i="86" s="1"/>
  <c r="BZ19" i="86"/>
  <c r="CA19" i="86" s="1"/>
  <c r="BZ23" i="86"/>
  <c r="CA23" i="86" s="1"/>
  <c r="CO23" i="86"/>
  <c r="CO19" i="86"/>
  <c r="BZ25" i="86"/>
  <c r="CA25" i="86" s="1"/>
  <c r="BZ24" i="86"/>
  <c r="CA24" i="86" s="1"/>
  <c r="CO24" i="86"/>
  <c r="CO25" i="86"/>
  <c r="B2" i="10" l="1"/>
  <c r="AD29" i="101" l="1"/>
  <c r="V29" i="101"/>
  <c r="S29" i="101"/>
  <c r="P29" i="101"/>
  <c r="O29" i="101"/>
  <c r="L29" i="101"/>
  <c r="K29" i="101"/>
  <c r="Z28" i="101"/>
  <c r="Y28" i="101"/>
  <c r="J28" i="101"/>
  <c r="Z27" i="101"/>
  <c r="Y27" i="101"/>
  <c r="J27" i="101"/>
  <c r="Z26" i="101"/>
  <c r="Y26" i="101"/>
  <c r="J26" i="101"/>
  <c r="Z25" i="101"/>
  <c r="Y25" i="101"/>
  <c r="J25" i="101"/>
  <c r="AK20" i="101"/>
  <c r="AK29" i="101" s="1"/>
  <c r="AJ20" i="101"/>
  <c r="Z20" i="101"/>
  <c r="Y20" i="101"/>
  <c r="J20" i="101"/>
  <c r="Z19" i="101"/>
  <c r="Y19" i="101"/>
  <c r="J19" i="101"/>
  <c r="Z18" i="101"/>
  <c r="Y18" i="101"/>
  <c r="J18" i="101"/>
  <c r="Z17" i="101"/>
  <c r="Y17" i="101"/>
  <c r="J17" i="101"/>
  <c r="Z16" i="101"/>
  <c r="Y16" i="101"/>
  <c r="J16" i="101"/>
  <c r="Z15" i="101"/>
  <c r="Y15" i="101"/>
  <c r="J15" i="101"/>
  <c r="Z14" i="101"/>
  <c r="Y14" i="101"/>
  <c r="Z13" i="101"/>
  <c r="Y13" i="101"/>
  <c r="Z12" i="101"/>
  <c r="Y12" i="101"/>
  <c r="Z11" i="101"/>
  <c r="Y11" i="101"/>
  <c r="Z10" i="101"/>
  <c r="Y10" i="101"/>
  <c r="Z9" i="101"/>
  <c r="AL20" i="101" l="1"/>
  <c r="AL29" i="101" s="1"/>
  <c r="AE25" i="101"/>
  <c r="AE19" i="101"/>
  <c r="AF19" i="101" s="1"/>
  <c r="AA19" i="101"/>
  <c r="AI19" i="101" s="1"/>
  <c r="AE17" i="101"/>
  <c r="AE13" i="101"/>
  <c r="AE11" i="101"/>
  <c r="AA25" i="101"/>
  <c r="AE27" i="101"/>
  <c r="AA9" i="101"/>
  <c r="AE15" i="101"/>
  <c r="AA15" i="101"/>
  <c r="AA13" i="101"/>
  <c r="Y29" i="101"/>
  <c r="Z29" i="101"/>
  <c r="AE9" i="101"/>
  <c r="J29" i="101"/>
  <c r="AA11" i="101"/>
  <c r="AA17" i="101"/>
  <c r="AA27" i="101"/>
  <c r="AJ29" i="101"/>
  <c r="AF13" i="101" l="1"/>
  <c r="AG13" i="101" s="1"/>
  <c r="AF17" i="101"/>
  <c r="AI17" i="101" s="1"/>
  <c r="AF25" i="101"/>
  <c r="AG25" i="101" s="1"/>
  <c r="AF15" i="101"/>
  <c r="AG15" i="101" s="1"/>
  <c r="AF27" i="101"/>
  <c r="AG27" i="101" s="1"/>
  <c r="AF11" i="101"/>
  <c r="AI11" i="101" s="1"/>
  <c r="AF9" i="101"/>
  <c r="AG9" i="101" s="1"/>
  <c r="AB13" i="101"/>
  <c r="AI13" i="101"/>
  <c r="AB25" i="101"/>
  <c r="AI25" i="101"/>
  <c r="AB15" i="101"/>
  <c r="AI15" i="101"/>
  <c r="AB27" i="101"/>
  <c r="AI27" i="101"/>
  <c r="AB9" i="101"/>
  <c r="AG19" i="101"/>
  <c r="AB19" i="101"/>
  <c r="AA29" i="101"/>
  <c r="AE29" i="101"/>
  <c r="AB17" i="101"/>
  <c r="AB11" i="101"/>
  <c r="N32" i="101" l="1"/>
  <c r="AG11" i="101"/>
  <c r="AK26" i="101"/>
  <c r="AG17" i="101"/>
  <c r="AG29" i="101" s="1"/>
  <c r="AF29" i="101"/>
  <c r="AI9" i="101"/>
  <c r="AJ26" i="101" s="1"/>
  <c r="AL26" i="101" s="1"/>
  <c r="AB29" i="101"/>
  <c r="AI29" i="101"/>
  <c r="AF32" i="101" s="1"/>
  <c r="AF34" i="101" s="1"/>
  <c r="AF35" i="101" l="1"/>
  <c r="AF37" i="101" s="1"/>
  <c r="Y32" i="101"/>
  <c r="Y35" i="101"/>
  <c r="G86" i="95" l="1"/>
  <c r="G85" i="95"/>
  <c r="K85" i="95" s="1"/>
  <c r="G87" i="95"/>
  <c r="G21" i="95"/>
  <c r="G51" i="95"/>
  <c r="Q51" i="95" s="1"/>
  <c r="G16" i="95"/>
  <c r="G20" i="95"/>
  <c r="G17" i="95"/>
  <c r="G11" i="95"/>
  <c r="G14" i="95"/>
  <c r="G18" i="95"/>
  <c r="G22" i="95"/>
  <c r="G15" i="95"/>
  <c r="G23" i="95"/>
  <c r="K129" i="95"/>
  <c r="L129" i="95" s="1"/>
  <c r="N129" i="95" s="1"/>
  <c r="G19" i="95"/>
  <c r="M12" i="95"/>
  <c r="G44" i="95"/>
  <c r="Q44" i="95" s="1"/>
  <c r="R44" i="95" s="1"/>
  <c r="T44" i="95" s="1"/>
  <c r="G45" i="95"/>
  <c r="Q45" i="95" s="1"/>
  <c r="R45" i="95" s="1"/>
  <c r="T45" i="95" s="1"/>
  <c r="M19" i="95"/>
  <c r="S75" i="95"/>
  <c r="S78" i="95"/>
  <c r="K126" i="95"/>
  <c r="L126" i="95" s="1"/>
  <c r="N126" i="95" s="1"/>
  <c r="K127" i="95"/>
  <c r="L127" i="95" s="1"/>
  <c r="N127" i="95" s="1"/>
  <c r="M15" i="95"/>
  <c r="M25" i="95"/>
  <c r="S82" i="95"/>
  <c r="S85" i="95"/>
  <c r="S15" i="95"/>
  <c r="M82" i="95"/>
  <c r="S73" i="95"/>
  <c r="M117" i="95"/>
  <c r="M116" i="95" s="1"/>
  <c r="G105" i="95"/>
  <c r="Q105" i="95" s="1"/>
  <c r="R105" i="95" s="1"/>
  <c r="T105" i="95" s="1"/>
  <c r="S76" i="95"/>
  <c r="M13" i="95"/>
  <c r="M16" i="95"/>
  <c r="S81" i="95"/>
  <c r="K118" i="95"/>
  <c r="L118" i="95" s="1"/>
  <c r="N118" i="95" s="1"/>
  <c r="S12" i="95"/>
  <c r="S17" i="95"/>
  <c r="S72" i="95"/>
  <c r="G104" i="95"/>
  <c r="Q104" i="95" s="1"/>
  <c r="R104" i="95" s="1"/>
  <c r="T104" i="95" s="1"/>
  <c r="S117" i="95"/>
  <c r="S116" i="95" s="1"/>
  <c r="S77" i="95"/>
  <c r="M90" i="95"/>
  <c r="M89" i="95" s="1"/>
  <c r="M14" i="95"/>
  <c r="S97" i="95"/>
  <c r="S96" i="95" s="1"/>
  <c r="M17" i="95"/>
  <c r="M18" i="95"/>
  <c r="M20" i="95"/>
  <c r="S14" i="95"/>
  <c r="S16" i="95"/>
  <c r="S71" i="95"/>
  <c r="S90" i="95"/>
  <c r="S89" i="95" s="1"/>
  <c r="S18" i="95"/>
  <c r="S20" i="95"/>
  <c r="S74" i="95"/>
  <c r="G28" i="95"/>
  <c r="G25" i="95"/>
  <c r="K25" i="95" s="1"/>
  <c r="G29" i="95"/>
  <c r="G30" i="95"/>
  <c r="G26" i="95"/>
  <c r="G55" i="95"/>
  <c r="Q55" i="95" s="1"/>
  <c r="G43" i="95"/>
  <c r="Q43" i="95" s="1"/>
  <c r="R43" i="95" s="1"/>
  <c r="T43" i="95" s="1"/>
  <c r="M76" i="95"/>
  <c r="G42" i="95"/>
  <c r="Q42" i="95" s="1"/>
  <c r="R42" i="95" s="1"/>
  <c r="T42" i="95" s="1"/>
  <c r="G76" i="95"/>
  <c r="Q76" i="95" s="1"/>
  <c r="G71" i="95"/>
  <c r="Q71" i="95" s="1"/>
  <c r="M73" i="95"/>
  <c r="G54" i="95"/>
  <c r="Q54" i="95" s="1"/>
  <c r="G73" i="95"/>
  <c r="Q73" i="95" s="1"/>
  <c r="M75" i="95"/>
  <c r="G75" i="95"/>
  <c r="Q75" i="95" s="1"/>
  <c r="G47" i="95"/>
  <c r="Q47" i="95" s="1"/>
  <c r="R47" i="95" s="1"/>
  <c r="T47" i="95" s="1"/>
  <c r="M77" i="95"/>
  <c r="M72" i="95"/>
  <c r="G46" i="95"/>
  <c r="Q46" i="95" s="1"/>
  <c r="R46" i="95" s="1"/>
  <c r="T46" i="95" s="1"/>
  <c r="G77" i="95"/>
  <c r="Q77" i="95" s="1"/>
  <c r="G72" i="95"/>
  <c r="Q72" i="95" s="1"/>
  <c r="G74" i="95"/>
  <c r="Q74" i="95" s="1"/>
  <c r="G68" i="95"/>
  <c r="Q68" i="95" s="1"/>
  <c r="G41" i="95"/>
  <c r="Q41" i="95" s="1"/>
  <c r="R41" i="95" s="1"/>
  <c r="T41" i="95" s="1"/>
  <c r="G69" i="95"/>
  <c r="Q69" i="95" s="1"/>
  <c r="G27" i="95"/>
  <c r="H4" i="98"/>
  <c r="F4" i="98"/>
  <c r="B4" i="98"/>
  <c r="D14" i="97"/>
  <c r="D12" i="97"/>
  <c r="D10" i="97"/>
  <c r="D8" i="97"/>
  <c r="D6" i="97"/>
  <c r="E3" i="97"/>
  <c r="D3" i="97"/>
  <c r="B3" i="97"/>
  <c r="K121" i="95"/>
  <c r="L121" i="95" s="1"/>
  <c r="N121" i="95" s="1"/>
  <c r="K120" i="95"/>
  <c r="L120" i="95" s="1"/>
  <c r="N120" i="95" s="1"/>
  <c r="K119" i="95"/>
  <c r="L119" i="95" s="1"/>
  <c r="N119" i="95" s="1"/>
  <c r="M113" i="95"/>
  <c r="K113" i="95"/>
  <c r="G109" i="95"/>
  <c r="G108" i="95"/>
  <c r="Q108" i="95" s="1"/>
  <c r="R108" i="95" s="1"/>
  <c r="T108" i="95" s="1"/>
  <c r="G107" i="95"/>
  <c r="Q107" i="95" s="1"/>
  <c r="R107" i="95" s="1"/>
  <c r="T107" i="95" s="1"/>
  <c r="G106" i="95"/>
  <c r="Q106" i="95" s="1"/>
  <c r="R106" i="95" s="1"/>
  <c r="T106" i="95" s="1"/>
  <c r="G103" i="95"/>
  <c r="Q103" i="95" s="1"/>
  <c r="R103" i="95" s="1"/>
  <c r="T103" i="95" s="1"/>
  <c r="G102" i="95"/>
  <c r="Q102" i="95" s="1"/>
  <c r="R102" i="95" s="1"/>
  <c r="T102" i="95" s="1"/>
  <c r="G101" i="95"/>
  <c r="Q101" i="95" s="1"/>
  <c r="R101" i="95" s="1"/>
  <c r="T101" i="95" s="1"/>
  <c r="G100" i="95"/>
  <c r="Q100" i="95" s="1"/>
  <c r="R100" i="95" s="1"/>
  <c r="T100" i="95" s="1"/>
  <c r="G99" i="95"/>
  <c r="Q99" i="95" s="1"/>
  <c r="R99" i="95" s="1"/>
  <c r="T99" i="95" s="1"/>
  <c r="G98" i="95"/>
  <c r="Q98" i="95" s="1"/>
  <c r="R98" i="95" s="1"/>
  <c r="T98" i="95" s="1"/>
  <c r="G97" i="95"/>
  <c r="Q97" i="95" s="1"/>
  <c r="G95" i="95"/>
  <c r="Q95" i="95" s="1"/>
  <c r="R95" i="95" s="1"/>
  <c r="T95" i="95" s="1"/>
  <c r="G94" i="95"/>
  <c r="G93" i="95"/>
  <c r="Q93" i="95" s="1"/>
  <c r="R93" i="95" s="1"/>
  <c r="T93" i="95" s="1"/>
  <c r="G92" i="95"/>
  <c r="Q92" i="95" s="1"/>
  <c r="R92" i="95" s="1"/>
  <c r="T92" i="95" s="1"/>
  <c r="G91" i="95"/>
  <c r="Q91" i="95" s="1"/>
  <c r="R91" i="95" s="1"/>
  <c r="T91" i="95" s="1"/>
  <c r="G90" i="95"/>
  <c r="G84" i="95"/>
  <c r="G83" i="95"/>
  <c r="Q83" i="95" s="1"/>
  <c r="G82" i="95"/>
  <c r="G81" i="95"/>
  <c r="G78" i="95"/>
  <c r="K78" i="95" s="1"/>
  <c r="G70" i="95"/>
  <c r="Q70" i="95" s="1"/>
  <c r="G66" i="95"/>
  <c r="Q66" i="95" s="1"/>
  <c r="G65" i="95"/>
  <c r="G64" i="95"/>
  <c r="Q64" i="95" s="1"/>
  <c r="G63" i="95"/>
  <c r="G62" i="95"/>
  <c r="Q62" i="95" s="1"/>
  <c r="G61" i="95"/>
  <c r="Q61" i="95" s="1"/>
  <c r="G60" i="95"/>
  <c r="Q60" i="95" s="1"/>
  <c r="G59" i="95"/>
  <c r="Q59" i="95" s="1"/>
  <c r="G58" i="95"/>
  <c r="Q58" i="95" s="1"/>
  <c r="G57" i="95"/>
  <c r="Q57" i="95" s="1"/>
  <c r="G56" i="95"/>
  <c r="G53" i="95"/>
  <c r="K53" i="95" s="1"/>
  <c r="Q49" i="95"/>
  <c r="R49" i="95" s="1"/>
  <c r="T49" i="95" s="1"/>
  <c r="G40" i="95"/>
  <c r="Q40" i="95" s="1"/>
  <c r="R40" i="95" s="1"/>
  <c r="T40" i="95" s="1"/>
  <c r="G39" i="95"/>
  <c r="Q39" i="95" s="1"/>
  <c r="R39" i="95" s="1"/>
  <c r="T39" i="95" s="1"/>
  <c r="G38" i="95"/>
  <c r="Q38" i="95" s="1"/>
  <c r="R38" i="95" s="1"/>
  <c r="T38" i="95" s="1"/>
  <c r="G37" i="95"/>
  <c r="Q37" i="95" s="1"/>
  <c r="R37" i="95" s="1"/>
  <c r="T37" i="95" s="1"/>
  <c r="G36" i="95"/>
  <c r="Q36" i="95" s="1"/>
  <c r="R36" i="95" s="1"/>
  <c r="T36" i="95" s="1"/>
  <c r="G35" i="95"/>
  <c r="Q35" i="95" s="1"/>
  <c r="R35" i="95" s="1"/>
  <c r="T35" i="95" s="1"/>
  <c r="G34" i="95"/>
  <c r="Q34" i="95" s="1"/>
  <c r="R34" i="95" s="1"/>
  <c r="T34" i="95" s="1"/>
  <c r="G33" i="95"/>
  <c r="K33" i="95" s="1"/>
  <c r="S11" i="95"/>
  <c r="Q11" i="95"/>
  <c r="F4" i="95"/>
  <c r="B4" i="95"/>
  <c r="R51" i="95" l="1"/>
  <c r="T51" i="95" s="1"/>
  <c r="Q65" i="95"/>
  <c r="R65" i="95" s="1"/>
  <c r="K74" i="95"/>
  <c r="L74" i="95" s="1"/>
  <c r="N74" i="95" s="1"/>
  <c r="K67" i="95"/>
  <c r="Q85" i="95"/>
  <c r="R85" i="95" s="1"/>
  <c r="T85" i="95" s="1"/>
  <c r="K94" i="95"/>
  <c r="L94" i="95" s="1"/>
  <c r="N94" i="95" s="1"/>
  <c r="Q94" i="95"/>
  <c r="R94" i="95" s="1"/>
  <c r="T94" i="95" s="1"/>
  <c r="Q109" i="95"/>
  <c r="R109" i="95" s="1"/>
  <c r="T109" i="95" s="1"/>
  <c r="K109" i="95"/>
  <c r="L109" i="95" s="1"/>
  <c r="N109" i="95" s="1"/>
  <c r="Q115" i="95"/>
  <c r="R115" i="95" s="1"/>
  <c r="T115" i="95" s="1"/>
  <c r="K115" i="95"/>
  <c r="L115" i="95" s="1"/>
  <c r="N115" i="95" s="1"/>
  <c r="Q123" i="95"/>
  <c r="R123" i="95" s="1"/>
  <c r="T123" i="95" s="1"/>
  <c r="K123" i="95"/>
  <c r="L123" i="95" s="1"/>
  <c r="N123" i="95" s="1"/>
  <c r="K87" i="95"/>
  <c r="L87" i="95" s="1"/>
  <c r="N87" i="95" s="1"/>
  <c r="Q87" i="95"/>
  <c r="R87" i="95" s="1"/>
  <c r="T87" i="95" s="1"/>
  <c r="Q122" i="95"/>
  <c r="R122" i="95" s="1"/>
  <c r="T122" i="95" s="1"/>
  <c r="K122" i="95"/>
  <c r="L122" i="95" s="1"/>
  <c r="N122" i="95" s="1"/>
  <c r="K86" i="95"/>
  <c r="L86" i="95" s="1"/>
  <c r="N86" i="95" s="1"/>
  <c r="Q86" i="95"/>
  <c r="R86" i="95" s="1"/>
  <c r="T86" i="95" s="1"/>
  <c r="Q81" i="95"/>
  <c r="R81" i="95" s="1"/>
  <c r="T81" i="95" s="1"/>
  <c r="K81" i="95"/>
  <c r="L81" i="95" s="1"/>
  <c r="N81" i="95" s="1"/>
  <c r="R74" i="95"/>
  <c r="T74" i="95" s="1"/>
  <c r="Q82" i="95"/>
  <c r="R82" i="95" s="1"/>
  <c r="T82" i="95" s="1"/>
  <c r="K82" i="95"/>
  <c r="L82" i="95" s="1"/>
  <c r="N82" i="95" s="1"/>
  <c r="K51" i="95"/>
  <c r="L51" i="95" s="1"/>
  <c r="N51" i="95" s="1"/>
  <c r="Q21" i="95"/>
  <c r="R21" i="95" s="1"/>
  <c r="K21" i="95"/>
  <c r="L21" i="95" s="1"/>
  <c r="K44" i="95"/>
  <c r="L44" i="95" s="1"/>
  <c r="N44" i="95" s="1"/>
  <c r="R62" i="95"/>
  <c r="R72" i="95"/>
  <c r="T72" i="95" s="1"/>
  <c r="R68" i="95"/>
  <c r="R75" i="95"/>
  <c r="T75" i="95" s="1"/>
  <c r="R73" i="95"/>
  <c r="T73" i="95" s="1"/>
  <c r="R64" i="95"/>
  <c r="R55" i="95"/>
  <c r="L25" i="95"/>
  <c r="N25" i="95" s="1"/>
  <c r="R66" i="95"/>
  <c r="R70" i="95"/>
  <c r="R58" i="95"/>
  <c r="L79" i="95"/>
  <c r="N79" i="95" s="1"/>
  <c r="M79" i="95"/>
  <c r="R61" i="95"/>
  <c r="R71" i="95"/>
  <c r="T71" i="95" s="1"/>
  <c r="R76" i="95"/>
  <c r="T76" i="95" s="1"/>
  <c r="M125" i="95"/>
  <c r="M124" i="95" s="1"/>
  <c r="Q127" i="95"/>
  <c r="R127" i="95" s="1"/>
  <c r="T127" i="95" s="1"/>
  <c r="Q126" i="95"/>
  <c r="R126" i="95" s="1"/>
  <c r="T126" i="95" s="1"/>
  <c r="M80" i="95"/>
  <c r="L80" i="95"/>
  <c r="N80" i="95" s="1"/>
  <c r="Q125" i="95"/>
  <c r="R125" i="95" s="1"/>
  <c r="T125" i="95" s="1"/>
  <c r="K125" i="95"/>
  <c r="L125" i="95" s="1"/>
  <c r="N125" i="95" s="1"/>
  <c r="N124" i="95" s="1"/>
  <c r="I10" i="94" s="1"/>
  <c r="R77" i="95"/>
  <c r="T77" i="95" s="1"/>
  <c r="R79" i="95"/>
  <c r="T79" i="95" s="1"/>
  <c r="S79" i="95"/>
  <c r="S80" i="95"/>
  <c r="R80" i="95"/>
  <c r="T80" i="95" s="1"/>
  <c r="S125" i="95"/>
  <c r="S124" i="95" s="1"/>
  <c r="Q129" i="95"/>
  <c r="R129" i="95" s="1"/>
  <c r="T129" i="95" s="1"/>
  <c r="R57" i="95"/>
  <c r="R97" i="95"/>
  <c r="T97" i="95" s="1"/>
  <c r="K105" i="95"/>
  <c r="L105" i="95" s="1"/>
  <c r="N105" i="95" s="1"/>
  <c r="R59" i="95"/>
  <c r="K104" i="95"/>
  <c r="L104" i="95" s="1"/>
  <c r="N104" i="95" s="1"/>
  <c r="M24" i="95"/>
  <c r="R83" i="95"/>
  <c r="Q118" i="95"/>
  <c r="R118" i="95" s="1"/>
  <c r="T118" i="95" s="1"/>
  <c r="R60" i="95"/>
  <c r="R69" i="95"/>
  <c r="R54" i="95"/>
  <c r="S19" i="95"/>
  <c r="Q19" i="95"/>
  <c r="R19" i="95" s="1"/>
  <c r="T19" i="95" s="1"/>
  <c r="K19" i="95"/>
  <c r="L19" i="95" s="1"/>
  <c r="N19" i="95" s="1"/>
  <c r="Q121" i="95"/>
  <c r="R121" i="95" s="1"/>
  <c r="T121" i="95" s="1"/>
  <c r="K93" i="95"/>
  <c r="L93" i="95" s="1"/>
  <c r="N93" i="95" s="1"/>
  <c r="K35" i="95"/>
  <c r="L35" i="95" s="1"/>
  <c r="N35" i="95" s="1"/>
  <c r="K84" i="95"/>
  <c r="L84" i="95" s="1"/>
  <c r="Q84" i="95"/>
  <c r="R84" i="95" s="1"/>
  <c r="K100" i="95"/>
  <c r="L100" i="95" s="1"/>
  <c r="N100" i="95" s="1"/>
  <c r="K101" i="95"/>
  <c r="L101" i="95" s="1"/>
  <c r="N101" i="95" s="1"/>
  <c r="K63" i="95"/>
  <c r="L63" i="95" s="1"/>
  <c r="Q63" i="95"/>
  <c r="R63" i="95" s="1"/>
  <c r="Q119" i="95"/>
  <c r="R119" i="95" s="1"/>
  <c r="T119" i="95" s="1"/>
  <c r="K106" i="95"/>
  <c r="L106" i="95" s="1"/>
  <c r="N106" i="95" s="1"/>
  <c r="K56" i="95"/>
  <c r="L56" i="95" s="1"/>
  <c r="Q56" i="95"/>
  <c r="R56" i="95" s="1"/>
  <c r="L78" i="95"/>
  <c r="N78" i="95" s="1"/>
  <c r="Q78" i="95"/>
  <c r="R78" i="95" s="1"/>
  <c r="T78" i="95" s="1"/>
  <c r="K117" i="95"/>
  <c r="L117" i="95" s="1"/>
  <c r="N117" i="95" s="1"/>
  <c r="Q117" i="95"/>
  <c r="R117" i="95" s="1"/>
  <c r="T117" i="95" s="1"/>
  <c r="Q120" i="95"/>
  <c r="R120" i="95" s="1"/>
  <c r="T120" i="95" s="1"/>
  <c r="K91" i="95"/>
  <c r="L91" i="95" s="1"/>
  <c r="N91" i="95" s="1"/>
  <c r="K90" i="95"/>
  <c r="L90" i="95" s="1"/>
  <c r="N90" i="95" s="1"/>
  <c r="Q90" i="95"/>
  <c r="R90" i="95" s="1"/>
  <c r="T90" i="95" s="1"/>
  <c r="L67" i="95"/>
  <c r="N67" i="95" s="1"/>
  <c r="R67" i="95"/>
  <c r="Q26" i="95"/>
  <c r="R26" i="95" s="1"/>
  <c r="T26" i="95" s="1"/>
  <c r="K26" i="95"/>
  <c r="L26" i="95" s="1"/>
  <c r="N26" i="95" s="1"/>
  <c r="K12" i="95"/>
  <c r="L12" i="95" s="1"/>
  <c r="N12" i="95" s="1"/>
  <c r="Q12" i="95"/>
  <c r="R12" i="95" s="1"/>
  <c r="T12" i="95" s="1"/>
  <c r="K22" i="95"/>
  <c r="L22" i="95" s="1"/>
  <c r="Q22" i="95"/>
  <c r="R22" i="95" s="1"/>
  <c r="Q30" i="95"/>
  <c r="R30" i="95" s="1"/>
  <c r="T30" i="95" s="1"/>
  <c r="K30" i="95"/>
  <c r="L30" i="95" s="1"/>
  <c r="N30" i="95" s="1"/>
  <c r="K23" i="95"/>
  <c r="L23" i="95" s="1"/>
  <c r="Q23" i="95"/>
  <c r="R23" i="95" s="1"/>
  <c r="Q14" i="95"/>
  <c r="R14" i="95" s="1"/>
  <c r="T14" i="95" s="1"/>
  <c r="K14" i="95"/>
  <c r="L14" i="95" s="1"/>
  <c r="N14" i="95" s="1"/>
  <c r="K92" i="95"/>
  <c r="L92" i="95" s="1"/>
  <c r="N92" i="95" s="1"/>
  <c r="Q15" i="95"/>
  <c r="R15" i="95" s="1"/>
  <c r="T15" i="95" s="1"/>
  <c r="K15" i="95"/>
  <c r="L15" i="95" s="1"/>
  <c r="N15" i="95" s="1"/>
  <c r="Q17" i="95"/>
  <c r="R17" i="95" s="1"/>
  <c r="T17" i="95" s="1"/>
  <c r="K17" i="95"/>
  <c r="L17" i="95" s="1"/>
  <c r="N17" i="95" s="1"/>
  <c r="Q29" i="95"/>
  <c r="R29" i="95" s="1"/>
  <c r="T29" i="95" s="1"/>
  <c r="K29" i="95"/>
  <c r="L29" i="95" s="1"/>
  <c r="N29" i="95" s="1"/>
  <c r="Q27" i="95"/>
  <c r="R27" i="95" s="1"/>
  <c r="T27" i="95" s="1"/>
  <c r="K27" i="95"/>
  <c r="L27" i="95" s="1"/>
  <c r="N27" i="95" s="1"/>
  <c r="L13" i="95"/>
  <c r="N13" i="95" s="1"/>
  <c r="Q16" i="95"/>
  <c r="R16" i="95" s="1"/>
  <c r="T16" i="95" s="1"/>
  <c r="K16" i="95"/>
  <c r="L16" i="95" s="1"/>
  <c r="N16" i="95" s="1"/>
  <c r="K18" i="95"/>
  <c r="L18" i="95" s="1"/>
  <c r="N18" i="95" s="1"/>
  <c r="Q18" i="95"/>
  <c r="R18" i="95" s="1"/>
  <c r="T18" i="95" s="1"/>
  <c r="K20" i="95"/>
  <c r="L20" i="95" s="1"/>
  <c r="N20" i="95" s="1"/>
  <c r="Q20" i="95"/>
  <c r="R20" i="95" s="1"/>
  <c r="T20" i="95" s="1"/>
  <c r="Q28" i="95"/>
  <c r="R28" i="95" s="1"/>
  <c r="T28" i="95" s="1"/>
  <c r="K28" i="95"/>
  <c r="L28" i="95" s="1"/>
  <c r="N28" i="95" s="1"/>
  <c r="L53" i="95"/>
  <c r="N53" i="95" s="1"/>
  <c r="K83" i="95"/>
  <c r="L83" i="95" s="1"/>
  <c r="S25" i="95"/>
  <c r="S24" i="95" s="1"/>
  <c r="Q25" i="95"/>
  <c r="R25" i="95" s="1"/>
  <c r="T25" i="95" s="1"/>
  <c r="K77" i="95"/>
  <c r="L77" i="95" s="1"/>
  <c r="N77" i="95" s="1"/>
  <c r="K72" i="95"/>
  <c r="L72" i="95" s="1"/>
  <c r="N72" i="95" s="1"/>
  <c r="K54" i="95"/>
  <c r="L54" i="95" s="1"/>
  <c r="M71" i="95"/>
  <c r="K73" i="95"/>
  <c r="L73" i="95" s="1"/>
  <c r="N73" i="95" s="1"/>
  <c r="K71" i="95"/>
  <c r="L71" i="95" s="1"/>
  <c r="N71" i="95" s="1"/>
  <c r="K76" i="95"/>
  <c r="L76" i="95" s="1"/>
  <c r="N76" i="95" s="1"/>
  <c r="K43" i="95"/>
  <c r="L43" i="95" s="1"/>
  <c r="N43" i="95" s="1"/>
  <c r="K47" i="95"/>
  <c r="L47" i="95" s="1"/>
  <c r="N47" i="95" s="1"/>
  <c r="K75" i="95"/>
  <c r="L75" i="95" s="1"/>
  <c r="N75" i="95" s="1"/>
  <c r="K46" i="95"/>
  <c r="L46" i="95" s="1"/>
  <c r="N46" i="95" s="1"/>
  <c r="K45" i="95"/>
  <c r="L45" i="95" s="1"/>
  <c r="N45" i="95" s="1"/>
  <c r="K42" i="95"/>
  <c r="L42" i="95" s="1"/>
  <c r="N42" i="95" s="1"/>
  <c r="K55" i="95"/>
  <c r="L55" i="95" s="1"/>
  <c r="K69" i="95"/>
  <c r="L69" i="95" s="1"/>
  <c r="K41" i="95"/>
  <c r="L41" i="95" s="1"/>
  <c r="N41" i="95" s="1"/>
  <c r="K68" i="95"/>
  <c r="L68" i="95" s="1"/>
  <c r="Q33" i="95"/>
  <c r="R33" i="95" s="1"/>
  <c r="K97" i="95"/>
  <c r="L97" i="95" s="1"/>
  <c r="N97" i="95" s="1"/>
  <c r="Q113" i="95"/>
  <c r="R113" i="95" s="1"/>
  <c r="T113" i="95" s="1"/>
  <c r="K65" i="95"/>
  <c r="L65" i="95" s="1"/>
  <c r="K40" i="95"/>
  <c r="L40" i="95" s="1"/>
  <c r="N40" i="95" s="1"/>
  <c r="K61" i="95"/>
  <c r="L61" i="95" s="1"/>
  <c r="N61" i="95" s="1"/>
  <c r="L33" i="95"/>
  <c r="K38" i="95"/>
  <c r="L38" i="95" s="1"/>
  <c r="N38" i="95" s="1"/>
  <c r="K57" i="95"/>
  <c r="L57" i="95" s="1"/>
  <c r="K98" i="95"/>
  <c r="L98" i="95" s="1"/>
  <c r="N98" i="95" s="1"/>
  <c r="K107" i="95"/>
  <c r="L107" i="95" s="1"/>
  <c r="N107" i="95" s="1"/>
  <c r="K37" i="95"/>
  <c r="L37" i="95" s="1"/>
  <c r="N37" i="95" s="1"/>
  <c r="K60" i="95"/>
  <c r="L60" i="95" s="1"/>
  <c r="K58" i="95"/>
  <c r="L58" i="95" s="1"/>
  <c r="L113" i="95"/>
  <c r="N113" i="95" s="1"/>
  <c r="L85" i="95"/>
  <c r="Q53" i="95"/>
  <c r="R53" i="95" s="1"/>
  <c r="K64" i="95"/>
  <c r="L64" i="95" s="1"/>
  <c r="K66" i="95"/>
  <c r="L66" i="95" s="1"/>
  <c r="K11" i="95"/>
  <c r="K39" i="95"/>
  <c r="L39" i="95" s="1"/>
  <c r="N39" i="95" s="1"/>
  <c r="K34" i="95"/>
  <c r="L34" i="95" s="1"/>
  <c r="N34" i="95" s="1"/>
  <c r="M78" i="95"/>
  <c r="K62" i="95"/>
  <c r="L62" i="95" s="1"/>
  <c r="K70" i="95"/>
  <c r="L70" i="95" s="1"/>
  <c r="Q112" i="95"/>
  <c r="R112" i="95" s="1"/>
  <c r="T112" i="95" s="1"/>
  <c r="K112" i="95"/>
  <c r="L112" i="95" s="1"/>
  <c r="N112" i="95" s="1"/>
  <c r="K102" i="95"/>
  <c r="L102" i="95" s="1"/>
  <c r="N102" i="95" s="1"/>
  <c r="M112" i="95"/>
  <c r="K59" i="95"/>
  <c r="L59" i="95" s="1"/>
  <c r="S112" i="95"/>
  <c r="S111" i="95" s="1"/>
  <c r="S88" i="95" s="1"/>
  <c r="K108" i="95"/>
  <c r="L108" i="95" s="1"/>
  <c r="N108" i="95" s="1"/>
  <c r="K36" i="95"/>
  <c r="L36" i="95" s="1"/>
  <c r="N36" i="95" s="1"/>
  <c r="K49" i="95"/>
  <c r="L49" i="95" s="1"/>
  <c r="N49" i="95" s="1"/>
  <c r="M81" i="95"/>
  <c r="M97" i="95"/>
  <c r="M96" i="95" s="1"/>
  <c r="K95" i="95"/>
  <c r="L95" i="95" s="1"/>
  <c r="N95" i="95" s="1"/>
  <c r="K103" i="95"/>
  <c r="L103" i="95" s="1"/>
  <c r="N103" i="95" s="1"/>
  <c r="R11" i="95"/>
  <c r="T11" i="95" s="1"/>
  <c r="K99" i="95"/>
  <c r="L99" i="95" s="1"/>
  <c r="N99" i="95" s="1"/>
  <c r="T89" i="95" l="1"/>
  <c r="T96" i="95"/>
  <c r="N116" i="95"/>
  <c r="I9" i="94" s="1"/>
  <c r="T24" i="95"/>
  <c r="T116" i="95"/>
  <c r="I9" i="93" s="1"/>
  <c r="T111" i="95"/>
  <c r="N96" i="95"/>
  <c r="T124" i="95"/>
  <c r="I10" i="93" s="1"/>
  <c r="N89" i="95"/>
  <c r="L11" i="95"/>
  <c r="N11" i="95" s="1"/>
  <c r="N24" i="95"/>
  <c r="T88" i="95" l="1"/>
  <c r="I8" i="93" s="1"/>
  <c r="D17" i="97"/>
  <c r="D15" i="97"/>
  <c r="K15" i="97" s="1"/>
  <c r="L15" i="97" l="1"/>
  <c r="L17" i="97"/>
  <c r="K17" i="97"/>
  <c r="J17" i="97"/>
  <c r="I17" i="97"/>
  <c r="H17" i="97"/>
  <c r="G17" i="97"/>
  <c r="F17" i="97"/>
  <c r="AW55" i="86" l="1"/>
  <c r="E14" i="90" l="1"/>
  <c r="E15" i="90" s="1"/>
  <c r="E17" i="90" s="1"/>
  <c r="D14" i="90"/>
  <c r="D15" i="90" s="1"/>
  <c r="D17" i="90" s="1"/>
  <c r="J7" i="90" s="1"/>
  <c r="K7" i="90" l="1"/>
  <c r="L7" i="90"/>
  <c r="J8" i="90"/>
  <c r="J5" i="90"/>
  <c r="L6" i="90"/>
  <c r="J4" i="90"/>
  <c r="K4" i="90" s="1"/>
  <c r="K8" i="90" l="1"/>
  <c r="L8" i="90"/>
  <c r="K5" i="90"/>
  <c r="L5" i="90"/>
  <c r="L4" i="90"/>
  <c r="DA29" i="86" l="1"/>
  <c r="BC14" i="86"/>
  <c r="BB14" i="86"/>
  <c r="AZ14" i="86"/>
  <c r="AY14" i="86"/>
  <c r="AX14" i="86"/>
  <c r="AW14" i="86"/>
  <c r="AV14" i="86"/>
  <c r="AU14" i="86"/>
  <c r="S69" i="95" l="1"/>
  <c r="T69" i="95"/>
  <c r="DF14" i="86"/>
  <c r="DA14" i="86"/>
  <c r="BG14" i="86"/>
  <c r="BF14" i="86" s="1"/>
  <c r="BW14" i="86"/>
  <c r="BI14" i="86"/>
  <c r="DB14" i="86"/>
  <c r="DC14" i="86"/>
  <c r="DD14" i="86"/>
  <c r="BD14" i="86"/>
  <c r="DE14" i="86"/>
  <c r="AU17" i="86"/>
  <c r="AU16" i="86"/>
  <c r="AU15" i="86"/>
  <c r="BC17" i="86"/>
  <c r="AZ17" i="86"/>
  <c r="AY17" i="86"/>
  <c r="AX17" i="86"/>
  <c r="AW17" i="86"/>
  <c r="AV17" i="86"/>
  <c r="BC16" i="86"/>
  <c r="AZ16" i="86"/>
  <c r="AY16" i="86"/>
  <c r="AX16" i="86"/>
  <c r="AW16" i="86"/>
  <c r="AV16" i="86"/>
  <c r="BC15" i="86"/>
  <c r="AZ15" i="86"/>
  <c r="AY15" i="86"/>
  <c r="AX15" i="86"/>
  <c r="AW15" i="86"/>
  <c r="AV15" i="86"/>
  <c r="BB16" i="86"/>
  <c r="BB17" i="86"/>
  <c r="BB15" i="86"/>
  <c r="DE15" i="86" l="1"/>
  <c r="DA15" i="86"/>
  <c r="AW48" i="86" s="1"/>
  <c r="DB16" i="86"/>
  <c r="DA16" i="86"/>
  <c r="DB17" i="86"/>
  <c r="DA17" i="86"/>
  <c r="BI16" i="86"/>
  <c r="BG17" i="86"/>
  <c r="BF17" i="86" s="1"/>
  <c r="CH14" i="86"/>
  <c r="CI14" i="86"/>
  <c r="CL14" i="86"/>
  <c r="CK14" i="86"/>
  <c r="BH14" i="86"/>
  <c r="BG16" i="86"/>
  <c r="BF16" i="86" s="1"/>
  <c r="BG15" i="86"/>
  <c r="BF15" i="86" s="1"/>
  <c r="DF16" i="86"/>
  <c r="BW17" i="86"/>
  <c r="BD16" i="86"/>
  <c r="DC16" i="86"/>
  <c r="DD16" i="86"/>
  <c r="DE16" i="86"/>
  <c r="BD17" i="86"/>
  <c r="BI17" i="86"/>
  <c r="DC17" i="86"/>
  <c r="DD17" i="86"/>
  <c r="BW15" i="86"/>
  <c r="BW16" i="86"/>
  <c r="DE17" i="86"/>
  <c r="DF17" i="86"/>
  <c r="DB15" i="86"/>
  <c r="DD15" i="86"/>
  <c r="DC15" i="86"/>
  <c r="BD15" i="86"/>
  <c r="BI15" i="86"/>
  <c r="DF15" i="86"/>
  <c r="AL7" i="86"/>
  <c r="DC31" i="86" l="1"/>
  <c r="DD31" i="86"/>
  <c r="DB31" i="86"/>
  <c r="DF31" i="86"/>
  <c r="DE31" i="86"/>
  <c r="AW49" i="86"/>
  <c r="CN14" i="86"/>
  <c r="DA30" i="86"/>
  <c r="CH16" i="86"/>
  <c r="BJ14" i="86"/>
  <c r="CF14" i="86" s="1"/>
  <c r="BH15" i="86"/>
  <c r="BJ15" i="86" s="1"/>
  <c r="CS15" i="86" s="1"/>
  <c r="CL16" i="86"/>
  <c r="CK16" i="86"/>
  <c r="CI16" i="86"/>
  <c r="BH16" i="86"/>
  <c r="BJ16" i="86" s="1"/>
  <c r="CV16" i="86" s="1"/>
  <c r="CL17" i="86"/>
  <c r="CK17" i="86"/>
  <c r="BH17" i="86"/>
  <c r="BJ17" i="86" s="1"/>
  <c r="BK17" i="86" s="1"/>
  <c r="CH17" i="86"/>
  <c r="CI17" i="86"/>
  <c r="CH15" i="86"/>
  <c r="CL15" i="86"/>
  <c r="CK15" i="86"/>
  <c r="CI15" i="86"/>
  <c r="M53" i="95" l="1"/>
  <c r="M55" i="95"/>
  <c r="S55" i="95"/>
  <c r="N55" i="95"/>
  <c r="T55" i="95"/>
  <c r="S57" i="95"/>
  <c r="T57" i="95"/>
  <c r="S58" i="95"/>
  <c r="T58" i="95"/>
  <c r="CC14" i="86"/>
  <c r="M58" i="95"/>
  <c r="N58" i="95"/>
  <c r="S53" i="95"/>
  <c r="T53" i="95"/>
  <c r="BT14" i="86"/>
  <c r="CG14" i="86"/>
  <c r="CB14" i="86"/>
  <c r="BQ14" i="86"/>
  <c r="CS14" i="86"/>
  <c r="BR14" i="86"/>
  <c r="BS14" i="86"/>
  <c r="CN16" i="86"/>
  <c r="CU14" i="86"/>
  <c r="CV14" i="86"/>
  <c r="BU14" i="86"/>
  <c r="CY14" i="86"/>
  <c r="CX14" i="86"/>
  <c r="CE14" i="86"/>
  <c r="CD14" i="86"/>
  <c r="BV14" i="86"/>
  <c r="CP14" i="86"/>
  <c r="BN14" i="86"/>
  <c r="BL14" i="86"/>
  <c r="BM14" i="86"/>
  <c r="BO14" i="86"/>
  <c r="BP14" i="86"/>
  <c r="CR14" i="86"/>
  <c r="BK14" i="86"/>
  <c r="CY15" i="86"/>
  <c r="CX16" i="86"/>
  <c r="CN17" i="86"/>
  <c r="BV16" i="86"/>
  <c r="BL15" i="86"/>
  <c r="BN15" i="86"/>
  <c r="BP15" i="86"/>
  <c r="CU15" i="86"/>
  <c r="BM15" i="86"/>
  <c r="BK15" i="86"/>
  <c r="BR15" i="86"/>
  <c r="CR15" i="86"/>
  <c r="BQ15" i="86"/>
  <c r="BO15" i="86"/>
  <c r="CN15" i="86"/>
  <c r="CD15" i="86"/>
  <c r="BL17" i="86"/>
  <c r="CQ17" i="86" s="1"/>
  <c r="BS15" i="86"/>
  <c r="CE15" i="86"/>
  <c r="BU15" i="86"/>
  <c r="CF15" i="86"/>
  <c r="BT15" i="86"/>
  <c r="CB15" i="86"/>
  <c r="CV15" i="86"/>
  <c r="CC15" i="86"/>
  <c r="BV15" i="86"/>
  <c r="CG15" i="86"/>
  <c r="CX15" i="86"/>
  <c r="BP17" i="86"/>
  <c r="CD17" i="86"/>
  <c r="BQ17" i="86"/>
  <c r="CP16" i="86"/>
  <c r="CG17" i="86"/>
  <c r="BS17" i="86"/>
  <c r="BM16" i="86"/>
  <c r="CC17" i="86"/>
  <c r="BT17" i="86"/>
  <c r="BQ16" i="86"/>
  <c r="CE17" i="86"/>
  <c r="CZ17" i="86"/>
  <c r="CW17" i="86"/>
  <c r="BK16" i="86"/>
  <c r="BN16" i="86"/>
  <c r="CF17" i="86"/>
  <c r="BO16" i="86"/>
  <c r="CB17" i="86"/>
  <c r="CU17" i="86"/>
  <c r="CV17" i="86"/>
  <c r="BL16" i="86"/>
  <c r="CB16" i="86"/>
  <c r="CX17" i="86"/>
  <c r="BV17" i="86"/>
  <c r="BR17" i="86"/>
  <c r="CY17" i="86"/>
  <c r="CC16" i="86"/>
  <c r="BM17" i="86"/>
  <c r="CR17" i="86"/>
  <c r="BU16" i="86"/>
  <c r="CD16" i="86"/>
  <c r="BR16" i="86"/>
  <c r="BP16" i="86"/>
  <c r="CE16" i="86"/>
  <c r="CU16" i="86"/>
  <c r="CG16" i="86"/>
  <c r="CR16" i="86"/>
  <c r="CP17" i="86"/>
  <c r="BU17" i="86"/>
  <c r="CF16" i="86"/>
  <c r="BS16" i="86"/>
  <c r="BO17" i="86"/>
  <c r="CY16" i="86"/>
  <c r="BN17" i="86"/>
  <c r="CP15" i="86"/>
  <c r="BT16" i="86"/>
  <c r="S56" i="95" l="1"/>
  <c r="T56" i="95"/>
  <c r="M56" i="95"/>
  <c r="N56" i="95"/>
  <c r="S54" i="95"/>
  <c r="M54" i="95"/>
  <c r="N54" i="95"/>
  <c r="T54" i="95"/>
  <c r="CZ16" i="86"/>
  <c r="CZ15" i="86"/>
  <c r="CZ14" i="86"/>
  <c r="CW16" i="86"/>
  <c r="CW15" i="86"/>
  <c r="CW14" i="86"/>
  <c r="CQ16" i="86"/>
  <c r="CO16" i="86"/>
  <c r="CT14" i="86"/>
  <c r="CO17" i="86"/>
  <c r="CO14" i="86"/>
  <c r="CO15" i="86"/>
  <c r="CS17" i="86"/>
  <c r="CS16" i="86"/>
  <c r="CQ14" i="86"/>
  <c r="BZ14" i="86"/>
  <c r="CA14" i="86" s="1"/>
  <c r="CQ15" i="86"/>
  <c r="BZ15" i="86"/>
  <c r="CA15" i="86" s="1"/>
  <c r="CT15" i="86"/>
  <c r="CT17" i="86"/>
  <c r="BZ17" i="86"/>
  <c r="CA17" i="86" s="1"/>
  <c r="BZ16" i="86"/>
  <c r="CA16" i="86" s="1"/>
  <c r="CT16" i="86"/>
  <c r="BH42" i="86" l="1"/>
  <c r="BG42" i="86"/>
  <c r="BF42" i="86"/>
  <c r="BE42" i="86"/>
  <c r="BC42" i="86"/>
  <c r="DG29" i="86"/>
  <c r="DG32" i="86" s="1"/>
  <c r="DF29" i="86"/>
  <c r="DF32" i="86" s="1"/>
  <c r="DE29" i="86"/>
  <c r="DE32" i="86" s="1"/>
  <c r="DD29" i="86"/>
  <c r="DD32" i="86" s="1"/>
  <c r="DC29" i="86"/>
  <c r="DB29" i="86"/>
  <c r="DB32" i="86" s="1"/>
  <c r="BW29" i="86"/>
  <c r="BW30" i="86" s="1"/>
  <c r="BI29" i="86"/>
  <c r="BG29" i="86"/>
  <c r="BD29" i="86"/>
  <c r="AY29" i="86"/>
  <c r="AW29" i="86"/>
  <c r="J32" i="85"/>
  <c r="E31" i="85"/>
  <c r="J31" i="85" s="1"/>
  <c r="L31" i="85" s="1"/>
  <c r="E30" i="85"/>
  <c r="J30" i="85" s="1"/>
  <c r="L30" i="85" s="1"/>
  <c r="E29" i="85"/>
  <c r="J29" i="85" s="1"/>
  <c r="L29" i="85" s="1"/>
  <c r="E28" i="85"/>
  <c r="J28" i="85" s="1"/>
  <c r="L28" i="85" s="1"/>
  <c r="J27" i="85"/>
  <c r="E26" i="85"/>
  <c r="J26" i="85" s="1"/>
  <c r="L26" i="85" s="1"/>
  <c r="E25" i="85"/>
  <c r="J25" i="85" s="1"/>
  <c r="L25" i="85" s="1"/>
  <c r="E24" i="85"/>
  <c r="J24" i="85" s="1"/>
  <c r="E23" i="85"/>
  <c r="J23" i="85" s="1"/>
  <c r="L23" i="85" s="1"/>
  <c r="E22" i="85"/>
  <c r="J22" i="85" s="1"/>
  <c r="E21" i="85"/>
  <c r="J21" i="85" s="1"/>
  <c r="L21" i="85" s="1"/>
  <c r="E20" i="85"/>
  <c r="J20" i="85" s="1"/>
  <c r="L20" i="85" s="1"/>
  <c r="E19" i="85"/>
  <c r="J19" i="85" s="1"/>
  <c r="L19" i="85" s="1"/>
  <c r="E18" i="85"/>
  <c r="J18" i="85" s="1"/>
  <c r="L18" i="85" s="1"/>
  <c r="J16" i="85"/>
  <c r="J15" i="85"/>
  <c r="E13" i="85"/>
  <c r="J13" i="85" s="1"/>
  <c r="L13" i="85" s="1"/>
  <c r="E12" i="85"/>
  <c r="J12" i="85" s="1"/>
  <c r="L12" i="85" s="1"/>
  <c r="E11" i="85"/>
  <c r="J11" i="85" s="1"/>
  <c r="L11" i="85" s="1"/>
  <c r="E10" i="85"/>
  <c r="J10" i="85" s="1"/>
  <c r="L10" i="85" s="1"/>
  <c r="E9" i="85"/>
  <c r="J9" i="85" s="1"/>
  <c r="J8" i="85"/>
  <c r="L8" i="85" s="1"/>
  <c r="E7" i="85"/>
  <c r="J7" i="85" s="1"/>
  <c r="L7" i="85" s="1"/>
  <c r="E6" i="85"/>
  <c r="J6" i="85" s="1"/>
  <c r="E5" i="85"/>
  <c r="J5" i="85" s="1"/>
  <c r="E4" i="85"/>
  <c r="J4" i="85" s="1"/>
  <c r="DC32" i="86" l="1"/>
  <c r="DC30" i="86"/>
  <c r="S65" i="95"/>
  <c r="M65" i="95"/>
  <c r="T65" i="95"/>
  <c r="N65" i="95"/>
  <c r="J33" i="85"/>
  <c r="DB30" i="86"/>
  <c r="DD30" i="86"/>
  <c r="DE30" i="86"/>
  <c r="BD42" i="86"/>
  <c r="CH29" i="86"/>
  <c r="CH30" i="86" s="1"/>
  <c r="BH29" i="86"/>
  <c r="BJ29" i="86" s="1"/>
  <c r="BM29" i="86" s="1"/>
  <c r="BM30" i="86" s="1"/>
  <c r="CI29" i="86"/>
  <c r="CI30" i="86" s="1"/>
  <c r="CK29" i="86"/>
  <c r="CL29" i="86"/>
  <c r="CL30" i="86" s="1"/>
  <c r="BF29" i="86"/>
  <c r="S63" i="95" l="1"/>
  <c r="T63" i="95"/>
  <c r="N63" i="95"/>
  <c r="M63" i="95"/>
  <c r="S83" i="95"/>
  <c r="M83" i="95"/>
  <c r="T83" i="95"/>
  <c r="N83" i="95"/>
  <c r="S66" i="95"/>
  <c r="M66" i="95"/>
  <c r="T66" i="95"/>
  <c r="N66" i="95"/>
  <c r="S59" i="95"/>
  <c r="T59" i="95"/>
  <c r="M59" i="95"/>
  <c r="N59" i="95"/>
  <c r="T62" i="95"/>
  <c r="S62" i="95"/>
  <c r="N62" i="95"/>
  <c r="M62" i="95"/>
  <c r="S61" i="95"/>
  <c r="T61" i="95"/>
  <c r="M61" i="95"/>
  <c r="M69" i="95"/>
  <c r="N69" i="95"/>
  <c r="DF30" i="86"/>
  <c r="DG30" i="86"/>
  <c r="CN29" i="86"/>
  <c r="CN30" i="86" s="1"/>
  <c r="AW51" i="86" s="1"/>
  <c r="BK29" i="86"/>
  <c r="BL29" i="86"/>
  <c r="BL30" i="86" s="1"/>
  <c r="CW29" i="86"/>
  <c r="CW30" i="86" s="1"/>
  <c r="CX29" i="86"/>
  <c r="CX30" i="86" s="1"/>
  <c r="CY29" i="86"/>
  <c r="CY30" i="86" s="1"/>
  <c r="CU29" i="86"/>
  <c r="CU30" i="86" s="1"/>
  <c r="BP29" i="86"/>
  <c r="BP30" i="86" s="1"/>
  <c r="BQ29" i="86"/>
  <c r="BQ30" i="86" s="1"/>
  <c r="CZ29" i="86"/>
  <c r="CZ30" i="86" s="1"/>
  <c r="BO29" i="86"/>
  <c r="BO30" i="86" s="1"/>
  <c r="BN29" i="86"/>
  <c r="BN30" i="86" s="1"/>
  <c r="BS29" i="86"/>
  <c r="BS30" i="86" s="1"/>
  <c r="BT29" i="86"/>
  <c r="BT30" i="86" s="1"/>
  <c r="BU29" i="86"/>
  <c r="BU30" i="86" s="1"/>
  <c r="CO29" i="86"/>
  <c r="BV29" i="86"/>
  <c r="BV30" i="86" s="1"/>
  <c r="CQ29" i="86"/>
  <c r="CQ30" i="86" s="1"/>
  <c r="CR29" i="86"/>
  <c r="CR30" i="86" s="1"/>
  <c r="CS29" i="86"/>
  <c r="CS30" i="86" s="1"/>
  <c r="CT29" i="86"/>
  <c r="CT30" i="86" s="1"/>
  <c r="CG29" i="86"/>
  <c r="CG30" i="86" s="1"/>
  <c r="CF29" i="86"/>
  <c r="CF30" i="86" s="1"/>
  <c r="CE29" i="86"/>
  <c r="CE30" i="86" s="1"/>
  <c r="CD29" i="86"/>
  <c r="CD30" i="86" s="1"/>
  <c r="CC29" i="86"/>
  <c r="CC30" i="86" s="1"/>
  <c r="CB29" i="86"/>
  <c r="CB30" i="86" s="1"/>
  <c r="CV29" i="86"/>
  <c r="CV30" i="86" s="1"/>
  <c r="BR29" i="86"/>
  <c r="BR30" i="86" s="1"/>
  <c r="S60" i="95" l="1"/>
  <c r="T60" i="95"/>
  <c r="M60" i="95"/>
  <c r="N60" i="95"/>
  <c r="S67" i="95"/>
  <c r="T67" i="95"/>
  <c r="M64" i="95"/>
  <c r="S64" i="95"/>
  <c r="N64" i="95"/>
  <c r="T64" i="95"/>
  <c r="CK30" i="86"/>
  <c r="CP29" i="86"/>
  <c r="CP30" i="86" s="1"/>
  <c r="AV30" i="86"/>
  <c r="D5" i="10" s="1"/>
  <c r="F16" i="10" s="1"/>
  <c r="BZ29" i="86"/>
  <c r="CA29" i="86" s="1"/>
  <c r="CA30" i="86" s="1"/>
  <c r="AW50" i="86" s="1"/>
  <c r="S68" i="95" l="1"/>
  <c r="M68" i="95"/>
  <c r="T68" i="95"/>
  <c r="N68" i="95"/>
  <c r="M33" i="95"/>
  <c r="S33" i="95"/>
  <c r="S32" i="95" s="1"/>
  <c r="N33" i="95"/>
  <c r="T33" i="95"/>
  <c r="T32" i="95" s="1"/>
  <c r="N34" i="101"/>
  <c r="AH23" i="101" l="1"/>
  <c r="AH21" i="101"/>
  <c r="AC21" i="101"/>
  <c r="AC23" i="101"/>
  <c r="AH9" i="101"/>
  <c r="AH17" i="101"/>
  <c r="AH25" i="101"/>
  <c r="AH15" i="101"/>
  <c r="AH27" i="101"/>
  <c r="AH13" i="101"/>
  <c r="AH19" i="101"/>
  <c r="AH11" i="101"/>
  <c r="AC15" i="101"/>
  <c r="AC25" i="101"/>
  <c r="AC9" i="101"/>
  <c r="AC17" i="101"/>
  <c r="AC19" i="101"/>
  <c r="AC11" i="101"/>
  <c r="AC13" i="101"/>
  <c r="AC27" i="101"/>
  <c r="AW54" i="86"/>
  <c r="AW56" i="86"/>
  <c r="BK30" i="86"/>
  <c r="CO30" i="86"/>
  <c r="AW57" i="86"/>
  <c r="D35" i="85"/>
  <c r="K14" i="85" l="1"/>
  <c r="K17" i="85"/>
  <c r="K32" i="85"/>
  <c r="K6" i="85"/>
  <c r="K4" i="85"/>
  <c r="K27" i="85"/>
  <c r="K5" i="85"/>
  <c r="K16" i="85"/>
  <c r="K15" i="85"/>
  <c r="K9" i="85"/>
  <c r="N111" i="95"/>
  <c r="N88" i="95" s="1"/>
  <c r="I8" i="94" s="1"/>
  <c r="M111" i="95"/>
  <c r="M88" i="95" s="1"/>
  <c r="AW53" i="86"/>
  <c r="L17" i="85"/>
  <c r="L27" i="85"/>
  <c r="L15" i="85"/>
  <c r="L32" i="85"/>
  <c r="L16" i="85"/>
  <c r="L4" i="85"/>
  <c r="L6" i="85"/>
  <c r="L9" i="85"/>
  <c r="L5" i="85"/>
  <c r="L24" i="85"/>
  <c r="L22" i="85"/>
  <c r="AC29" i="101"/>
  <c r="AH29" i="101"/>
  <c r="K33" i="85" l="1"/>
  <c r="L33" i="85"/>
  <c r="S70" i="95"/>
  <c r="T70" i="95"/>
  <c r="M70" i="95"/>
  <c r="N70" i="95"/>
  <c r="M57" i="95"/>
  <c r="N57" i="95"/>
  <c r="N32" i="95" l="1"/>
  <c r="M32" i="95"/>
  <c r="S84" i="95"/>
  <c r="S52" i="95" s="1"/>
  <c r="S31" i="95" s="1"/>
  <c r="M84" i="95"/>
  <c r="N84" i="95"/>
  <c r="T84" i="95"/>
  <c r="T52" i="95" s="1"/>
  <c r="T31" i="95" s="1"/>
  <c r="I7" i="93" s="1"/>
  <c r="D13" i="97"/>
  <c r="K13" i="97" l="1"/>
  <c r="L13" i="97"/>
  <c r="M85" i="95" l="1"/>
  <c r="N85" i="95"/>
  <c r="N52" i="95" s="1"/>
  <c r="G16" i="10"/>
  <c r="F15" i="10"/>
  <c r="G15" i="10" s="1"/>
  <c r="F14" i="10"/>
  <c r="G14" i="10" s="1"/>
  <c r="N31" i="95" l="1"/>
  <c r="M52" i="95"/>
  <c r="M31" i="95" s="1"/>
  <c r="S22" i="95"/>
  <c r="M22" i="95"/>
  <c r="N22" i="95"/>
  <c r="T22" i="95"/>
  <c r="S21" i="95"/>
  <c r="M21" i="95"/>
  <c r="T21" i="95"/>
  <c r="N21" i="95"/>
  <c r="S23" i="95"/>
  <c r="M23" i="95"/>
  <c r="N23" i="95"/>
  <c r="T23" i="95"/>
  <c r="F9" i="10"/>
  <c r="I7" i="94" l="1"/>
  <c r="T10" i="95"/>
  <c r="N10" i="95"/>
  <c r="N9" i="95" s="1"/>
  <c r="I6" i="94" s="1"/>
  <c r="M10" i="95"/>
  <c r="M9" i="95" s="1"/>
  <c r="M133" i="95" s="1"/>
  <c r="H13" i="94" s="1"/>
  <c r="S10" i="95"/>
  <c r="S9" i="95" s="1"/>
  <c r="S133" i="95" s="1"/>
  <c r="H13" i="93" s="1"/>
  <c r="M135" i="95" l="1"/>
  <c r="H15" i="94" s="1"/>
  <c r="O11" i="95"/>
  <c r="O27" i="95"/>
  <c r="U96" i="95"/>
  <c r="U89" i="95"/>
  <c r="O131" i="95"/>
  <c r="U130" i="95"/>
  <c r="U116" i="95"/>
  <c r="U111" i="95"/>
  <c r="U88" i="95"/>
  <c r="U124" i="95"/>
  <c r="M134" i="95"/>
  <c r="H14" i="94" s="1"/>
  <c r="U131" i="95"/>
  <c r="D9" i="97"/>
  <c r="T9" i="95"/>
  <c r="U31" i="95" l="1"/>
  <c r="U32" i="95"/>
  <c r="O130" i="95"/>
  <c r="S135" i="95"/>
  <c r="I6" i="93"/>
  <c r="K11" i="93" s="1"/>
  <c r="J11" i="94"/>
  <c r="J10" i="94"/>
  <c r="J9" i="94"/>
  <c r="J8" i="94"/>
  <c r="J6" i="94"/>
  <c r="J7" i="94"/>
  <c r="U44" i="95"/>
  <c r="U51" i="95"/>
  <c r="H9" i="97"/>
  <c r="I9" i="97"/>
  <c r="K9" i="97"/>
  <c r="E9" i="97"/>
  <c r="F9" i="97"/>
  <c r="J9" i="97"/>
  <c r="G9" i="97"/>
  <c r="D11" i="97"/>
  <c r="I11" i="97" s="1"/>
  <c r="S134" i="95" l="1"/>
  <c r="H14" i="93" s="1"/>
  <c r="H15" i="93"/>
  <c r="U50" i="95"/>
  <c r="O10" i="95"/>
  <c r="O127" i="95"/>
  <c r="O18" i="95"/>
  <c r="O19" i="95"/>
  <c r="O29" i="95"/>
  <c r="O96" i="95"/>
  <c r="O89" i="95"/>
  <c r="O73" i="95"/>
  <c r="O30" i="95"/>
  <c r="O103" i="95"/>
  <c r="O31" i="95"/>
  <c r="O52" i="95"/>
  <c r="O22" i="95"/>
  <c r="O85" i="95"/>
  <c r="O84" i="95"/>
  <c r="O21" i="95"/>
  <c r="O35" i="95"/>
  <c r="O39" i="95"/>
  <c r="O62" i="95"/>
  <c r="O60" i="95"/>
  <c r="O63" i="95"/>
  <c r="O87" i="95"/>
  <c r="O114" i="95"/>
  <c r="O109" i="95"/>
  <c r="O128" i="95"/>
  <c r="O122" i="95"/>
  <c r="O105" i="95"/>
  <c r="O81" i="95"/>
  <c r="O116" i="95"/>
  <c r="O126" i="95"/>
  <c r="O20" i="95"/>
  <c r="O32" i="95"/>
  <c r="O42" i="95"/>
  <c r="O78" i="95"/>
  <c r="O12" i="95"/>
  <c r="O34" i="95"/>
  <c r="O64" i="95"/>
  <c r="O28" i="95"/>
  <c r="O72" i="95"/>
  <c r="O79" i="95"/>
  <c r="O41" i="95"/>
  <c r="O45" i="95"/>
  <c r="O71" i="95"/>
  <c r="O61" i="95"/>
  <c r="O101" i="95"/>
  <c r="O9" i="95"/>
  <c r="O49" i="95"/>
  <c r="O129" i="95"/>
  <c r="O98" i="95"/>
  <c r="O121" i="95"/>
  <c r="O93" i="95"/>
  <c r="O111" i="95"/>
  <c r="O23" i="95"/>
  <c r="O24" i="95"/>
  <c r="O113" i="95"/>
  <c r="O51" i="95"/>
  <c r="O50" i="95"/>
  <c r="O104" i="95"/>
  <c r="O14" i="95"/>
  <c r="O92" i="95"/>
  <c r="O25" i="95"/>
  <c r="O15" i="95"/>
  <c r="O17" i="95"/>
  <c r="O70" i="95"/>
  <c r="O57" i="95"/>
  <c r="O65" i="95"/>
  <c r="O117" i="95"/>
  <c r="O120" i="95"/>
  <c r="O43" i="95"/>
  <c r="O56" i="95"/>
  <c r="O123" i="95"/>
  <c r="O16" i="95"/>
  <c r="O82" i="95"/>
  <c r="O69" i="95"/>
  <c r="O33" i="95"/>
  <c r="O40" i="95"/>
  <c r="O86" i="95"/>
  <c r="O97" i="95"/>
  <c r="O107" i="95"/>
  <c r="O59" i="95"/>
  <c r="O48" i="95"/>
  <c r="O94" i="95"/>
  <c r="O119" i="95"/>
  <c r="O76" i="95"/>
  <c r="O38" i="95"/>
  <c r="O125" i="95"/>
  <c r="O67" i="95"/>
  <c r="O102" i="95"/>
  <c r="O108" i="95"/>
  <c r="O44" i="95"/>
  <c r="O95" i="95"/>
  <c r="O91" i="95"/>
  <c r="O115" i="95"/>
  <c r="O54" i="95"/>
  <c r="O124" i="95"/>
  <c r="O68" i="95"/>
  <c r="O53" i="95"/>
  <c r="O74" i="95"/>
  <c r="O100" i="95"/>
  <c r="O47" i="95"/>
  <c r="O55" i="95"/>
  <c r="O75" i="95"/>
  <c r="O36" i="95"/>
  <c r="O58" i="95"/>
  <c r="O26" i="95"/>
  <c r="O99" i="95"/>
  <c r="O118" i="95"/>
  <c r="O80" i="95"/>
  <c r="O77" i="95"/>
  <c r="O83" i="95"/>
  <c r="O112" i="95"/>
  <c r="O13" i="95"/>
  <c r="O37" i="95"/>
  <c r="O110" i="95"/>
  <c r="O46" i="95"/>
  <c r="O66" i="95"/>
  <c r="O88" i="95"/>
  <c r="O90" i="95"/>
  <c r="O106" i="95"/>
  <c r="U9" i="95"/>
  <c r="U19" i="95"/>
  <c r="U20" i="95"/>
  <c r="U123" i="95"/>
  <c r="U77" i="95"/>
  <c r="U14" i="95"/>
  <c r="U79" i="95"/>
  <c r="U101" i="95"/>
  <c r="U39" i="95"/>
  <c r="U112" i="95"/>
  <c r="U70" i="95"/>
  <c r="U56" i="95"/>
  <c r="U125" i="95"/>
  <c r="U65" i="95"/>
  <c r="U115" i="95"/>
  <c r="U104" i="95"/>
  <c r="U54" i="95"/>
  <c r="U118" i="95"/>
  <c r="U128" i="95"/>
  <c r="U78" i="95"/>
  <c r="U113" i="95"/>
  <c r="U117" i="95"/>
  <c r="U45" i="95"/>
  <c r="U57" i="95"/>
  <c r="U102" i="95"/>
  <c r="U40" i="95"/>
  <c r="U69" i="95"/>
  <c r="U71" i="95"/>
  <c r="U81" i="95"/>
  <c r="U126" i="95"/>
  <c r="U66" i="95"/>
  <c r="U85" i="95"/>
  <c r="U95" i="95"/>
  <c r="U105" i="95"/>
  <c r="U55" i="95"/>
  <c r="U90" i="95"/>
  <c r="U34" i="95"/>
  <c r="U119" i="95"/>
  <c r="U129" i="95"/>
  <c r="U103" i="95"/>
  <c r="U114" i="95"/>
  <c r="U35" i="95"/>
  <c r="U58" i="95"/>
  <c r="U127" i="95"/>
  <c r="U15" i="95"/>
  <c r="U37" i="95"/>
  <c r="U72" i="95"/>
  <c r="U106" i="95"/>
  <c r="U80" i="95"/>
  <c r="U16" i="95"/>
  <c r="U82" i="95"/>
  <c r="U17" i="95"/>
  <c r="U120" i="95"/>
  <c r="U28" i="95"/>
  <c r="U42" i="95"/>
  <c r="U29" i="95"/>
  <c r="U68" i="95"/>
  <c r="U73" i="95"/>
  <c r="U83" i="95"/>
  <c r="U24" i="95"/>
  <c r="U60" i="95"/>
  <c r="U25" i="95"/>
  <c r="U61" i="95"/>
  <c r="U11" i="95"/>
  <c r="U63" i="95"/>
  <c r="U46" i="95"/>
  <c r="U38" i="95"/>
  <c r="U41" i="95"/>
  <c r="U33" i="95"/>
  <c r="U18" i="95"/>
  <c r="U47" i="95"/>
  <c r="U43" i="95"/>
  <c r="U30" i="95"/>
  <c r="U59" i="95"/>
  <c r="U97" i="95"/>
  <c r="U84" i="95"/>
  <c r="U121" i="95"/>
  <c r="U48" i="95"/>
  <c r="U74" i="95"/>
  <c r="U52" i="95"/>
  <c r="U36" i="95"/>
  <c r="U91" i="95"/>
  <c r="U64" i="95"/>
  <c r="U98" i="95"/>
  <c r="U76" i="95"/>
  <c r="U62" i="95"/>
  <c r="U92" i="95"/>
  <c r="U67" i="95"/>
  <c r="U122" i="95"/>
  <c r="U100" i="95"/>
  <c r="U86" i="95"/>
  <c r="U93" i="95"/>
  <c r="U49" i="95"/>
  <c r="U110" i="95"/>
  <c r="U107" i="95"/>
  <c r="U75" i="95"/>
  <c r="U27" i="95"/>
  <c r="U12" i="95"/>
  <c r="U108" i="95"/>
  <c r="U99" i="95"/>
  <c r="U53" i="95"/>
  <c r="U13" i="95"/>
  <c r="U109" i="95"/>
  <c r="U87" i="95"/>
  <c r="U26" i="95"/>
  <c r="U23" i="95"/>
  <c r="U21" i="95"/>
  <c r="U22" i="95"/>
  <c r="U10" i="95"/>
  <c r="L11" i="94"/>
  <c r="E7" i="97"/>
  <c r="J8" i="93"/>
  <c r="L11" i="93"/>
  <c r="J6" i="93"/>
  <c r="J9" i="93"/>
  <c r="J10" i="93"/>
  <c r="J7" i="93"/>
  <c r="J11" i="93"/>
  <c r="L19" i="97"/>
  <c r="L25" i="97" s="1"/>
  <c r="J11" i="97"/>
  <c r="J19" i="97" s="1"/>
  <c r="J25" i="97" s="1"/>
  <c r="H11" i="97"/>
  <c r="H19" i="97" s="1"/>
  <c r="H25" i="97" s="1"/>
  <c r="G11" i="97"/>
  <c r="K11" i="97"/>
  <c r="K19" i="97" s="1"/>
  <c r="K25" i="97" s="1"/>
  <c r="I19" i="97"/>
  <c r="I25" i="97" s="1"/>
  <c r="F11" i="97"/>
  <c r="G19" i="97" l="1"/>
  <c r="G25" i="97" s="1"/>
  <c r="F19" i="97"/>
  <c r="F25" i="97" s="1"/>
  <c r="M11" i="94"/>
  <c r="I5" i="105" l="1"/>
  <c r="L5" i="105" s="1"/>
  <c r="E14" i="9"/>
  <c r="F14" i="9" s="1"/>
  <c r="E19" i="97" l="1"/>
  <c r="E25" i="97" s="1"/>
  <c r="D16" i="97"/>
  <c r="E21" i="97" l="1"/>
  <c r="F21" i="97" s="1"/>
  <c r="G21" i="97" s="1"/>
  <c r="M25" i="97"/>
  <c r="E26" i="97" s="1"/>
  <c r="H21" i="97" l="1"/>
  <c r="L26" i="97"/>
  <c r="K26" i="97"/>
  <c r="G26" i="97"/>
  <c r="J26" i="97"/>
  <c r="I26" i="97"/>
  <c r="H26" i="97"/>
  <c r="F26" i="97"/>
  <c r="I21" i="97" l="1"/>
  <c r="J21" i="97" l="1"/>
  <c r="K21" i="97" l="1"/>
  <c r="L21" i="97" l="1"/>
  <c r="K20" i="97" s="1"/>
  <c r="G18" i="97" l="1"/>
  <c r="F18" i="97"/>
  <c r="H18" i="97"/>
  <c r="L18" i="97"/>
  <c r="J18" i="97"/>
  <c r="K18" i="97"/>
  <c r="M21" i="97"/>
  <c r="I18" i="97"/>
  <c r="L20" i="97"/>
  <c r="E20" i="97"/>
  <c r="E18" i="97"/>
  <c r="F20" i="97"/>
  <c r="G20" i="97"/>
  <c r="H20" i="97"/>
  <c r="I20" i="97"/>
  <c r="J20" i="97"/>
</calcChain>
</file>

<file path=xl/comments1.xml><?xml version="1.0" encoding="utf-8"?>
<comments xmlns="http://schemas.openxmlformats.org/spreadsheetml/2006/main">
  <authors>
    <author>Juliana Honorato</author>
    <author>Jean Dorneles</author>
  </authors>
  <commentList>
    <comment ref="DA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100947
100948</t>
        </r>
      </text>
    </comment>
    <comment ref="DB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7781
ASSENT ALTO: 92821
ASSENT BAIXO: 92809</t>
        </r>
      </text>
    </comment>
    <comment ref="DC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7725
ASSENT ALTO: 92824
ASSENT BAIXO: 92811</t>
        </r>
      </text>
    </comment>
    <comment ref="DD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7750
ASSENT ALTO: 92826
ASSENT BAIXO: 92813</t>
        </r>
      </text>
    </comment>
    <comment ref="DE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7753
ASSENT ALTO: 92828
ASSENT BAIXO: 92815</t>
        </r>
      </text>
    </comment>
    <comment ref="DF11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7757
ASSENT ALTO: 92830
ASSENT BAIXO: 92817</t>
        </r>
      </text>
    </comment>
    <comment ref="BK12" authorId="1" shapeId="0">
      <text>
        <r>
          <rPr>
            <b/>
            <sz val="9"/>
            <color indexed="81"/>
            <rFont val="Segoe UI"/>
            <family val="2"/>
          </rPr>
          <t>Jean Dorneles:
BAIXA INTERF. 
102281
ALTA INTERF.
90099</t>
        </r>
      </text>
    </comment>
    <comment ref="BL12" authorId="1" shapeId="0">
      <text>
        <r>
          <rPr>
            <b/>
            <sz val="9"/>
            <color indexed="81"/>
            <rFont val="Segoe UI"/>
            <family val="2"/>
          </rPr>
          <t>Jean Dorneles:
BAIXA INTERF. 
90106
ALTA INTERF.
90100</t>
        </r>
      </text>
    </comment>
    <comment ref="BM12" authorId="1" shapeId="0">
      <text>
        <r>
          <rPr>
            <b/>
            <sz val="9"/>
            <color indexed="81"/>
            <rFont val="Segoe UI"/>
            <family val="2"/>
          </rPr>
          <t>Jean Dorneles:
BAIXA INTERF. 
90091
ALTA INTERF.
90082</t>
        </r>
      </text>
    </comment>
    <comment ref="BN12" authorId="1" shapeId="0">
      <text>
        <r>
          <rPr>
            <b/>
            <sz val="9"/>
            <color indexed="81"/>
            <rFont val="Segoe UI"/>
            <family val="2"/>
          </rPr>
          <t>Jean Dorneles:
BAIXA INTERF. 
90107
ALTA INTERF.
90101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O12" authorId="1" shapeId="0">
      <text>
        <r>
          <rPr>
            <b/>
            <sz val="9"/>
            <color indexed="81"/>
            <rFont val="Segoe UI"/>
            <family val="2"/>
          </rPr>
          <t>Jean Dorneles:
BAIXA INTERF. 
90108
ALTA INTERF.
90102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P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BAIXA INTERF.
102281</t>
        </r>
      </text>
    </comment>
    <comment ref="BQ12" authorId="1" shapeId="0">
      <text>
        <r>
          <rPr>
            <b/>
            <sz val="9"/>
            <color indexed="81"/>
            <rFont val="Segoe UI"/>
            <family val="2"/>
          </rPr>
          <t>Jean Dorneles:
BAIXA INTERF. 
90094
ALTA INTERF.
90086</t>
        </r>
      </text>
    </comment>
    <comment ref="BR12" authorId="1" shapeId="0">
      <text>
        <r>
          <rPr>
            <b/>
            <sz val="9"/>
            <color indexed="81"/>
            <rFont val="Segoe UI"/>
            <family val="2"/>
          </rPr>
          <t>Jean Dorneles:
BAIXA INTERF. 
90094
ALTA INTERF.
90086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S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BAIXA INTERF.
90095</t>
        </r>
      </text>
    </comment>
    <comment ref="BT12" authorId="1" shapeId="0">
      <text>
        <r>
          <rPr>
            <b/>
            <sz val="9"/>
            <color indexed="81"/>
            <rFont val="Segoe UI"/>
            <family val="2"/>
          </rPr>
          <t>Jean Dorneles:
BAIXA INTERF. 
90096
ALTA INTERF.
90088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U12" authorId="1" shapeId="0">
      <text>
        <r>
          <rPr>
            <b/>
            <sz val="9"/>
            <color indexed="81"/>
            <rFont val="Segoe UI"/>
            <family val="2"/>
          </rPr>
          <t xml:space="preserve">Jean Dorneles:
BAIXA INTERF. 
90096
ALTA INTERF.
90088
</t>
        </r>
      </text>
    </comment>
    <comment ref="BV12" authorId="1" shapeId="0">
      <text>
        <r>
          <rPr>
            <b/>
            <sz val="9"/>
            <color indexed="81"/>
            <rFont val="Segoe UI"/>
            <family val="2"/>
          </rPr>
          <t xml:space="preserve">Jean Dorneles:
BAIXA INTERF. 
90098
ALTA INTERF.
90090
</t>
        </r>
      </text>
    </comment>
    <comment ref="CB12" authorId="1" shapeId="0">
      <text>
        <r>
          <rPr>
            <b/>
            <sz val="9"/>
            <color indexed="81"/>
            <rFont val="Segoe UI"/>
            <family val="2"/>
          </rPr>
          <t>Jean Dorneles:
BAIXA INTERF. 
94055
ALTA INTERF.
94049</t>
        </r>
      </text>
    </comment>
    <comment ref="CC12" authorId="1" shapeId="0">
      <text>
        <r>
          <rPr>
            <b/>
            <sz val="9"/>
            <color indexed="81"/>
            <rFont val="Segoe UI"/>
            <family val="2"/>
          </rPr>
          <t>Jean Dorneles:
BAIXA INTERF. 
94056
ALTA INTERF.</t>
        </r>
        <r>
          <rPr>
            <sz val="9"/>
            <color indexed="81"/>
            <rFont val="Segoe UI"/>
            <family val="2"/>
          </rPr>
          <t xml:space="preserve">
94050</t>
        </r>
      </text>
    </comment>
    <comment ref="CD12" authorId="1" shapeId="0">
      <text>
        <r>
          <rPr>
            <b/>
            <sz val="9"/>
            <color indexed="81"/>
            <rFont val="Segoe UI"/>
            <family val="2"/>
          </rPr>
          <t>Jean Dorneles:
BAIXA INTERF. 
94057
ALTA INTERF.</t>
        </r>
        <r>
          <rPr>
            <sz val="9"/>
            <color indexed="81"/>
            <rFont val="Segoe UI"/>
            <family val="2"/>
          </rPr>
          <t xml:space="preserve">
94051</t>
        </r>
      </text>
    </comment>
    <comment ref="CE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101573</t>
        </r>
      </text>
    </comment>
    <comment ref="CF12" authorId="1" shapeId="0">
      <text>
        <r>
          <rPr>
            <b/>
            <sz val="9"/>
            <color indexed="81"/>
            <rFont val="Segoe UI"/>
            <family val="2"/>
          </rPr>
          <t>Jean Dorneles:
BAIXA INTERF. 
94059
ALTA INTERF.
94053</t>
        </r>
      </text>
    </comment>
    <comment ref="CG12" authorId="1" shapeId="0">
      <text>
        <r>
          <rPr>
            <b/>
            <sz val="9"/>
            <color indexed="81"/>
            <rFont val="Segoe UI"/>
            <family val="2"/>
          </rPr>
          <t>Jean Dorneles:
BAIXA INTERF. 
94060
ALTA INTERF.
94054</t>
        </r>
      </text>
    </comment>
    <comment ref="CH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101616</t>
        </r>
      </text>
    </comment>
    <comment ref="CI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101617</t>
        </r>
      </text>
    </comment>
    <comment ref="CP12" authorId="1" shapeId="0">
      <text>
        <r>
          <rPr>
            <b/>
            <sz val="9"/>
            <color indexed="81"/>
            <rFont val="Segoe UI"/>
            <family val="2"/>
          </rPr>
          <t>Jean Dorneles:
BAIXA INTERF. 
93379
ALTA INTERF.
93375</t>
        </r>
      </text>
    </comment>
    <comment ref="CT12" authorId="1" shapeId="0">
      <text>
        <r>
          <rPr>
            <b/>
            <sz val="9"/>
            <color indexed="81"/>
            <rFont val="Segoe UI"/>
            <family val="2"/>
          </rPr>
          <t>Jean Dorneles:
BAIXA INTERF. 
93369
ALTA INTERF.
93362</t>
        </r>
      </text>
    </comment>
    <comment ref="CW12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BAIXA INTERF: 93371
ALTA INTERF: 93364</t>
        </r>
      </text>
    </comment>
  </commentList>
</comments>
</file>

<file path=xl/comments2.xml><?xml version="1.0" encoding="utf-8"?>
<comments xmlns="http://schemas.openxmlformats.org/spreadsheetml/2006/main">
  <authors>
    <author>Juliana Honorato</author>
  </authors>
  <commentList>
    <comment ref="G4" authorId="0" shapeId="0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DIVIDIR POR 3</t>
        </r>
      </text>
    </comment>
  </commentList>
</comments>
</file>

<file path=xl/sharedStrings.xml><?xml version="1.0" encoding="utf-8"?>
<sst xmlns="http://schemas.openxmlformats.org/spreadsheetml/2006/main" count="8961" uniqueCount="1576">
  <si>
    <t>Total</t>
  </si>
  <si>
    <t>m²</t>
  </si>
  <si>
    <t>m³</t>
  </si>
  <si>
    <t>m</t>
  </si>
  <si>
    <t>Rua</t>
  </si>
  <si>
    <t>m³.km</t>
  </si>
  <si>
    <t xml:space="preserve">QUADRO RESUMO DE DISTÂNCIAS DE TRANSPORTE </t>
  </si>
  <si>
    <t>MATERIAL</t>
  </si>
  <si>
    <t>PERCURSO</t>
  </si>
  <si>
    <t>TRANSPORTE COMERCIAL
(km)</t>
  </si>
  <si>
    <t>DMT TOTAL
(km)</t>
  </si>
  <si>
    <t>ORIGEM</t>
  </si>
  <si>
    <t>DESTINO</t>
  </si>
  <si>
    <t>BRITA, BICA CORRIDA E RACHÃO OU PEDRA DE MÃO</t>
  </si>
  <si>
    <t>TUBOS DE CONCRETO</t>
  </si>
  <si>
    <t>PISO TÁTIL</t>
  </si>
  <si>
    <t>Extensão rede de drenagem</t>
  </si>
  <si>
    <t>Extensão pavimentação asfáltica</t>
  </si>
  <si>
    <t>Serviço</t>
  </si>
  <si>
    <t>Critério</t>
  </si>
  <si>
    <t>Barracão de obra</t>
  </si>
  <si>
    <t>Implantação Asfáltica até 3.000m ou Rede drenagem até 3.000m ou Drenagem + Pavimentação até 4.000m</t>
  </si>
  <si>
    <t>Implantação Asfáltica até 6.000m ou Rede drenagem até 6.000m ou Drenagem + Pavimentação até 8.000m</t>
  </si>
  <si>
    <t>Implantação Asfáltica acima 6.000m ou Rede drenagem acima 6.000m ou Drenagem + Pavimentação acima 8.000m</t>
  </si>
  <si>
    <t>Placa de advertência fundo laranja</t>
  </si>
  <si>
    <r>
      <t xml:space="preserve">2 Placas de (2,0 x 1,125) m² a cada 200,00m de rede ou implantação (aproximandamente uma </t>
    </r>
    <r>
      <rPr>
        <i/>
        <sz val="12"/>
        <rFont val="Calibri"/>
        <family val="2"/>
        <scheme val="minor"/>
      </rPr>
      <t>quadra</t>
    </r>
    <r>
      <rPr>
        <sz val="12"/>
        <rFont val="Calibri"/>
        <family val="2"/>
        <scheme val="minor"/>
      </rPr>
      <t xml:space="preserve"> fechada)</t>
    </r>
  </si>
  <si>
    <t>Tela plástica</t>
  </si>
  <si>
    <t>Rede de drenagem + dreno X 1,20m (Considerando que as redes e dreno sejam executados em 2 etapas, no mínimo)</t>
  </si>
  <si>
    <t>Sinalização noturna</t>
  </si>
  <si>
    <t>Rede de drenagem + dreno (Considerando que as redes e dreno sejam executados em 2 etapas, no mínimo)</t>
  </si>
  <si>
    <t>TOTAL</t>
  </si>
  <si>
    <t>Entre</t>
  </si>
  <si>
    <t>Lado</t>
  </si>
  <si>
    <t>Rampas</t>
  </si>
  <si>
    <t>km</t>
  </si>
  <si>
    <t>t.km</t>
  </si>
  <si>
    <t>-</t>
  </si>
  <si>
    <t>und</t>
  </si>
  <si>
    <t>Cruzamentos e Desvios</t>
  </si>
  <si>
    <t>Tipo</t>
  </si>
  <si>
    <t>DMT:</t>
  </si>
  <si>
    <t>ESTE</t>
  </si>
  <si>
    <t>Descrição</t>
  </si>
  <si>
    <t>CIDADE:</t>
  </si>
  <si>
    <t>Tempo de Retorno (anos):</t>
  </si>
  <si>
    <t>a=</t>
  </si>
  <si>
    <r>
      <t>t</t>
    </r>
    <r>
      <rPr>
        <vertAlign val="subscript"/>
        <sz val="10"/>
        <rFont val="Calibri"/>
        <family val="2"/>
        <scheme val="minor"/>
      </rPr>
      <t>c</t>
    </r>
    <r>
      <rPr>
        <sz val="10"/>
        <rFont val="Calibri"/>
        <family val="2"/>
        <scheme val="minor"/>
      </rPr>
      <t>=</t>
    </r>
  </si>
  <si>
    <t>VAR</t>
  </si>
  <si>
    <t>b=</t>
  </si>
  <si>
    <t>c=</t>
  </si>
  <si>
    <r>
      <t>T</t>
    </r>
    <r>
      <rPr>
        <vertAlign val="subscript"/>
        <sz val="10"/>
        <rFont val="Calibri"/>
        <family val="2"/>
        <scheme val="minor"/>
      </rPr>
      <t>r</t>
    </r>
    <r>
      <rPr>
        <sz val="10"/>
        <rFont val="Calibri"/>
        <family val="2"/>
        <scheme val="minor"/>
      </rPr>
      <t>=</t>
    </r>
  </si>
  <si>
    <t>d=</t>
  </si>
  <si>
    <t>TRECHO</t>
  </si>
  <si>
    <t>FH</t>
  </si>
  <si>
    <t>RH/D</t>
  </si>
  <si>
    <t>y/D</t>
  </si>
  <si>
    <t>RH</t>
  </si>
  <si>
    <t>TRECHOS</t>
  </si>
  <si>
    <t>EXTENSÃO</t>
  </si>
  <si>
    <t>TUBULAÇÃO</t>
  </si>
  <si>
    <t>PROFUNDIDADE DA LINHA D'ÁGUA</t>
  </si>
  <si>
    <r>
      <t xml:space="preserve">INCLINAÇÃO TALUDE - </t>
    </r>
    <r>
      <rPr>
        <b/>
        <sz val="8"/>
        <color rgb="FFFF0000"/>
        <rFont val="Calibri"/>
        <family val="2"/>
        <scheme val="minor"/>
      </rPr>
      <t>1:(V)</t>
    </r>
  </si>
  <si>
    <t>PRESENÇA DE ESCORAMENTO</t>
  </si>
  <si>
    <t>PROFUNDIDADE DA VALA</t>
  </si>
  <si>
    <t>LARGURA DA VALA</t>
  </si>
  <si>
    <t>ESCAVAÇÃO 
MECÂNICA</t>
  </si>
  <si>
    <t>BOTA-FORA</t>
  </si>
  <si>
    <t>ESCORAMENTO
(2 x Prof x Ext)</t>
  </si>
  <si>
    <t>PREPARO DE FUNDO DA VALA</t>
  </si>
  <si>
    <t>REATERRO</t>
  </si>
  <si>
    <t>TRANSPORTE DO TUBO</t>
  </si>
  <si>
    <t>TUBOS DN 400MM:</t>
  </si>
  <si>
    <t>TUBOS DN 600MM:</t>
  </si>
  <si>
    <t>TUBOS DN 800MM:</t>
  </si>
  <si>
    <t>TUBOS DN 1000MM:</t>
  </si>
  <si>
    <t>TUBOS DN 1200MM:</t>
  </si>
  <si>
    <t>TUBOS DN 1500MM:</t>
  </si>
  <si>
    <t>SIMPLES</t>
  </si>
  <si>
    <t>ACUMULADA</t>
  </si>
  <si>
    <t>Nº LINHAS</t>
  </si>
  <si>
    <t>DIÂMETRO NOMINAL</t>
  </si>
  <si>
    <t>PS-1 / PA-1 / PA-2 / PVC</t>
  </si>
  <si>
    <t>MONTANTE</t>
  </si>
  <si>
    <t>JUSANTE</t>
  </si>
  <si>
    <t>MÉDIA ENTRE MONTANTE E JUSANTE</t>
  </si>
  <si>
    <t>TOTAL (MÉDIA + BOLSA + LASTRO)</t>
  </si>
  <si>
    <t>INFERIOR (BASE DA VALA)</t>
  </si>
  <si>
    <t>SUPERIOR (TOPO DA VALA)</t>
  </si>
  <si>
    <t>0,00 &lt; PROF ≤ 1,50 (0,00 &lt; LARG  ≤ 0,80)</t>
  </si>
  <si>
    <t>0,00 &lt; PROF ≤ 1,50 (0,80 &lt; LARG ≤ 1,50)</t>
  </si>
  <si>
    <t>0,00 &lt; PROF ≤ 1,50 (1,50 &lt; LARG ≤ 2,50)</t>
  </si>
  <si>
    <t>1,50 &lt; PROF ≤ 3,00 (0,00 &lt; LARG  ≤ 0,80)</t>
  </si>
  <si>
    <t>1,50 &lt; PROF ≤ 3,00 (0,80 &lt; LARG ≤ 1,50)</t>
  </si>
  <si>
    <t>1,50 &lt; PROF ≤ 3,00 (1,50 &lt; LARG ≤ 2,50)</t>
  </si>
  <si>
    <t>3,00 &lt; PROF ≤ 4,50 (0,00 &lt; LARG  ≤ 0,80)</t>
  </si>
  <si>
    <t>3,00 &lt; PROF ≤ 4,50 (0,80 &lt; LARG ≤ 1,50)</t>
  </si>
  <si>
    <t>3,00 &lt; PROF ≤ 4,50 (1,50 &lt; LARG ≤ 2,50)</t>
  </si>
  <si>
    <t>4,50 &lt; PROF ≤ 6,00 (0,00 &lt; LARG  ≤ 0,80)</t>
  </si>
  <si>
    <t>4,50 &lt; PROF ≤ 6,00 (0,80 &lt; LARG ≤ 1,50)</t>
  </si>
  <si>
    <t>4,50 &lt; PROF ≤ 6,00 (1,50 &lt; LARG ≤ 2,50)</t>
  </si>
  <si>
    <t>VOLUME DO TUBO (SEÇÃO EXTERNA)</t>
  </si>
  <si>
    <t>TAXA INSERVÍVEL DO MATERIAL ESCAVADO</t>
  </si>
  <si>
    <t>FATOR DE EMPOLAMENTO MAT. ESCAVADO</t>
  </si>
  <si>
    <t>VOLUME ESCAVADO INSERVÍVEL</t>
  </si>
  <si>
    <t>VOLUME TOTAL BOTA-FORA (EMPOLADO)</t>
  </si>
  <si>
    <t>0,00 &lt; PROF ≤ 1,50 (0,00 &lt; LARG  ≤ 1,50)</t>
  </si>
  <si>
    <t>1,50 &lt; PROF ≤ 3,00 (0,00 &lt; LARG  ≤ 1,50)</t>
  </si>
  <si>
    <t>3,00 &lt; PROF ≤ 4,50 (0,00 &lt; LARG  ≤ 1,50)</t>
  </si>
  <si>
    <t>LARG. DA BASE &lt; 1,50m</t>
  </si>
  <si>
    <t>LARG. DA BASE ≥ 1,50m</t>
  </si>
  <si>
    <t>VOLUME GEOMÉTRICO (BASE &lt; 1,50m)</t>
  </si>
  <si>
    <t>VOLUME GEOMÉTRICO (BASE ≥ 1,50m)</t>
  </si>
  <si>
    <t>TAXA DE EMPOLAMENTO MATER. DA BASE</t>
  </si>
  <si>
    <t>VOLUME EMPOLADO</t>
  </si>
  <si>
    <t>mm</t>
  </si>
  <si>
    <t>%</t>
  </si>
  <si>
    <t>T</t>
  </si>
  <si>
    <t>TR-01</t>
  </si>
  <si>
    <t>PS-1</t>
  </si>
  <si>
    <t>Brita</t>
  </si>
  <si>
    <t>TR-02</t>
  </si>
  <si>
    <t>TR-03</t>
  </si>
  <si>
    <t>TR-04</t>
  </si>
  <si>
    <t>Diâmetro</t>
  </si>
  <si>
    <t>Peso linear (t/m)</t>
  </si>
  <si>
    <t>DMT BOTA FORA:</t>
  </si>
  <si>
    <t>DMT BRITA:</t>
  </si>
  <si>
    <t>Coeficiente de Impermeabilização e Fator a</t>
  </si>
  <si>
    <t>Graus de Urbanização</t>
  </si>
  <si>
    <t>Uso do Solo</t>
  </si>
  <si>
    <t>Coeficiente de
Impermeabilidade (C)</t>
  </si>
  <si>
    <t>Fator a</t>
  </si>
  <si>
    <t>Áreas densamente
urbanizadas</t>
  </si>
  <si>
    <t>Zonas residenciais
urbanas</t>
  </si>
  <si>
    <t>Zonas suburbanas</t>
  </si>
  <si>
    <t>Zona Rural</t>
  </si>
  <si>
    <t>Tempo de entrada em áreas urbanas</t>
  </si>
  <si>
    <t>Natureza da área a montante</t>
  </si>
  <si>
    <t>Declividade da sarjeta</t>
  </si>
  <si>
    <t>I &lt;= 3%</t>
  </si>
  <si>
    <t>I &gt; 3%</t>
  </si>
  <si>
    <t>Áreas densamente
construídas</t>
  </si>
  <si>
    <t>10 min</t>
  </si>
  <si>
    <t>5 min</t>
  </si>
  <si>
    <t>Áreas residenciais</t>
  </si>
  <si>
    <t>12 min</t>
  </si>
  <si>
    <t>Parques e jardins</t>
  </si>
  <si>
    <t xml:space="preserve">15 min </t>
  </si>
  <si>
    <t>FH de 0.001 a 0.080</t>
  </si>
  <si>
    <t>P</t>
  </si>
  <si>
    <t>CBUQ - COMERCIAL</t>
  </si>
  <si>
    <t>Unidade</t>
  </si>
  <si>
    <t>Diâmetro de Projeto 
(m)</t>
  </si>
  <si>
    <t>Diâmetro Comercial 
(m)</t>
  </si>
  <si>
    <t>TR-07</t>
  </si>
  <si>
    <t>1) NOSSO USUAL PARA O TALUDE DE ESCAVAÇÃO É 1/4;</t>
  </si>
  <si>
    <t>2) PESO DOS TUBOS SÃO OS MESMOS ADOTADOS PELA DEIURB/AGESUL.</t>
  </si>
  <si>
    <t>QUANTIDADE</t>
  </si>
  <si>
    <t>UNIDADE</t>
  </si>
  <si>
    <t>DMT BOTA-FORA:</t>
  </si>
  <si>
    <t>DMT
(km)</t>
  </si>
  <si>
    <t>Produto</t>
  </si>
  <si>
    <t>EMULSÃO ASFÁLTICA PARA IMPRIMAÇÃO</t>
  </si>
  <si>
    <t>Período</t>
  </si>
  <si>
    <t>UF</t>
  </si>
  <si>
    <t>Custo c/ Pedágio</t>
  </si>
  <si>
    <t>Ida</t>
  </si>
  <si>
    <t>R$/viagem</t>
  </si>
  <si>
    <t>Volta</t>
  </si>
  <si>
    <t>Capacidade da carreta 6 eixos:</t>
  </si>
  <si>
    <t>t/viagem</t>
  </si>
  <si>
    <t>Valor Total:</t>
  </si>
  <si>
    <t>R$/t</t>
  </si>
  <si>
    <t>Pedágio
R$/t</t>
  </si>
  <si>
    <t>Valor
R$/t</t>
  </si>
  <si>
    <t xml:space="preserve">OBRA: </t>
  </si>
  <si>
    <t>Vazão (Deflúvio a escoar):</t>
  </si>
  <si>
    <t>Coeficiente de impermeabilidade (C):</t>
  </si>
  <si>
    <t>Coeficiente de Deflúvio ( f ):</t>
  </si>
  <si>
    <t>EXTENSÃO (m)</t>
  </si>
  <si>
    <t>Vazão Q 
(m³/s)</t>
  </si>
  <si>
    <t>Vazão Q
Existente
(m³/s)</t>
  </si>
  <si>
    <t>tc 
(min)</t>
  </si>
  <si>
    <t>Desnível
(m)</t>
  </si>
  <si>
    <t>Linhas Existentes
(und)</t>
  </si>
  <si>
    <t>Diâmetro Existente
(m)</t>
  </si>
  <si>
    <t>Linhas a Implantar
(und)</t>
  </si>
  <si>
    <t>Verificação Diâmetro 1 Linha</t>
  </si>
  <si>
    <t>V 
(m/s)</t>
  </si>
  <si>
    <t>Tirante Normal Y (m)</t>
  </si>
  <si>
    <r>
      <t xml:space="preserve">ESPESSURA LASTRO - BASE DA GALERIA              </t>
    </r>
    <r>
      <rPr>
        <b/>
        <sz val="8"/>
        <color rgb="FFFF0000"/>
        <rFont val="Calibri"/>
        <family val="2"/>
        <scheme val="minor"/>
      </rPr>
      <t>(se for o caso)</t>
    </r>
  </si>
  <si>
    <t>LASTRO COM PREPARO DE FUNDO DE VALA (BASE DA GALERIA)
(se for o caso)</t>
  </si>
  <si>
    <r>
      <t xml:space="preserve">Nº LINHAS </t>
    </r>
    <r>
      <rPr>
        <b/>
        <sz val="8"/>
        <color rgb="FFFF0000"/>
        <rFont val="Calibri"/>
        <family val="2"/>
        <scheme val="minor"/>
      </rPr>
      <t>EXISTENTE</t>
    </r>
  </si>
  <si>
    <r>
      <t xml:space="preserve">DIÂMETRO NOMINAL </t>
    </r>
    <r>
      <rPr>
        <b/>
        <sz val="8"/>
        <color rgb="FFFF0000"/>
        <rFont val="Calibri"/>
        <family val="2"/>
        <scheme val="minor"/>
      </rPr>
      <t>EXISTENTE</t>
    </r>
  </si>
  <si>
    <t>TUBO 40cm
(BIGODES)</t>
  </si>
  <si>
    <t>TRANSP. TUBOS DMT ATÉ 30km:</t>
  </si>
  <si>
    <t>TRANSP. TUBOS DMT EXC 30km:</t>
  </si>
  <si>
    <r>
      <t xml:space="preserve">TRANSP. BRITA </t>
    </r>
    <r>
      <rPr>
        <b/>
        <sz val="10"/>
        <color rgb="FFFF0000"/>
        <rFont val="Calibri"/>
        <family val="2"/>
        <scheme val="minor"/>
      </rPr>
      <t>LASTRO</t>
    </r>
    <r>
      <rPr>
        <b/>
        <sz val="10"/>
        <rFont val="Calibri"/>
        <family val="2"/>
        <scheme val="minor"/>
      </rPr>
      <t xml:space="preserve"> DMT ATÉ 30km:</t>
    </r>
  </si>
  <si>
    <r>
      <rPr>
        <sz val="9"/>
        <rFont val="Arial"/>
        <family val="2"/>
      </rPr>
      <t>C</t>
    </r>
    <r>
      <rPr>
        <vertAlign val="subscript"/>
        <sz val="9"/>
        <rFont val="Arial"/>
        <family val="2"/>
      </rPr>
      <t>2</t>
    </r>
  </si>
  <si>
    <r>
      <rPr>
        <sz val="9"/>
        <rFont val="Arial"/>
        <family val="2"/>
      </rPr>
      <t>C</t>
    </r>
    <r>
      <rPr>
        <vertAlign val="subscript"/>
        <sz val="9"/>
        <rFont val="Arial"/>
        <family val="2"/>
      </rPr>
      <t>3</t>
    </r>
  </si>
  <si>
    <r>
      <rPr>
        <sz val="10"/>
        <rFont val="Arial"/>
        <family val="2"/>
      </rPr>
      <t xml:space="preserve">y
</t>
    </r>
    <r>
      <rPr>
        <sz val="10"/>
        <rFont val="Arial"/>
        <family val="2"/>
      </rPr>
      <t>d</t>
    </r>
  </si>
  <si>
    <r>
      <rPr>
        <sz val="9"/>
        <rFont val="Arial"/>
        <family val="2"/>
      </rPr>
      <t>C</t>
    </r>
    <r>
      <rPr>
        <vertAlign val="subscript"/>
        <sz val="9"/>
        <rFont val="Arial"/>
        <family val="2"/>
      </rPr>
      <t>1</t>
    </r>
  </si>
  <si>
    <r>
      <rPr>
        <sz val="9"/>
        <rFont val="Arial"/>
        <family val="2"/>
      </rPr>
      <t>0,5310.</t>
    </r>
  </si>
  <si>
    <t>Campo Grande/MS</t>
  </si>
  <si>
    <t>Q = 2,78 x n x I x A x f</t>
  </si>
  <si>
    <r>
      <rPr>
        <b/>
        <sz val="10"/>
        <rFont val="Calibri"/>
        <family val="2"/>
        <scheme val="minor"/>
      </rPr>
      <t>Tempo de Concentração - Formulação de Mc Cuen - (tc):</t>
    </r>
    <r>
      <rPr>
        <sz val="10"/>
        <rFont val="Calibri"/>
        <family val="2"/>
        <scheme val="minor"/>
      </rPr>
      <t xml:space="preserve">                                                           L - comprimento talvegue (km)   ;                                                                                            S - Declividade (m/m)</t>
    </r>
  </si>
  <si>
    <t>Tc = 10,5721 x L⁰’⁵⁵⁵² x S¯⁰’²⁰⁷⁰</t>
  </si>
  <si>
    <t>f = a x (I x tc)^1/3</t>
  </si>
  <si>
    <t>Fator  impermeabilidade ( a ):</t>
  </si>
  <si>
    <t>a = (2,913 + 64,073 x C) x 10³</t>
  </si>
  <si>
    <t>Equação da Chuva</t>
  </si>
  <si>
    <t>DISSIPADOR TIPO 1</t>
  </si>
  <si>
    <t>N.A.</t>
  </si>
  <si>
    <t>un</t>
  </si>
  <si>
    <t>Empresa</t>
  </si>
  <si>
    <t>PA-1</t>
  </si>
  <si>
    <t>DISSIPADOR TIPO 2</t>
  </si>
  <si>
    <t>DISSIPADOR TIPO 3</t>
  </si>
  <si>
    <t>DISPOSITIVO DE DRENAGEM</t>
  </si>
  <si>
    <t>CONSUMO UNITÁRIO DE BRITA
(m³)</t>
  </si>
  <si>
    <t>CONSUMO TOTAL DE BRITA
(m³)</t>
  </si>
  <si>
    <t>TRANSPORTE DE BRITA
DMT ATÉ 30km
(m³.km)</t>
  </si>
  <si>
    <t>BOCA DE LOBO SIMPLES COMPLETA</t>
  </si>
  <si>
    <t>BOCA DE LOBO DUPLA COMPLETA</t>
  </si>
  <si>
    <t>BOCA DE LOBO TRIPLA COMPLETA</t>
  </si>
  <si>
    <t>POÇO DE VISITA TIPO 1</t>
  </si>
  <si>
    <t>POÇO DE VISITA TIPO 2</t>
  </si>
  <si>
    <t>POÇO DE VISITA TIPO 3</t>
  </si>
  <si>
    <t>POÇO DE VISITA TIPO 4</t>
  </si>
  <si>
    <t>POÇO DE VISITA TIPO 5</t>
  </si>
  <si>
    <t>CHAMINÉ DE POÇO DE VISITA</t>
  </si>
  <si>
    <t>TAMPÃO DE POÇO DE VISITA</t>
  </si>
  <si>
    <t>CAIXA DE LIGAÇÃO E PASSAGEM TIPO 2</t>
  </si>
  <si>
    <t>CAIXA DE LIGAÇÃO E PASSAGEM TIPO 4</t>
  </si>
  <si>
    <t>CAIXA DE LIGAÇÃO E PASSAGEM TIPO 6</t>
  </si>
  <si>
    <t>DISSIPADOR TIPO 4</t>
  </si>
  <si>
    <t>DISSIPADOR TIPO 5</t>
  </si>
  <si>
    <t>SARJETÃO DE CONCRETO</t>
  </si>
  <si>
    <t>CANALETA DE CONCRETO</t>
  </si>
  <si>
    <t>BOCA DE LOBO SIMPLES SOMENTE GRELHA</t>
  </si>
  <si>
    <t>BOCA DE LOBO DUPLA SOMENTE GRELHA</t>
  </si>
  <si>
    <t>CAIXA DE TRANSIÇÃO TIPO 4</t>
  </si>
  <si>
    <t>ENTRADA PARA DESCIDA D'ÁGUA</t>
  </si>
  <si>
    <t>DESCIDA D'ÁGUA</t>
  </si>
  <si>
    <t>DISSIPADOR DE ENERGIA TIPO DEB-1</t>
  </si>
  <si>
    <t>ESPESSURA</t>
  </si>
  <si>
    <t>Fonte: https://rotasbrasil.com.br/</t>
  </si>
  <si>
    <t>LE</t>
  </si>
  <si>
    <t>Três Lagoas/MS</t>
  </si>
  <si>
    <t>PLANILHA DE DIMENSIONAMENTO DA REDE DE DRENAGEM</t>
  </si>
  <si>
    <t>Área de Contribuição
(ha)</t>
  </si>
  <si>
    <t>C
Coef. Impermeabilidade</t>
  </si>
  <si>
    <r>
      <t>n (A</t>
    </r>
    <r>
      <rPr>
        <b/>
        <vertAlign val="superscript"/>
        <sz val="8"/>
        <rFont val="Calibri"/>
        <family val="2"/>
        <scheme val="minor"/>
      </rPr>
      <t>-0,15</t>
    </r>
    <r>
      <rPr>
        <b/>
        <sz val="8"/>
        <rFont val="Calibri"/>
        <family val="2"/>
        <scheme val="minor"/>
      </rPr>
      <t>)
Coef. Distribuição</t>
    </r>
  </si>
  <si>
    <t xml:space="preserve">f
Coef. de Deflúvio </t>
  </si>
  <si>
    <t>I
Precipitação 
(L/s/ha)</t>
  </si>
  <si>
    <t>te
Tempo Percurso 
(min)</t>
  </si>
  <si>
    <t>Declividade
(%)</t>
  </si>
  <si>
    <t>Vazão que Escoa Pela Rua 
(m³/s)</t>
  </si>
  <si>
    <t>Desnível Rua
(m)</t>
  </si>
  <si>
    <t>Declividade da Rua
 (m/m)</t>
  </si>
  <si>
    <t>Tirante y/D 
(%)</t>
  </si>
  <si>
    <t>Vazão Máxima p/ h=0,94d (Projetada)
(m³/s)</t>
  </si>
  <si>
    <t>Vazão Máxima p/ h=0,94d
(Existente)
(m³/s)</t>
  </si>
  <si>
    <t>Vazão Máxima TOTAL
(m³/s)</t>
  </si>
  <si>
    <t>Cota do Terreno ou Greide
(m)</t>
  </si>
  <si>
    <t>Profundidade PV
(m)</t>
  </si>
  <si>
    <t>Cota da Geratriz Inferior Externa
(m)</t>
  </si>
  <si>
    <t>Cota do Nível d'água
(m)</t>
  </si>
  <si>
    <t>Recobrimento da Galeria
(m)</t>
  </si>
  <si>
    <t>Montante</t>
  </si>
  <si>
    <t>Jusante</t>
  </si>
  <si>
    <t>Degrau</t>
  </si>
  <si>
    <t>PLANILHA DE QUANTIDADES DE SERVIÇOS DA DRENAGEM PROFUNDA</t>
  </si>
  <si>
    <t>DRENAGEM PROFUNDA - DRENO PROFUNDO COM TUBO PEAD</t>
  </si>
  <si>
    <t>Hmédia(m)</t>
  </si>
  <si>
    <t>COMPRIM. (M)</t>
  </si>
  <si>
    <t>BASE INFERIOR (M)</t>
  </si>
  <si>
    <t>BASE SUPERIOR (M)</t>
  </si>
  <si>
    <t>ESCAVAÇÃO MECANICA (M³)</t>
  </si>
  <si>
    <t>REATERRO MECÂNICO PROF. 0,0 A 1,50m (M³)</t>
  </si>
  <si>
    <t>BOTA FORA (M³)</t>
  </si>
  <si>
    <t>TUBO PEAD DN 150MM</t>
  </si>
  <si>
    <t>PEDRA BRITADA Nº3</t>
  </si>
  <si>
    <t>MANTA GEOTEXTIL 200G/M²</t>
  </si>
  <si>
    <t>TRANSP. BOTA FORA:</t>
  </si>
  <si>
    <t>TRANSP. BRITA DMT ATÉ 30km:</t>
  </si>
  <si>
    <t>TRANSP. BRITA DMT EXC 30km:</t>
  </si>
  <si>
    <t>TRÊS LAGOAS</t>
  </si>
  <si>
    <t>CAMPO GRANDE/MS</t>
  </si>
  <si>
    <t>BOTA FORA</t>
  </si>
  <si>
    <t>Apucarana/PR</t>
  </si>
  <si>
    <t>MEMORIAL DE CÁLCULO DE QUANTITATIVOS DE SERVIÇOS PRELIMINARES</t>
  </si>
  <si>
    <t>MEMORIAL DE CÁLCULO DE QUANTITATIVOS DE TERRAPLENAGEM DRENAGEM</t>
  </si>
  <si>
    <t>MEMORIAL DE CÁLCULO DE QUANTITATIVOS DE DISPOSITIVOS DE DRENAGEM</t>
  </si>
  <si>
    <t>PEAD</t>
  </si>
  <si>
    <t>CONCRETO</t>
  </si>
  <si>
    <t>Área Total de Concreto</t>
  </si>
  <si>
    <t>Comprimento Total de Piso Tátil</t>
  </si>
  <si>
    <t>(m)</t>
  </si>
  <si>
    <t>(m²)</t>
  </si>
  <si>
    <t>(m³)</t>
  </si>
  <si>
    <t>Tipo 1</t>
  </si>
  <si>
    <t>Tipo 2</t>
  </si>
  <si>
    <t>Tipo 3</t>
  </si>
  <si>
    <t>QUANTIFICAÇÃO GERAL DE CALÇADAS E PISO TÁTIL</t>
  </si>
  <si>
    <t xml:space="preserve">Comp. de Quadras </t>
  </si>
  <si>
    <t xml:space="preserve">Largura de Calçadas </t>
  </si>
  <si>
    <t xml:space="preserve">Largura de Gramas </t>
  </si>
  <si>
    <t xml:space="preserve">Área de Calçamento </t>
  </si>
  <si>
    <t xml:space="preserve">Área de Grama </t>
  </si>
  <si>
    <t xml:space="preserve">Comp. de Piso Tátil </t>
  </si>
  <si>
    <t xml:space="preserve">Preparo de Solo </t>
  </si>
  <si>
    <t>Preparo de Solo - Carga e Descarga</t>
  </si>
  <si>
    <t>Transporte Bota-Fora</t>
  </si>
  <si>
    <t xml:space="preserve">Área Total de Grama </t>
  </si>
  <si>
    <t xml:space="preserve">Comprimento Total de Piso Tátil </t>
  </si>
  <si>
    <t xml:space="preserve">Área Total de Piso Tátil </t>
  </si>
  <si>
    <t>Transporte Piso Tátil DMT ATÉ 30 Km</t>
  </si>
  <si>
    <t>Transporte Piso Tátil DMT EXC. 30 Km</t>
  </si>
  <si>
    <t xml:space="preserve">Área Total de Concreto </t>
  </si>
  <si>
    <t>Volume Total de Concreto - Calçadas</t>
  </si>
  <si>
    <t>Volume Total de Concreto - SobPiso Tátil</t>
  </si>
  <si>
    <t xml:space="preserve">Volume Total de Concreto </t>
  </si>
  <si>
    <t xml:space="preserve">Área de Concreto </t>
  </si>
  <si>
    <t xml:space="preserve">Quantidade Unitária </t>
  </si>
  <si>
    <t>Área Unitária</t>
  </si>
  <si>
    <t>(und)</t>
  </si>
  <si>
    <t>(m³*Km)</t>
  </si>
  <si>
    <t xml:space="preserve">LD </t>
  </si>
  <si>
    <t>MOVIMENTAÇÃO DE TERRA</t>
  </si>
  <si>
    <t>RESUMO - PISO TÁTIL</t>
  </si>
  <si>
    <t>ÁREA DE PREPARO DO TERRENO:</t>
  </si>
  <si>
    <t>TOTAL:</t>
  </si>
  <si>
    <t>ÁREA TOTAL A SER CONCRETADA:</t>
  </si>
  <si>
    <t>CARGA E DESCARGA:</t>
  </si>
  <si>
    <t>PESO:</t>
  </si>
  <si>
    <t>Kgf/m²</t>
  </si>
  <si>
    <t>ESPESSURA DAS CALÇADAS:</t>
  </si>
  <si>
    <t>Km</t>
  </si>
  <si>
    <t>VOLUME DE CONCRETO:</t>
  </si>
  <si>
    <t>TRANSP. DE BOTA-FORA (DMT ATÉ 30 Km):</t>
  </si>
  <si>
    <t>m³*Km</t>
  </si>
  <si>
    <t>TRANSP. PISO TÁTIL (DMT ATÉ 30 Km):</t>
  </si>
  <si>
    <t>T*Km</t>
  </si>
  <si>
    <t>ÁREA A SER CONCRETADA SOB PISO TÁTIL:</t>
  </si>
  <si>
    <t>ESP. DAS CALÇADAS SOB O PISO TÁTIL:</t>
  </si>
  <si>
    <t>VOLUME DE CONCRETO SOB O PISO TÁTIL:</t>
  </si>
  <si>
    <t xml:space="preserve">  </t>
  </si>
  <si>
    <t>VOLUME TOTAL DE CONCRETO:</t>
  </si>
  <si>
    <t>POSTES A REMANEJAR</t>
  </si>
  <si>
    <t>DECRIÇÃO</t>
  </si>
  <si>
    <t>NORTE</t>
  </si>
  <si>
    <t>ÁRVORES A REMOVER</t>
  </si>
  <si>
    <t>TRANSP. BOTA-FORA (DMT ATÉ 30 Km):</t>
  </si>
  <si>
    <t>TRANSPORTE DMT ATÉ 30 KM (R$/t)</t>
  </si>
  <si>
    <t>TRANSPORTE DMT EXCEDENTE A 30 KM (R$/t)</t>
  </si>
  <si>
    <t>Total Aquisição +  Pedágio
(R$/t)</t>
  </si>
  <si>
    <t xml:space="preserve">EMULSÃO ASFÁLTICA </t>
  </si>
  <si>
    <t>TUBOS PEAD</t>
  </si>
  <si>
    <t>TRANSP. TUBOS PEAD DMT ATÉ 30km:</t>
  </si>
  <si>
    <t>TRANSP. TUBOS PEAD DMT EXC 30km:</t>
  </si>
  <si>
    <t>DMT TUBOS PEAD:</t>
  </si>
  <si>
    <t>DMT TUBOS DE CONCRETO:</t>
  </si>
  <si>
    <t>Obra</t>
  </si>
  <si>
    <t>Bancos</t>
  </si>
  <si>
    <t>B.D.I.</t>
  </si>
  <si>
    <t>Encargos Sociais</t>
  </si>
  <si>
    <t>Desonerado</t>
  </si>
  <si>
    <t>Planilha Orçamentária Resumida</t>
  </si>
  <si>
    <t>Item</t>
  </si>
  <si>
    <t>Peso (%)</t>
  </si>
  <si>
    <t xml:space="preserve"> 1 </t>
  </si>
  <si>
    <t>SERVIÇOS PRELIMINARES</t>
  </si>
  <si>
    <t xml:space="preserve"> 2 </t>
  </si>
  <si>
    <t>DRENAGEM DE ÁGUAS PLUVIAIS</t>
  </si>
  <si>
    <t xml:space="preserve"> 3 </t>
  </si>
  <si>
    <t>PAVIMENTAÇÃO ASFÁLTICA</t>
  </si>
  <si>
    <t xml:space="preserve"> 4 </t>
  </si>
  <si>
    <t>CALÇADA E ACESSIBILIDADE</t>
  </si>
  <si>
    <t xml:space="preserve"> 5 </t>
  </si>
  <si>
    <t>SINALIZAÇÃO VIÁRIA PERMANENTE</t>
  </si>
  <si>
    <t xml:space="preserve"> 6 </t>
  </si>
  <si>
    <t>ADMINISTRAÇÃO LOCAL DO CANTEIRO DE OBRAS</t>
  </si>
  <si>
    <t>Total sem BDI</t>
  </si>
  <si>
    <t>Total do BDI</t>
  </si>
  <si>
    <t>Total Geral</t>
  </si>
  <si>
    <t>Não Desonerado</t>
  </si>
  <si>
    <t>B.D.I.:</t>
  </si>
  <si>
    <t>Serviços:</t>
  </si>
  <si>
    <t>Materiais:</t>
  </si>
  <si>
    <t>Planilha Orçamentária Sintética</t>
  </si>
  <si>
    <t>Código</t>
  </si>
  <si>
    <t>Banco</t>
  </si>
  <si>
    <t>DMT</t>
  </si>
  <si>
    <t>Und</t>
  </si>
  <si>
    <t>Quant.</t>
  </si>
  <si>
    <t>Valor Unit</t>
  </si>
  <si>
    <t>BDI</t>
  </si>
  <si>
    <t>Valor Unit com BDI</t>
  </si>
  <si>
    <t>Total SEM BDI</t>
  </si>
  <si>
    <t>Total COM BDI</t>
  </si>
  <si>
    <t xml:space="preserve"> 1.1 </t>
  </si>
  <si>
    <t xml:space="preserve"> 1.2 </t>
  </si>
  <si>
    <t xml:space="preserve"> 2.1 </t>
  </si>
  <si>
    <t>DRENAGEM - TERRAPLENAGEM</t>
  </si>
  <si>
    <t xml:space="preserve"> 2.1.1 </t>
  </si>
  <si>
    <t xml:space="preserve"> 2.1.2 </t>
  </si>
  <si>
    <t xml:space="preserve"> 2.1.3 </t>
  </si>
  <si>
    <t xml:space="preserve"> 2.1.4 </t>
  </si>
  <si>
    <t xml:space="preserve"> 2.1.5 </t>
  </si>
  <si>
    <t xml:space="preserve"> 2.1.6 </t>
  </si>
  <si>
    <t xml:space="preserve"> 2.1.7 </t>
  </si>
  <si>
    <t xml:space="preserve"> 2.1.8 </t>
  </si>
  <si>
    <t xml:space="preserve"> 2.1.9 </t>
  </si>
  <si>
    <t xml:space="preserve"> 2.1.10 </t>
  </si>
  <si>
    <t xml:space="preserve"> 2.1.11 </t>
  </si>
  <si>
    <t xml:space="preserve"> 2.1.12 </t>
  </si>
  <si>
    <t xml:space="preserve"> 2.2 </t>
  </si>
  <si>
    <t>DRENAGEM - DISPOSITIVOS ESTRUTURAIS</t>
  </si>
  <si>
    <t xml:space="preserve"> 2.2.2 </t>
  </si>
  <si>
    <t xml:space="preserve"> 2.2.4 </t>
  </si>
  <si>
    <t xml:space="preserve"> 2.2.5 </t>
  </si>
  <si>
    <t xml:space="preserve"> 2.2.6 </t>
  </si>
  <si>
    <t xml:space="preserve"> 2.2.8 </t>
  </si>
  <si>
    <t xml:space="preserve"> 2.2.10 </t>
  </si>
  <si>
    <t xml:space="preserve"> 2.2.12 </t>
  </si>
  <si>
    <t xml:space="preserve"> 2.2.14 </t>
  </si>
  <si>
    <t xml:space="preserve"> 2.2.16 </t>
  </si>
  <si>
    <t xml:space="preserve"> 2.2.17 </t>
  </si>
  <si>
    <t xml:space="preserve"> 2.2.18 </t>
  </si>
  <si>
    <t xml:space="preserve"> 3.1 </t>
  </si>
  <si>
    <t>PAVIMENTAÇÃO - TERRAPLENAGEM</t>
  </si>
  <si>
    <t xml:space="preserve"> 3.1.1 </t>
  </si>
  <si>
    <t xml:space="preserve"> 3.1.2 </t>
  </si>
  <si>
    <t xml:space="preserve"> 3.1.3 </t>
  </si>
  <si>
    <t xml:space="preserve"> 3.1.4 </t>
  </si>
  <si>
    <t xml:space="preserve"> 3.1.5 </t>
  </si>
  <si>
    <t xml:space="preserve"> 3.2 </t>
  </si>
  <si>
    <t>PAVIMENTAÇÃO - IMPLANTAÇÃO</t>
  </si>
  <si>
    <t xml:space="preserve"> 3.2.1 </t>
  </si>
  <si>
    <t xml:space="preserve"> 3.2.2 </t>
  </si>
  <si>
    <t xml:space="preserve"> 3.2.3 </t>
  </si>
  <si>
    <t xml:space="preserve"> 3.2.4 </t>
  </si>
  <si>
    <t xml:space="preserve"> 3.2.5 </t>
  </si>
  <si>
    <t xml:space="preserve"> 3.2.7 </t>
  </si>
  <si>
    <t xml:space="preserve"> 3.2.8 </t>
  </si>
  <si>
    <t xml:space="preserve"> 3.2.9 </t>
  </si>
  <si>
    <t xml:space="preserve"> 3.2.11 </t>
  </si>
  <si>
    <t xml:space="preserve"> 3.2.12 </t>
  </si>
  <si>
    <t xml:space="preserve"> 3.2.13 </t>
  </si>
  <si>
    <t xml:space="preserve"> 3.2.14 </t>
  </si>
  <si>
    <t xml:space="preserve"> 3.3 </t>
  </si>
  <si>
    <t xml:space="preserve"> 3.3.1 </t>
  </si>
  <si>
    <t xml:space="preserve"> 3.3.2 </t>
  </si>
  <si>
    <t xml:space="preserve"> 3.3.3 </t>
  </si>
  <si>
    <t xml:space="preserve"> 3.3.4 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</si>
  <si>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</si>
  <si>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</si>
  <si>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</si>
  <si>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</si>
  <si>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</si>
  <si>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</si>
  <si>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 xml:space="preserve"> 4.7 </t>
  </si>
  <si>
    <t xml:space="preserve"> 5.1 </t>
  </si>
  <si>
    <t xml:space="preserve"> 5.2 </t>
  </si>
  <si>
    <t xml:space="preserve"> 5.3 </t>
  </si>
  <si>
    <t xml:space="preserve"> 5.4 </t>
  </si>
  <si>
    <t xml:space="preserve"> 5.5 </t>
  </si>
  <si>
    <t xml:space="preserve"> 6.1 </t>
  </si>
  <si>
    <t>Encargos Sociais:</t>
  </si>
  <si>
    <t>BDI:</t>
  </si>
  <si>
    <t>Material: 15,27%</t>
  </si>
  <si>
    <t>Planilha Orçamentária Analítica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</si>
  <si>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</si>
  <si>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</si>
  <si>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</si>
  <si>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</si>
  <si>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PAVI - PAVIMENTAÇÃO</t>
  </si>
  <si>
    <t>Composição Auxiliar</t>
  </si>
  <si>
    <t xml:space="preserve"> 102234 </t>
  </si>
  <si>
    <t>PINTURA IMUNIZANTE PARA MADEIRA, 2 DEMÃOS. AF_01/2021</t>
  </si>
  <si>
    <t xml:space="preserve"> 88262 </t>
  </si>
  <si>
    <t>CARPINTEIRO DE FORMAS COM ENCARGOS COMPLEMENTARES</t>
  </si>
  <si>
    <t>SEDI - SERVIÇOS DIVERSOS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</si>
  <si>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</si>
  <si>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</si>
  <si>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</si>
  <si>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</si>
  <si>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</si>
  <si>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</si>
  <si>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</si>
  <si>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</si>
  <si>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</si>
  <si>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</si>
  <si>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</si>
  <si>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</si>
  <si>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</si>
  <si>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</si>
  <si>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</si>
  <si>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</si>
  <si>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</si>
  <si>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</si>
  <si>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</si>
  <si>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</si>
  <si>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</si>
  <si>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00010776 </t>
  </si>
  <si>
    <t>LOCACAO DE CONTAINER 2,30 X 6,00 M, ALT. 2,50 M, PARA ESCRITORIO, SEM DIVISORIAS INTERNAS E SEM SANITARIO (NAO INCLUI MOBILIZACAO/DESMOBILIZACAO)</t>
  </si>
  <si>
    <t>Equipamento</t>
  </si>
  <si>
    <t>MES</t>
  </si>
  <si>
    <t>Próprio</t>
  </si>
  <si>
    <t xml:space="preserve"> PRE.LIG.ÁGUA </t>
  </si>
  <si>
    <t>LIGAÇÃO PROVISORIA DE ÁGUA</t>
  </si>
  <si>
    <t xml:space="preserve"> 95676 </t>
  </si>
  <si>
    <t>UN</t>
  </si>
  <si>
    <t xml:space="preserve"> 95674 </t>
  </si>
  <si>
    <t xml:space="preserve"> 95635 </t>
  </si>
  <si>
    <t>LIGACAO DA REDE 75MM AO RAMAL PREDIAL 1/2"</t>
  </si>
  <si>
    <t>LIPR - LIGAÇÕES PREDIAIS ÁGUA/ESGOTO/ENERGIA/TELEFONE</t>
  </si>
  <si>
    <t>RAMAL PREDIAL EM TUBO PEAD 20MM - FORNECIMENTO, INSTALAÇÃO, ESCAVAÇÃO E REATERRO (af 01/2024)</t>
  </si>
  <si>
    <t xml:space="preserve"> 101507 </t>
  </si>
  <si>
    <t>ENTRADA DE ENERGIA ELÉTRICA, AÉREA, TRIFÁSICA, COM CAIXA DE SOBREPOR, CABO DE 25 MM2 E DISJUNTOR DIN 50A (NÃO INCLUSO O POSTE DE CONCRETO). AF_07/2020_PS</t>
  </si>
  <si>
    <t xml:space="preserve"> 100578 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</si>
  <si>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</si>
  <si>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</si>
  <si>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</si>
  <si>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</si>
  <si>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</si>
  <si>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</si>
  <si>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91872 </t>
  </si>
  <si>
    <t>ELETRODUTO RÍGIDO ROSCÁVEL, PVC, DN 32 MM (1"), PARA CIRCUITOS TERMINAIS, INSTALADO EM PAREDE - FORNECIMENTO E INSTALAÇÃO. AF_03/2023</t>
  </si>
  <si>
    <t xml:space="preserve"> 91885 </t>
  </si>
  <si>
    <t>LUVA PARA ELETRODUTO, PVC, ROSCÁVEL, DN 32 MM (1"), PARA CIRCUITOS TERMINAIS, INSTALADA EM PAREDE - FORNECIMENTO E INSTALAÇÃO. AF_03/2023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</si>
  <si>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</si>
  <si>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</si>
  <si>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91919 </t>
  </si>
  <si>
    <t>CURVA 180 GRAUS PARA ELETRODUTO, PVC, ROSCÁVEL, DN 32 MM (1"), PARA CIRCUITOS TERMINAIS, INSTALADA EM PAREDE - FORNECIMENTO E INSTALAÇÃO. AF_03/2023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</si>
  <si>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</si>
  <si>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</si>
  <si>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93673 </t>
  </si>
  <si>
    <t xml:space="preserve"> 96977 </t>
  </si>
  <si>
    <t>CORDOALHA DE COBRE NU 50 MM², ENTERRADA - FORNECIMENTO E INSTALAÇÃO. AF_08/2023</t>
  </si>
  <si>
    <t xml:space="preserve"> 96986 </t>
  </si>
  <si>
    <t>HASTE DE ATERRAMENTO, DIÂMETRO 3/4", COM 3 METROS - FORNECIMENTO E INSTALAÇÃO. AF_08/2023</t>
  </si>
  <si>
    <t xml:space="preserve"> 00001094 </t>
  </si>
  <si>
    <t>ARMACAO VERTICAL COM HASTE E CONTRA-PINO, EM CHAPA DE ACO GALVANIZADO 3/16", COM 1 ESTRIBO, SEM ISOLADOR</t>
  </si>
  <si>
    <t xml:space="preserve"> 00003398 </t>
  </si>
  <si>
    <t>ISOLADOR DE PORCELANA, TIPO ROLDANA, DIMENSOES DE *72* X *72* MM, PARA USO EM BAIXA TENSAO</t>
  </si>
  <si>
    <t xml:space="preserve"> 00004346 </t>
  </si>
  <si>
    <t>PARAFUSO DE FERRO POLIDO, SEXTAVADO, COM ROSCA PARCIAL, DIAMETRO 5/8", COMPRIMENTO 6", COM PORCA E ARRUELA DE PRESSAO MEDIA</t>
  </si>
  <si>
    <t xml:space="preserve"> 00011267 </t>
  </si>
  <si>
    <t xml:space="preserve"> 00011950 </t>
  </si>
  <si>
    <t>BUCHA DE NYLON SEM ABA S6, COM PARAFUSO DE 4,20 X 40 MM EM ACO ZINCADO COM ROSCA SOBERBA, CABECA CHATA E FENDA PHILLIPS</t>
  </si>
  <si>
    <t xml:space="preserve"> 00014153 </t>
  </si>
  <si>
    <t>FITA METALICA PERFURADA, L = *18* MM, ROLO DE 30 M, CARGA RECOMENDADA = *30* KGF</t>
  </si>
  <si>
    <t xml:space="preserve"> 00034643 </t>
  </si>
  <si>
    <t xml:space="preserve"> 00039809 </t>
  </si>
  <si>
    <t>CAIXA PARA MEDIDOR POLIFASICO, EM POLICARBONATO / TERMOPLASTICO, PARA ALOJAR 1 DISJUNTOR (PADRAO DA CONCESSIONARIA LOCAL)</t>
  </si>
  <si>
    <t xml:space="preserve"> 00039996 </t>
  </si>
  <si>
    <t xml:space="preserve"> 00039997 </t>
  </si>
  <si>
    <t>PORCA ZINCADA, SEXTAVADA, DIAMETRO 1/4"</t>
  </si>
  <si>
    <t xml:space="preserve"> PRE.SIN.ADVERT. </t>
  </si>
  <si>
    <t>SINALIZAÇÃO DE ADVERTÊNCIA DE OBRA COM PLACA (FUNDO LARANJA) SOBRE CAVALETE, CONFORME ABNT-NBR-7678</t>
  </si>
  <si>
    <t xml:space="preserve"> 73467 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</si>
  <si>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</si>
  <si>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CHP</t>
  </si>
  <si>
    <t xml:space="preserve"> 00004433 </t>
  </si>
  <si>
    <t xml:space="preserve"> PRE.ISOL.OBRA </t>
  </si>
  <si>
    <t>ISOLAMENTO DE OBRA COM TELA PLASTICA COM MALHA DE 5MM</t>
  </si>
  <si>
    <t>SERP - SERVIÇOS PRELIMINARES</t>
  </si>
  <si>
    <t xml:space="preserve"> 00000345 </t>
  </si>
  <si>
    <t>ARAME GALVANIZADO 18 BWG, D = 1,24MM (0,009 KG/M)</t>
  </si>
  <si>
    <t xml:space="preserve"> 00007170 </t>
  </si>
  <si>
    <t>TELA FACHADEIRA EM POLIETILENO, ROLO DE 3 X 100 M (L X C), COR BRANCA, SEM LOGOMARCA - PARA PROTECAO DE OBRAS</t>
  </si>
  <si>
    <t xml:space="preserve"> PRE.SIN.TRANS. </t>
  </si>
  <si>
    <t>SINALIZACAO DE TRANSITO - NOTURNA (AF.06/2024)</t>
  </si>
  <si>
    <t xml:space="preserve"> 00000939 </t>
  </si>
  <si>
    <t>FIO DE COBRE, SOLIDO, CLASSE 1, ISOLACAO EM PVC/A, ANTICHAMA BWF-B, 450/750V, SECAO NOMINAL 2,5 MM2</t>
  </si>
  <si>
    <t xml:space="preserve"> 00002705 </t>
  </si>
  <si>
    <t>ENERGIA ELETRICA ATE 2000 KWH INDUSTRIAL, SEM DEMANDA</t>
  </si>
  <si>
    <t xml:space="preserve"> 00004815 </t>
  </si>
  <si>
    <t>BALDE VERMELHO PARA SINALIZACAO DE VIAS</t>
  </si>
  <si>
    <t xml:space="preserve"> 00012294 </t>
  </si>
  <si>
    <t>SOQUETE DE PORCELANA BASE E27, PARA USO AO TEMPO, PARA LAMPADAS</t>
  </si>
  <si>
    <t xml:space="preserve"> 00039387 </t>
  </si>
  <si>
    <t>LAMPADA LED TUBULAR BIVOLT 18/20 W, BASE G13</t>
  </si>
  <si>
    <t xml:space="preserve"> 90106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</si>
  <si>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</si>
  <si>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MOVT - MOVIMENTO DE TERRA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</si>
  <si>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</si>
  <si>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</si>
  <si>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</si>
  <si>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</si>
  <si>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</si>
  <si>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 xml:space="preserve"> 102281 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</si>
  <si>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</si>
  <si>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 xml:space="preserve"> 88907 </t>
  </si>
  <si>
    <t>ESCAVADEIRA HIDRÁULICA SOBRE ESTEIRAS, CAÇAMBA 1,20 M3, PESO OPERACIONAL 21 T, POTÊNCIA BRUTA 155 HP - CHP DIURNO. AF_06/2014</t>
  </si>
  <si>
    <t xml:space="preserve"> 88908 </t>
  </si>
  <si>
    <t>ESCAVADEIRA HIDRÁULICA SOBRE ESTEIRAS, CAÇAMBA 1,20 M3, PESO OPERACIONAL 21 T, POTÊNCIA BRUTA 155 HP - CHI DIURNO. AF_06/2014</t>
  </si>
  <si>
    <t xml:space="preserve"> 100978 </t>
  </si>
  <si>
    <t>CARGA, MANOBRA E DESCARGA DE SOLOS E MATERIAIS GRANULARES EM CAMINHÃO BASCULANTE 10 M³ - CARGA COM ESCAVADEIRA HIDRÁULICA (CAÇAMBA DE 1,20 M³ / 155 HP) E DESCARGA LIVRE (UNIDADE: M3). AF_07/2020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</si>
  <si>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</si>
  <si>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</si>
  <si>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</si>
  <si>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</si>
  <si>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95875 </t>
  </si>
  <si>
    <t>M3XKM</t>
  </si>
  <si>
    <t xml:space="preserve"> 100574 </t>
  </si>
  <si>
    <t>ESPALHAMENTO DE MATERIAL COM TRATOR DE ESTEIRAS. AF_09/2024</t>
  </si>
  <si>
    <t xml:space="preserve"> 5851 </t>
  </si>
  <si>
    <t>TRATOR DE ESTEIRAS, POTÊNCIA 150 HP, PESO OPERACIONAL 16,7 T, COM RODA MOTRIZ ELEVADA E LÂMINA 3,18 M3 - CHP DIURNO. AF_06/2014</t>
  </si>
  <si>
    <t xml:space="preserve"> 5853 </t>
  </si>
  <si>
    <t>TRATOR DE ESTEIRAS, POTÊNCIA 150 HP, PESO OPERACIONAL 16,7 T, COM RODA MOTRIZ ELEVADA E LÂMINA 3,18 M3 - CHI DIURNO. AF_06/2014</t>
  </si>
  <si>
    <t xml:space="preserve"> 00005061 </t>
  </si>
  <si>
    <t>PREGO DE ACO POLIDO COM CABECA 18 X 27 (2 1/2 X 10)</t>
  </si>
  <si>
    <t xml:space="preserve"> 00006189 </t>
  </si>
  <si>
    <t xml:space="preserve"> 00021138 </t>
  </si>
  <si>
    <t>MOURAO ROLICO DE MADEIRA TRATADA, D = 8 A 11 CM, H = 2,20 M, EM EUCALIPTO OU EQUIVALENTE DA REGIAO (PARA CERCA)</t>
  </si>
  <si>
    <t xml:space="preserve"> 101616 </t>
  </si>
  <si>
    <t>PREPARO DE FUNDO DE VALA COM LARGURA MENOR QUE 1,5 M (ACERTO DO SOLO NATURAL). AF_08/2020</t>
  </si>
  <si>
    <t xml:space="preserve"> 88309 </t>
  </si>
  <si>
    <t>PEDREIRO COM ENCARGOS COMPLEMENTARES</t>
  </si>
  <si>
    <t xml:space="preserve"> 91533 </t>
  </si>
  <si>
    <t>COMPACTADOR DE SOLOS DE PERCUSSÃO (SOQUETE) COM MOTOR A GASOLINA 4 TEMPOS, POTÊNCIA 4 CV - CHP DIURNO. AF_08/2015</t>
  </si>
  <si>
    <t xml:space="preserve"> 101617 </t>
  </si>
  <si>
    <t>PREPARO DE FUNDO DE VALA COM LARGURA MAIOR OU IGUAL A 1,5 M E MENOR QUE 2,5 M (ACERTO DO SOLO NATURAL). AF_08/2020</t>
  </si>
  <si>
    <t xml:space="preserve"> 93379 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</si>
  <si>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</si>
  <si>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</si>
  <si>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</si>
  <si>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</si>
  <si>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</si>
  <si>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93369 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</si>
  <si>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</si>
  <si>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 xml:space="preserve"> 5631 </t>
  </si>
  <si>
    <t>ESCAVADEIRA HIDRÁULICA SOBRE ESTEIRAS, CAÇAMBA 0,80 M3, PESO OPERACIONAL 17 T, POTENCIA BRUTA 111 HP - CHP DIURNO. AF_06/2014</t>
  </si>
  <si>
    <t xml:space="preserve"> 5632 </t>
  </si>
  <si>
    <t>ESCAVADEIRA HIDRÁULICA SOBRE ESTEIRAS, CAÇAMBA 0,80 M3, PESO OPERACIONAL 17 T, POTENCIA BRUTA 111 HP - CHI DIURNO. AF_06/2014</t>
  </si>
  <si>
    <t xml:space="preserve"> 00007781 </t>
  </si>
  <si>
    <t>TUBO DE CONCRETO SIMPLES PARA AGUAS PLUVIAIS, CLASSE PS1, COM ENCAIXE PONTA E BOLSA, DIAMETRO NOMINAL DE 400 MM</t>
  </si>
  <si>
    <t xml:space="preserve"> 92809 </t>
  </si>
  <si>
    <t>ASSENTAMENTO DE TUBO DE CONCRETO PARA REDES COLETORAS DE ÁGUAS PLUVIAIS, DIÂMETRO DE 400 MM, JUNTA RÍGIDA, INSTALADO EM LOCAL COM BAIXO NÍVEL DE INTERFERÊNCIAS (NÃO INCLUI FORNECIMENTO). AF_03/2024</t>
  </si>
  <si>
    <t>ASTU - ASSENTAMENTO DE TUBOS E PECAS</t>
  </si>
  <si>
    <t xml:space="preserve"> 88246 </t>
  </si>
  <si>
    <t>ASSENTADOR DE TUBOS COM ENCARGOS COMPLEMENTARES</t>
  </si>
  <si>
    <t xml:space="preserve"> 88629 </t>
  </si>
  <si>
    <t>ARGAMASSA TRAÇO 1:3 (EM VOLUME DE CIMENTO E AREIA MÉDIA ÚMIDA), PREPARO MANUAL. AF_08/2019</t>
  </si>
  <si>
    <t xml:space="preserve"> 92811 </t>
  </si>
  <si>
    <t>ASSENTAMENTO DE TUBO DE CONCRETO PARA REDES COLETORAS DE ÁGUAS PLUVIAIS, DIÂMETRO DE 600 MM, JUNTA RÍGIDA, INSTALADO EM LOCAL COM BAIXO NÍVEL DE INTERFERÊNCIAS (NÃO INCLUI FORNECIMENTO). AF_03/2024</t>
  </si>
  <si>
    <t xml:space="preserve"> 100947 </t>
  </si>
  <si>
    <t>TRANSPORTE COM CAMINHÃO CARROCERIA 9T, EM VIA URBANA PAVIMENTADA, DMT ATÉ 30KM (UNIDADE: TXKM). AF_07/2020</t>
  </si>
  <si>
    <t>TXKM</t>
  </si>
  <si>
    <t xml:space="preserve"> 5824 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</si>
  <si>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</si>
  <si>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 xml:space="preserve"> 5826 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</si>
  <si>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</si>
  <si>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 xml:space="preserve"> 100948 </t>
  </si>
  <si>
    <t>TRANSPORTE COM CAMINHÃO CARROCERIA 9T, EM VIA URBANA PAVIMENTADA, ADICIONAL PARA DMT EXCEDENTE A 30 KM (UNIDADE: TXKM). AF_07/2020</t>
  </si>
  <si>
    <t>BLSC - BOCA-DE-LOBO SIMPLES, EM CONCRETO SIMPLES FCK 20 MPA, INCLUINDO ESCAVAÇÃO, FORMA, ARMAÇÃO, CALÇAMENTO AO REDOR E GRELHA EM FOFO TIPO PESADA, CONFORME PROJETO</t>
  </si>
  <si>
    <t>DROP - DRENAGEM/OBRAS DE CONTENÇÃO / POÇOS DE VISITA E CAIXAS</t>
  </si>
  <si>
    <t>UND</t>
  </si>
  <si>
    <t>RECORTE MECÂNICO DE PAVIMENTO ASFÁLTICO OU PISO DE CONCRETO, COM SERRA DE DISCO DIAMANTADO PARA PISO/ASFALTO</t>
  </si>
  <si>
    <t xml:space="preserve"> 93358 </t>
  </si>
  <si>
    <t xml:space="preserve"> 92475 </t>
  </si>
  <si>
    <t>MONTAGEM E DESMONTAGEM DE FÔRMA DE VIGA, ESCORAMENTO COM GARFO DE MADEIRA, PÉ-DIREITO SIMPLES, EM CHAPA DE MADEIRA PLASTIFICADA, 14 UTILIZAÇÕES. AF_09/2020</t>
  </si>
  <si>
    <t>FUES - FUNDAÇÕES E ESTRUTURAS</t>
  </si>
  <si>
    <t xml:space="preserve"> 94964 </t>
  </si>
  <si>
    <t xml:space="preserve"> 103670 </t>
  </si>
  <si>
    <t>LANÇAMENTO COM USO DE BALDES, ADENSAMENTO E ACABAMENTO DE CONCRETO EM ESTRUTURAS. AF_02/2022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</si>
  <si>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</si>
  <si>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</si>
  <si>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92917 </t>
  </si>
  <si>
    <t xml:space="preserve"> 92915 </t>
  </si>
  <si>
    <t xml:space="preserve"> 92431 </t>
  </si>
  <si>
    <t>MONTAGEM E DESMONTAGEM DE FÔRMA DE PILARES RETANGULARES E ESTRUTURAS SIMILARES, PÉ-DIREITO SIMPLES, EM CHAPA DE MADEIRA COMPENSADA PLASTIFICADA, 10 UTILIZAÇÕES. AF_09/2020</t>
  </si>
  <si>
    <t xml:space="preserve"> 92916 </t>
  </si>
  <si>
    <t xml:space="preserve"> 97636 </t>
  </si>
  <si>
    <t>DEMOLIÇÃO PARCIAL DE PAVIMENTO ASFÁLTICO, DE FORMA MECANIZADA, SEM REAPROVEITAMENTO. AF_09/2023</t>
  </si>
  <si>
    <t xml:space="preserve"> DRE.PV-01 </t>
  </si>
  <si>
    <t>PV-1 - POÇO DE VISITA 2,32 X 2,32 M, EM ALV. DE TIJ. COM. DE 1 VEZ ASS. E REV. INTERNO COM ARG. DE CIMENTO 1:3, LASTRO BRITA 12 CM, BERÇO 18 CM EM CONC. FCK=15 MPA, LAJE 12 CM EM CONC. ARMADO FCK=20 MPA, INCL. FORMA, ESC. MANUAL E REATERRO</t>
  </si>
  <si>
    <t xml:space="preserve"> 87878 </t>
  </si>
  <si>
    <t xml:space="preserve"> 94963 </t>
  </si>
  <si>
    <t xml:space="preserve"> 93382 </t>
  </si>
  <si>
    <t xml:space="preserve"> 101159 </t>
  </si>
  <si>
    <t>ALVENARIA DE VEDAÇÃO DE BLOCOS CERÂMICOS MACIÇOS DE 5X10X20CM (ESPESSURA 10CM) E ARGAMASSA DE ASSENTAMENTO COM PREPARO EM BETONEIRA. AF_05/2020</t>
  </si>
  <si>
    <t xml:space="preserve"> 101621 </t>
  </si>
  <si>
    <t xml:space="preserve"> 96542 </t>
  </si>
  <si>
    <t xml:space="preserve"> 98114 </t>
  </si>
  <si>
    <t>TAMPA CIRCULAR PARA ESGOTO E DRENAGEM, EM FERRO FUNDIDO, DIÂMETRO INTERNO = 0,6 M. AF_12/2020</t>
  </si>
  <si>
    <t xml:space="preserve"> 94970 </t>
  </si>
  <si>
    <t xml:space="preserve"> 00011301 </t>
  </si>
  <si>
    <t xml:space="preserve"> 99319 </t>
  </si>
  <si>
    <t>CHAMINÉ CIRCULAR PARA POÇO DE VISITA PARA DRENAGEM, EM ALVENARIA COM TIJOLOS CERÂMICOS MACIÇOS, DIÂMETRO INTERNO = 0,6 M. AF_12/2020</t>
  </si>
  <si>
    <t xml:space="preserve"> 87316 </t>
  </si>
  <si>
    <t>ARGAMASSA TRAÇO 1:4 (EM VOLUME DE CIMENTO E AREIA GROSSA ÚMIDA) PARA CHAPISCO CONVENCIONAL, PREPARO MECÂNICO COM BETONEIRA 400 L. AF_08/2019</t>
  </si>
  <si>
    <t xml:space="preserve"> 88628 </t>
  </si>
  <si>
    <t>ARGAMASSA TRAÇO 1:3 (EM VOLUME DE CIMENTO E AREIA MÉDIA ÚMIDA), PREPARO MECÂNICO COM BETONEIRA 400 L. AF_08/2019</t>
  </si>
  <si>
    <t xml:space="preserve"> 89995 </t>
  </si>
  <si>
    <t xml:space="preserve"> 89998 </t>
  </si>
  <si>
    <t xml:space="preserve"> 96536 </t>
  </si>
  <si>
    <t xml:space="preserve"> 00007258 </t>
  </si>
  <si>
    <t xml:space="preserve"> 94293 </t>
  </si>
  <si>
    <t>EXECUÇÃO DE SARJETÃO DE CONCRETO USINADO, MOLDADA  IN LOCO  EM TRECHO RETO, 100 CM BASE X 20 CM ALTURA. AF_01/2024</t>
  </si>
  <si>
    <t xml:space="preserve"> 00000370 </t>
  </si>
  <si>
    <t>AREIA MEDIA - POSTO JAZIDA/FORNECEDOR (RETIRADO NA JAZIDA, SEM TRANSPORTE)</t>
  </si>
  <si>
    <t xml:space="preserve"> 00004517 </t>
  </si>
  <si>
    <t>SARRAFO *2,5 X 7,5* CM EM PINUS, MISTA OU EQUIVALENTE DA REGIAO - BRUTA</t>
  </si>
  <si>
    <t xml:space="preserve"> 00006212 </t>
  </si>
  <si>
    <t>TABUA *2,5 X 30 CM EM PINUS, MISTA OU EQUIVALENTE DA REGIAO - BRUTA</t>
  </si>
  <si>
    <t xml:space="preserve"> 00034492 </t>
  </si>
  <si>
    <t>CONCRETO USINADO BOMBEAVEL, CLASSE DE RESISTENCIA C20, COM BRITA 0 E 1, SLUMP = 100 +/- 20 MM, EXCLUI SERVICO DE BOMBEAMENTO (NBR 8953)</t>
  </si>
  <si>
    <t xml:space="preserve"> 101118 </t>
  </si>
  <si>
    <t>ESCAVAÇÃO HORIZONTAL EM SOLO DE 1A CATEGORIA COM TRATOR DE ESTEIRAS (125HP/LÂMINA: 2,70M3). AF_07/2020</t>
  </si>
  <si>
    <t xml:space="preserve"> 88843 </t>
  </si>
  <si>
    <t>TRATOR DE ESTEIRAS, POTÊNCIA 125 HP, PESO OPERACIONAL 12,9 T, COM LÂMINA 2,7 M3 - CHP DIURNO. AF_10/2014</t>
  </si>
  <si>
    <t xml:space="preserve"> 88844 </t>
  </si>
  <si>
    <t>TRATOR DE ESTEIRAS, POTÊNCIA 125 HP, PESO OPERACIONAL 12,9 T, COM LÂMINA 2,7 M3 - CHI DIURNO. AF_10/2014</t>
  </si>
  <si>
    <t xml:space="preserve"> 101138 </t>
  </si>
  <si>
    <t>ESCAVAÇÃO HORIZONTAL, INCLUINDO CARGA, DESCARGA E TRANSPORTE EM SOLO DE 1A CATEGORIA COM TRATOR DE ESTEIRAS (125HP/LÂMINA: 2,70M3) E CAMINHÃO BASCULANTE DE 10M3, DMT ATÉ 200M. AF_07/2020</t>
  </si>
  <si>
    <t xml:space="preserve"> 100974 </t>
  </si>
  <si>
    <t>CARGA, MANOBRA E DESCARGA DE SOLOS E MATERIAIS GRANULARES EM CAMINHÃO BASCULANTE 10 M³ - CARGA COM PÁ CARREGADEIRA (CAÇAMBA DE 1,7 A 2,8 M³ / 128 HP) E DESCARGA LIVRE (UNIDADE: M3). AF_07/2020</t>
  </si>
  <si>
    <t xml:space="preserve"> 93589 </t>
  </si>
  <si>
    <t>TRANSPORTE COM CAMINHÃO BASCULANTE DE 10 M³, EM VIA URBANA EM REVESTIMENTO PRIMÁRIO (UNIDADE: M3XKM). AF_07/2020</t>
  </si>
  <si>
    <t xml:space="preserve"> 96386 </t>
  </si>
  <si>
    <t>EXECUÇÃO E COMPACTAÇÃO DE CORPO DE ATERRO (95% DE ENERGIA DO PROCTOR NORMAL) COM SOLO PREDOMINANTEMENTE ARENOSO ESPESSURA 15CM - EXCLUSIVE MATERIAL, ESCAVAÇÃO, CARGA E TRANSPORTE. AF_09/2024</t>
  </si>
  <si>
    <t xml:space="preserve"> 5932 </t>
  </si>
  <si>
    <t>MOTONIVELADORA POTÊNCIA BÁSICA LÍQUIDA (PRIMEIRA MARCHA) 125 HP, PESO BRUTO 13032 KG, LARGURA DA LÂMINA DE 3,7 M - CHP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</si>
  <si>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</si>
  <si>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</si>
  <si>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96463 </t>
  </si>
  <si>
    <t xml:space="preserve"> 96464 </t>
  </si>
  <si>
    <t>TRANSPORTE COM CAMINHÃO BASCULANTE DE 10 M³, EM VIA URBANA PAVIMENTADA, DMT ATÉ 30 KM (UNIDADE: M3XKM). AF_07/2020</t>
  </si>
  <si>
    <t xml:space="preserve"> 100577 </t>
  </si>
  <si>
    <t>REGULARIZAÇÃO E COMPACTAÇÃO DE SUBLEITO DE SOLO PREDOMINANTEMENTE ARENOSO, PARA OBRAS DE CONSTRUÇÃO DE PAVIMENTOS. AF_09/2024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</si>
  <si>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</si>
  <si>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</si>
  <si>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</si>
  <si>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</si>
  <si>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89035 </t>
  </si>
  <si>
    <t>TRATOR DE PNEUS, POTÊNCIA 85 CV, TRAÇÃO 4X4, PESO COM LASTRO DE 4.675 KG - CHP DIURNO. AF_06/2014</t>
  </si>
  <si>
    <t xml:space="preserve"> 89036 </t>
  </si>
  <si>
    <t>TRATOR DE PNEUS, POTÊNCIA 85 CV, TRAÇÃO 4X4, PESO COM LASTRO DE 4.675 KG - CHI DIURNO. AF_06/2014</t>
  </si>
  <si>
    <t xml:space="preserve"> 00001379 </t>
  </si>
  <si>
    <t>CIMENTO PORTLAND COMPOSTO CP II-32</t>
  </si>
  <si>
    <t>SICRO3</t>
  </si>
  <si>
    <t xml:space="preserve"> PAV.IMPRIM. </t>
  </si>
  <si>
    <t>EXECUÇÃO DE IMPRIMAÇÃO COM EMULSÃO ASFÁLTICA A BASE DÁGUA. (SEM FORNECIMENTO DO EAI)</t>
  </si>
  <si>
    <t xml:space="preserve"> 91486 </t>
  </si>
  <si>
    <t xml:space="preserve"> 83362 </t>
  </si>
  <si>
    <t xml:space="preserve"> 5839 </t>
  </si>
  <si>
    <t>VASSOURA MECÂNICA REBOCÁVEL COM ESCOVA CILÍNDRICA, LARGURA ÚTIL DE VARRIMENTO DE 2,44 M - CHP DIURNO. AF_06/2014</t>
  </si>
  <si>
    <t xml:space="preserve"> 5841 </t>
  </si>
  <si>
    <t>VASSOURA MECÂNICA REBOCÁVEL COM ESCOVA CILÍNDRICA, LARGURA ÚTIL DE VARRIMENTO DE 2,44 M - CHI DIURNO. AF_06/2014</t>
  </si>
  <si>
    <t xml:space="preserve"> 102330 </t>
  </si>
  <si>
    <t>TRANSPORTE COM CAMINHÃO TANQUE DE TRANSPORTE DE MATERIAL ASFÁLTICO DE 30000 L, EM VIA URBANA PAVIMENTADA, DMT ATÉ 30KM (UNIDADE: TXKM). AF_07/2020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</si>
  <si>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</si>
  <si>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CHP DIURNO. AF_08/2015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</si>
  <si>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</si>
  <si>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</si>
  <si>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102331 </t>
  </si>
  <si>
    <t>TRANSPORTE COM CAMINHÃO TANQUE DE TRANSPORTE DE MATERIAL ASFÁLTICO DE 30000 L, EM VIA URBANA PAVIMENTADA, ADICIONAL PARA DMT EXCEDENTE A 30 KM (UNIDADE: TXKM). AF_07/2020</t>
  </si>
  <si>
    <t xml:space="preserve"> PAV.PINT.LIG. </t>
  </si>
  <si>
    <t>EXECUÇÃO DE PINTURA DE LIGAÇÃO COM EMULSÃO ASFÁLTICA. (REF. SINAPI 96402). (EXCLUSIVE INSUMO)</t>
  </si>
  <si>
    <t xml:space="preserve"> PAV.CBUQ-30/45 </t>
  </si>
  <si>
    <t>EXECUÇÃO DE PAVIMENTO COM APLICAÇÃO DE CONCRETO ASFÁLTICO, CAMADA DE ROLAMENTO - EXCLUSIVE CARGA E TRANSPORTE. (REF. SINAPI 95995)</t>
  </si>
  <si>
    <t xml:space="preserve"> 5835 </t>
  </si>
  <si>
    <t>VIBROACABADORA DE ASFALTO SOBRE ESTEIRAS, LARGURA DE PAVIMENTAÇÃO 1,90 M A 5,30 M, POTÊNCIA 105 HP CAPACIDADE 450 T/H - CHP DIURNO. AF_11/2014</t>
  </si>
  <si>
    <t xml:space="preserve"> 5837 </t>
  </si>
  <si>
    <t>VIBROACABADORA DE ASFALTO SOBRE ESTEIRAS, LARGURA DE PAVIMENTAÇÃO 1,90 M A 5,30 M, POTÊNCIA 105 HP CAPACIDADE 450 T/H - CHI DIURNO. AF_11/2014</t>
  </si>
  <si>
    <t xml:space="preserve"> 88314 </t>
  </si>
  <si>
    <t>RASTELEIRO COM ENCARGOS COMPLEMENTARES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</si>
  <si>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</si>
  <si>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</si>
  <si>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95632 </t>
  </si>
  <si>
    <t>ROLO COMPACTADOR VIBRATORIO TANDEM, ACO LISO, POTENCIA 125 HP, PESO SEM/COM LASTRO 10,20/11,65 T, LARGURA DE TRABALHO 1,73 M - CHI DIURNO. AF_11/2016</t>
  </si>
  <si>
    <t xml:space="preserve"> 96155 </t>
  </si>
  <si>
    <t>TRATOR DE PNEUS COM POTÊNCIA DE 85 CV, TRAÇÃO 4X4, COM VASSOURA MECÂNICA ACOPLADA - CHI DIURNO. AF_02/2017</t>
  </si>
  <si>
    <t xml:space="preserve"> 96157 </t>
  </si>
  <si>
    <t>TRATOR DE PNEUS COM POTÊNCIA DE 85 CV, TRAÇÃO 4X4, COM VASSOURA MECÂNICA ACOPLADA - CHP DIURNO. AF_03/2017</t>
  </si>
  <si>
    <t xml:space="preserve"> 00034770 </t>
  </si>
  <si>
    <t>CONCRETO BETUMINOSO USINADO A QUENTE (CBUQ) PARA PAVIMENTACAO ASFALTICA, PADRAO DNIT, FAIXA C, COM CAP 30/45 - AQUISICAO POSTO USINA</t>
  </si>
  <si>
    <t>Meio-fio com sarjeta, concreto fck=20 MPa, seção 615 cm², moldado no local com extrusora, inclusive escavação e pintura a cal em uma demão</t>
  </si>
  <si>
    <t xml:space="preserve"> 92960 </t>
  </si>
  <si>
    <t>MÁQUINA EXTRUSORA DE CONCRETO PARA GUIAS E SARJETAS, MOTOR A DIESEL, POTÊNCIA 14 CV - CHP DIURNO. AF_12/2015</t>
  </si>
  <si>
    <t xml:space="preserve"> 92961 </t>
  </si>
  <si>
    <t>MÁQUINA EXTRUSORA DE CONCRETO PARA GUIAS E SARJETAS, MOTOR A DIESEL, POTÊNCIA 14 CV - CHI DIURNO. AF_12/2015</t>
  </si>
  <si>
    <t xml:space="preserve"> 88243 </t>
  </si>
  <si>
    <t>AJUDANTE ESPECIALIZADO COM ENCARGOS COMPLEMENTARES</t>
  </si>
  <si>
    <t xml:space="preserve"> 88631 </t>
  </si>
  <si>
    <t>ARGAMASSA TRAÇO 1:4 (EM VOLUME DE CIMENTO E AREIA MÉDIA ÚMIDA), PREPARO MANUAL. AF_08/2019</t>
  </si>
  <si>
    <t xml:space="preserve"> 102498 </t>
  </si>
  <si>
    <t>PINTURA DE MEIO-FIO COM TINTA BRANCA A BASE DE CAL (CAIAÇÃO). AF_05/2021</t>
  </si>
  <si>
    <t>LASTRO COM MATERIAL GRANULAR, ESPESSURA DE *6 CM*. AF_01/2024 (ref. 96622 e SICRO 2003850)</t>
  </si>
  <si>
    <t>TENTO (ACABAMENTO DE LIMPA-RODAS), CONCRETO FCK=20 MPA, SEÇÃO 330 CM², MOLDADO NO LOCAL, INCLUSIVE ESCAVAÇÃO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</si>
  <si>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</si>
  <si>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</si>
  <si>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00013887 </t>
  </si>
  <si>
    <t xml:space="preserve"> 100982 </t>
  </si>
  <si>
    <t>CARGA, MANOBRA E DESCARGA DE ENTULHO EM CAMINHÃO BASCULANTE 10 M³ - CARGA COM ESCAVADEIRA HIDRÁULICA  (CAÇAMBA DE 0,80 M³ / 111 HP) E DESCARGA LIVRE (UNIDADE: M3). AF_07/2020</t>
  </si>
  <si>
    <t xml:space="preserve"> LIMP.CALC </t>
  </si>
  <si>
    <t>LIMPEZA MECANIZADA DE TERRENO PARA IMPLANTAÇÃO DE CALÇADAS</t>
  </si>
  <si>
    <t xml:space="preserve"> 90693 </t>
  </si>
  <si>
    <t>MINICARREGADEIRA SOBRE RODAS, POTÊNCIA LÍQUIDA DE 47 HP, CAPACIDADE NOMINAL DE OPERAÇÃO DE 646 KG - CHI DIURNO. AF_06/2015</t>
  </si>
  <si>
    <t xml:space="preserve"> 90692 </t>
  </si>
  <si>
    <t>MINICARREGADEIRA SOBRE RODAS, POTÊNCIA LÍQUIDA DE 47 HP, CAPACIDADE NOMINAL DE OPERAÇÃO DE 646 KG - CHP DIURNO. AF_06/2015</t>
  </si>
  <si>
    <t xml:space="preserve"> 97084 </t>
  </si>
  <si>
    <t>COMPACTAÇÃO MECÂNICA DE SOLO PARA EXECUÇÃO DE RADIER, PISO DE CONCRETO OU LAJE SOBRE SOLO, COM COMPACTADOR DE SOLOS TIPO PLACA VIBRATÓRIA. AF_09/2021</t>
  </si>
  <si>
    <t xml:space="preserve"> 91277 </t>
  </si>
  <si>
    <t>PLACA VIBRATÓRIA REVERSÍVEL COM MOTOR 4 TEMPOS A GASOLINA, FORÇA CENTRÍFUGA DE 25 KN (2500 KGF), POTÊNCIA 5,5 CV - CHP DIURNO. AF_08/2015</t>
  </si>
  <si>
    <t xml:space="preserve"> 94991 </t>
  </si>
  <si>
    <t>EXECUÇÃO DE PASSEIO (CALÇADA) OU PISO DE CONCRETO COM CONCRETO MOLDADO IN LOCO, USINADO C20, ACABAMENTO CONVENCIONAL, NÃO ARMADO. AF_08/2022</t>
  </si>
  <si>
    <t xml:space="preserve"> 00002692 </t>
  </si>
  <si>
    <t>DESMOLDANTE PROTETOR PARA FORMAS DE MADEIRA, DE BASE OLEOSA EMULSIONADA EM AGUA</t>
  </si>
  <si>
    <t>L</t>
  </si>
  <si>
    <t xml:space="preserve"> 00005068 </t>
  </si>
  <si>
    <t>PREGO DE ACO POLIDO COM CABECA 17 X 21 (2 X 11)</t>
  </si>
  <si>
    <t xml:space="preserve"> 104658 </t>
  </si>
  <si>
    <t>PISO PODOTÁTIL DE ALERTA OU DIRECIONAL, DE CONCRETO, ASSENTADO SOBRE ARGAMASSA. AF_03/2024</t>
  </si>
  <si>
    <t xml:space="preserve"> 00034353 </t>
  </si>
  <si>
    <t>ARGAMASSA COLANTE AC II</t>
  </si>
  <si>
    <t xml:space="preserve"> 00034357 </t>
  </si>
  <si>
    <t>REJUNTE CIMENTICIO, QUALQUER COR</t>
  </si>
  <si>
    <t xml:space="preserve"> 00036178 </t>
  </si>
  <si>
    <t xml:space="preserve"> 5213408 </t>
  </si>
  <si>
    <t>Pintura de faixa com termoplástico por aspersão - espessura de 1,5 mm</t>
  </si>
  <si>
    <t/>
  </si>
  <si>
    <t>A</t>
  </si>
  <si>
    <t>Equipamentos</t>
  </si>
  <si>
    <t>Quantidade</t>
  </si>
  <si>
    <t>Utilização</t>
  </si>
  <si>
    <t>Custo Horário</t>
  </si>
  <si>
    <t>Operativa</t>
  </si>
  <si>
    <t>Improdutiva</t>
  </si>
  <si>
    <t>Caminhão demarcador de faixas com sistema de pintura a quente - 5 kW/30,10 kW/136 kW</t>
  </si>
  <si>
    <t>B</t>
  </si>
  <si>
    <t>Mão de Obra</t>
  </si>
  <si>
    <t>Pré-marcador</t>
  </si>
  <si>
    <t>Servente</t>
  </si>
  <si>
    <t>C</t>
  </si>
  <si>
    <t>Preço Unitário</t>
  </si>
  <si>
    <t>M2040</t>
  </si>
  <si>
    <t>Massa termoplástica para aspersão</t>
  </si>
  <si>
    <t>kg</t>
  </si>
  <si>
    <t>M2038</t>
  </si>
  <si>
    <t>Microesferas refletivas de vidro tipo II-A</t>
  </si>
  <si>
    <t>Tinta à base de resina acrílica emulsionada em água para pré-marcação viária</t>
  </si>
  <si>
    <t>l</t>
  </si>
  <si>
    <t>E</t>
  </si>
  <si>
    <t>Tempo Fixo</t>
  </si>
  <si>
    <t>Carga, manobra e descarga de materiais diversos em caminhão carroceria de 15 t - carga e descarga manuais</t>
  </si>
  <si>
    <t>t</t>
  </si>
  <si>
    <t>F</t>
  </si>
  <si>
    <t>Momento de Transporte</t>
  </si>
  <si>
    <t>Distância Média de Transporte (DMT)</t>
  </si>
  <si>
    <t>LN</t>
  </si>
  <si>
    <t>RP</t>
  </si>
  <si>
    <t xml:space="preserve"> 5214003 </t>
  </si>
  <si>
    <t>Pintura de setas e zebrados com termoplástico por aspersão - espessura de 1,5 mm</t>
  </si>
  <si>
    <t xml:space="preserve"> SIN.VERT.01 </t>
  </si>
  <si>
    <t>Fornecimento e instalação de placa de sinalização vertical (até 0,36 m²), incluindo suporte de aço galvanizado fixado em base de concreto não estrutural</t>
  </si>
  <si>
    <t>Concreto não estrutural, consumo 210kg/m3, preparo com betoneira, sem lançamento</t>
  </si>
  <si>
    <t xml:space="preserve"> 00034723 </t>
  </si>
  <si>
    <t>PLACA DE SINALIZACAO EM CHAPA DE ACO NUM 16 COM PINTURA REFLETIVA</t>
  </si>
  <si>
    <t xml:space="preserve"> 00007696 </t>
  </si>
  <si>
    <t>TUBO ACO GALVANIZADO COM COSTURA, CLASSE MEDIA, DN 2", E = *3,65* MM, PESO *5,10* KG/M (NBR 5580)</t>
  </si>
  <si>
    <t xml:space="preserve"> 00004330 </t>
  </si>
  <si>
    <t>PORCA ZINCADA, SEXTAVADA, DIAMETRO 5/16"</t>
  </si>
  <si>
    <t xml:space="preserve"> 00013348 </t>
  </si>
  <si>
    <t xml:space="preserve"> 00000436 </t>
  </si>
  <si>
    <t>PARAFUSO FRANCES M16 EM ACO GALVANIZADO, COMPRIMENTO = 150 MM, DIAMETRO = 16 MM, CABECA ABAULADA</t>
  </si>
  <si>
    <t xml:space="preserve"> SIN.VERT.03 </t>
  </si>
  <si>
    <t>PLACA ESMALTADA PARA IDENTIFICAÇÃO NR DE RUA, DIMENSÕES 45X20CM (Ref. SINAPI 73916/002-01/2020)</t>
  </si>
  <si>
    <t xml:space="preserve"> 00013521 </t>
  </si>
  <si>
    <t xml:space="preserve"> SIN.VERT.04 </t>
  </si>
  <si>
    <t>CONFECÇÃO DE SUPORTE DE TUBO DE AÇO GALVANIZADO 2" E TRAVESSA PARA PLACA DE LOGRADOURO</t>
  </si>
  <si>
    <t xml:space="preserve"> 00011962 </t>
  </si>
  <si>
    <t>PARAFUSO ZINCADO, SEXTAVADO, COM ROSCA INTEIRA, DIAMETRO 1/4", COMPRIMENTO 1/2"</t>
  </si>
  <si>
    <t xml:space="preserve"> 00039211 </t>
  </si>
  <si>
    <t xml:space="preserve"> 00000555 </t>
  </si>
  <si>
    <t xml:space="preserve"> 90777 </t>
  </si>
  <si>
    <t>ENGENHEIRO CIVIL DE OBRA JUNIOR COM ENCARGOS COMPLEMENTARES</t>
  </si>
  <si>
    <t xml:space="preserve"> 90780 </t>
  </si>
  <si>
    <t>MESTRE DE OBRAS COM ENCARGOS COMPLEMENTARES</t>
  </si>
  <si>
    <t xml:space="preserve"> 100289 </t>
  </si>
  <si>
    <t>VIGIA DIURNO COM ENCARGOS COMPLEMENTARES</t>
  </si>
  <si>
    <t xml:space="preserve"> 90781 </t>
  </si>
  <si>
    <t>TOPOGRAFO COM ENCARGOS COMPLEMENTARES</t>
  </si>
  <si>
    <t xml:space="preserve"> 88253 </t>
  </si>
  <si>
    <t>AUXILIAR DE TOPÓGRAFO COM ENCARGOS COMPLEMENTARES</t>
  </si>
  <si>
    <t xml:space="preserve"> 88321 </t>
  </si>
  <si>
    <t>TÉCNICO DE LABORATÓRIO COM ENCARGOS COMPLEMENTARES</t>
  </si>
  <si>
    <t xml:space="preserve"> 88249 </t>
  </si>
  <si>
    <t>AUXILIAR DE LABORATÓRIO COM ENCARGOS COMPLEMENTARES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</si>
  <si>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</si>
  <si>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</si>
  <si>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</si>
  <si>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</si>
  <si>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</si>
  <si>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</si>
  <si>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</si>
  <si>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</si>
  <si>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</si>
  <si>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</si>
  <si>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Porcentagem</t>
  </si>
  <si>
    <t>Custo</t>
  </si>
  <si>
    <t>Porcentagem Acumulado</t>
  </si>
  <si>
    <t>Custo Acumulado</t>
  </si>
  <si>
    <t>Composições Analíticas com Preço Unitário</t>
  </si>
  <si>
    <t>Composições Principais</t>
  </si>
  <si>
    <t>Composições Auxiliares</t>
  </si>
  <si>
    <t xml:space="preserve"> 88830 </t>
  </si>
  <si>
    <t xml:space="preserve"> 00000367 </t>
  </si>
  <si>
    <t>AREIA GROSSA - POSTO JAZIDA/FORNECEDOR (RETIRADO NA JAZIDA, SEM TRANSPORTE)</t>
  </si>
  <si>
    <t xml:space="preserve"> 00004718 </t>
  </si>
  <si>
    <t>PEDRA BRITADA N. 2 (19 A 38 MM) POSTO PEDREIRA/FORNECEDOR, SEM FRETE</t>
  </si>
  <si>
    <t xml:space="preserve"> 95264 </t>
  </si>
  <si>
    <t>COMPACTADOR DE SOLOS DE PERCUSÃO (SOQUETE) COM MOTOR A GASOLINA, POTÊNCIA 3 CV - CHP DIURNO. AF_09/2016</t>
  </si>
  <si>
    <t xml:space="preserve"> 88267 </t>
  </si>
  <si>
    <t>ENCANADOR OU BOMBEIRO HIDRÁULICO COM ENCARGOS COMPLEMENTARES</t>
  </si>
  <si>
    <t xml:space="preserve"> 00001413 </t>
  </si>
  <si>
    <t>COLAR TOMADA PVC, COM TRAVAS, SAIDA COM ROSCA, DE 75 MM X 1/2" OU 75 MM X 3/4", PARA LIGACAO PREDIAL DE AGUA</t>
  </si>
  <si>
    <t xml:space="preserve"> 00003148 </t>
  </si>
  <si>
    <t xml:space="preserve"> 00003907 </t>
  </si>
  <si>
    <t>LUVA DE REDUCAO ROSCAVEL, PVC, 1" X 3/4", PARA AGUA FRIA PREDIAL</t>
  </si>
  <si>
    <t xml:space="preserve"> 00006029 </t>
  </si>
  <si>
    <t>REGISTRO DE ESFERA PVC, COM CABECA QUADRADA, COM ROSCA EXTERNA, 1/2"</t>
  </si>
  <si>
    <t xml:space="preserve"> 00009813 </t>
  </si>
  <si>
    <t>TUBO DE POLIETILENO DE ALTA DENSIDADE (PEAD), PE-80, DE = 20 MM X 2,3 MM DE PAREDE, PARA LIGACAO DE AGUA PREDIAL (NBR 15561)</t>
  </si>
  <si>
    <t xml:space="preserve"> 1.1.1 </t>
  </si>
  <si>
    <t>PLACA DE OBRA (PARA CONSTRUCAO CIVIL) EM CHAPA GALVANIZADA *N. 22*, ADESIVADA, DE *2,4 X 1,2* M (SEM POSTES PARA FIXACAO)</t>
  </si>
  <si>
    <t xml:space="preserve"> 1.1.4 </t>
  </si>
  <si>
    <t>CAIXA EM CONCRETO PRÉ-MOLDADO PARA ABRIGO DE HIDRÔMETRO COM DN 20 MM - FORNECIMENTO E INSTALAÇÃO. AF_03/2024</t>
  </si>
  <si>
    <t>HIDRÔMETRO DN 1/2", 3,0 M3/H - FORNECIMENTO E INSTALAÇÃO. AF_03/2024</t>
  </si>
  <si>
    <t>KIT CAVALETE PARA MEDIÇÃO DE ÁGUA - ENTRADA PRINCIPAL, EM PVC 25 MM (3/4") - FORNECIMENTO E INSTALAÇÃO (EXCLUSIVE HIDRÔMETRO). AF_03/2024</t>
  </si>
  <si>
    <t xml:space="preserve"> 00005033 </t>
  </si>
  <si>
    <t>POSTE DE CONCRETO ARMADO DE SECAO DUPLO T, EXTENSAO DE 9,00 M, RESISTENCIA DE 300 A 400 DAN, TIPO B OU D</t>
  </si>
  <si>
    <t xml:space="preserve"> 1.1.6 </t>
  </si>
  <si>
    <t>ARRUELA LISA, REDONDA, DE LATAO POLIDO, DIAMETRO NOMINAL 5/8", DIAMETRO EXTERNO = 34 MM, DIAMETRO DO FURO = 17 MM, ESPESSURA = *2,5* MM</t>
  </si>
  <si>
    <t>VERGALHAO ZINCADO ROSCA TOTAL, 1/4" (6,3 MM)</t>
  </si>
  <si>
    <t xml:space="preserve"> 1.1.7 </t>
  </si>
  <si>
    <t>CAIBRO NAO APARELHADO *6 X 6* CM, EM MACARANDUBA/MASSARANDUBA, ANGELIM OU EQUIVALENTE DA REGIAO - BRUTA</t>
  </si>
  <si>
    <t xml:space="preserve"> 1.1.8 </t>
  </si>
  <si>
    <t xml:space="preserve"> 1.1.9 </t>
  </si>
  <si>
    <t>Franquia</t>
  </si>
  <si>
    <t>KWH</t>
  </si>
  <si>
    <t>DEMOLIÇÕES</t>
  </si>
  <si>
    <t xml:space="preserve"> 1.2.1 </t>
  </si>
  <si>
    <t xml:space="preserve"> DEM.CONCR.S </t>
  </si>
  <si>
    <t>DEMOLICAO DE CONCRETO SIMPLES, DE FORMA MANUAL, SEM REAPROVEITAMENTO (Ref. SINAPI 73616-11/2017)</t>
  </si>
  <si>
    <t xml:space="preserve"> 1.2.2 </t>
  </si>
  <si>
    <t xml:space="preserve"> 1.2.3 </t>
  </si>
  <si>
    <t>TABUA NAO APARELHADA *2,5 X 30* CM, EM MACARANDUBA/MASSARANDUBA, ANGELIM OU EQUIVALENTE DA REGIAO - BRUTA</t>
  </si>
  <si>
    <t xml:space="preserve"> 101573 </t>
  </si>
  <si>
    <t>ESCORAMENTO DE VALA, TIPO PONTALETEAMENTO, COM PROFUNDIDADE DE 1,5 A 3,0 M, LARGURA MAIOR OU IGUAL A 1,5 M E MENOR QUE 2,5 M. AF_08/2020</t>
  </si>
  <si>
    <t xml:space="preserve"> 2.1.13 </t>
  </si>
  <si>
    <t xml:space="preserve"> 00041782 </t>
  </si>
  <si>
    <t>TUBO CORRUGADO PEAD, PAREDE DUPLA, INTERNA LISA, JEI, DN/DI 600 MM, PARA SANEAMENTO (DRENAGEM/ESGOTO)</t>
  </si>
  <si>
    <t xml:space="preserve"> DRE. PEAD 600 </t>
  </si>
  <si>
    <t>ASSENTAMENTO DE TUBO DE PEAD CORRUGADO DE DUPLA PAREDE DE ESGOTO, DN 600 MM, JUNTA ELÁSTICA INTEGRADA (NÃO INCLUI FORNECIMENTO) (REF. SINAPI 90747)</t>
  </si>
  <si>
    <t xml:space="preserve"> 00020078 </t>
  </si>
  <si>
    <t>PASTA LUBRIFICANTE PARA TUBOS E CONEXOES COM JUNTA ELASTICA, EMBALAGEM DE *400* GR (USO EM PVC, ACO, POLIETILENO E OUTROS)</t>
  </si>
  <si>
    <t>CONCRETO FCK = 20MPA, TRAÇO 1:2,7:3 (EM MASSA SECA DE CIMENTO/ AREIA MÉDIA/ BRITA 1) - PREPARO MECÂNICO COM BETONEIRA 400 L. AF_05/2021</t>
  </si>
  <si>
    <t>ARMAÇÃO DE ESTRUTURAS DIVERSAS DE CONCRETO ARMADO, EXCETO VIGAS, PILARES, LAJES E FUNDAÇÕES, UTILIZANDO AÇO CA-50 DE 8,0 MM - MONTAGEM. AF_06/2022</t>
  </si>
  <si>
    <t>ARMAÇÃO DE ESTRUTURAS DIVERSAS DE CONCRETO ARMADO, EXCETO VIGAS, PILARES, LAJES E FUNDAÇÕES, UTILIZANDO AÇO CA-60 DE 5,0 MM - MONTAGEM. AF_06/2022</t>
  </si>
  <si>
    <t>ARMAÇÃO DE ESTRUTURAS DIVERSAS DE CONCRETO ARMADO, EXCETO VIGAS, PILARES, LAJES E FUNDAÇÕES, UTILIZANDO AÇO CA-50 DE 6,3 MM - MONTAGEM. AF_06/2022</t>
  </si>
  <si>
    <t>CONCRETO FCK = 15MPA, TRAÇO 1:3,4:3,5 (EM MASSA SECA DE CIMENTO/ AREIA MÉDIA/ BRITA 1) - PREPARO MECÂNICO COM BETONEIRA 400 L. AF_05/2021</t>
  </si>
  <si>
    <t>REATERRO MANUAL DE VALAS, COM COMPACTADOR DE SOLOS DE PERCUSSÃO. AF_08/2023</t>
  </si>
  <si>
    <t>FABRICAÇÃO, MONTAGEM E DESMONTAGEM DE FÔRMA PARA VIGA BALDRAME, EM CHAPA DE MADEIRA COMPENSADA RESINADA, E=17 MM, 4 UTILIZAÇÕES. AF_01/2024</t>
  </si>
  <si>
    <t>GRAUTEAMENTO DE CINTA SUPERIOR OU DE VERGA EM ALVENARIA ESTRUTURAL. AF_09/2021</t>
  </si>
  <si>
    <t>ARMAÇÃO DE CINTA DE ALVENARIA ESTRUTURAL; DIÂMETRO DE 10,0 MM. AF_09/2021</t>
  </si>
  <si>
    <t>FABRICAÇÃO, MONTAGEM E DESMONTAGEM DE FÔRMA PARA VIGA BALDRAME, EM MADEIRA SERRADA, E=25 MM, 4 UTILIZAÇÕES. AF_01/2024</t>
  </si>
  <si>
    <t>TIJOLO CERAMICO MACICO COMUM DE *5 X 10 X 20* CM (L X A X C)</t>
  </si>
  <si>
    <t>CONCRETO FCK = 20MPA, TRAÇO 1:2,7:3 (EM MASSA SECA DE CIMENTO/ AREIA MÉDIA/ BRITA 1) - PREPARO MECÂNICO COM BETONEIRA 600 L. AF_05/2021</t>
  </si>
  <si>
    <t>TAMPAO FOFO ARTICULADO, COM BASE / REQUADRO, CLASSE B125 CARGA MAX 12,5 T, REDONDO, TAMPA 600 MM (COM INSCRICAO EM RELEVO DO TIPO DE REDE)</t>
  </si>
  <si>
    <t xml:space="preserve"> 2.2.19 </t>
  </si>
  <si>
    <t xml:space="preserve"> 2.2.20 </t>
  </si>
  <si>
    <t>PAVIMENTAÇÃO - COMPLEMENTARES</t>
  </si>
  <si>
    <t>PISO TATIL / PODOTATIL, LADRILHO HIDRAULICO/CONCRETO, *40 X 40* CM, E= 2,5* CM, PADRAO TATIL ALERTA OU DIRECIONAL, COR NATURAL</t>
  </si>
  <si>
    <t>ARRUELA EM ACO GALVANIZADO, DIAMETRO EXTERNO = 35MM, ESPESSURA = 3MM, DIAMETRO DO FURO= 18MM</t>
  </si>
  <si>
    <t>PLACA DE ACO ESMALTADA PARA IDENTIFICACAO DE RUA, *45 CM X 20* CM</t>
  </si>
  <si>
    <t>ARRUELA EM ALUMINIO, COM ROSCA, DE 1 1/4", PARA ELETRODUTO</t>
  </si>
  <si>
    <t>BARRA DE ACO CHATO, RETANGULAR, 25,4 MM X 6,35 MM (L X E), 1,2265 KG/M</t>
  </si>
  <si>
    <t>BETONEIRA CAPACIDADE NOMINAL DE 400 L, CAPACIDADE DE MISTURA 280 L, MOTOR ELÉTRICO TRIFÁSICO POTÊNCIA DE 2 CV, SEM CARREGADOR - CHP DIURNO. AF_05/2023</t>
  </si>
  <si>
    <t>JARDIM BRASILIA</t>
  </si>
  <si>
    <t>*ATUALIZADO</t>
  </si>
  <si>
    <t>TR-05</t>
  </si>
  <si>
    <t>TR-06</t>
  </si>
  <si>
    <t>TR-08</t>
  </si>
  <si>
    <t>TR-09</t>
  </si>
  <si>
    <t>TR-10</t>
  </si>
  <si>
    <t>TR-11</t>
  </si>
  <si>
    <t>TR-12</t>
  </si>
  <si>
    <t>TR-13</t>
  </si>
  <si>
    <t>Implantação de Pavimentação Asfáltica e Drenagem de Águas Pluviais - Jardim Brasilia</t>
  </si>
  <si>
    <t>TR-14</t>
  </si>
  <si>
    <t>TR-15</t>
  </si>
  <si>
    <t>Rua Manoel Jorge</t>
  </si>
  <si>
    <t>Rua Quinze de Junho</t>
  </si>
  <si>
    <t>Rua 13 de Junho</t>
  </si>
  <si>
    <t>Rua Manoel Pedro Campos</t>
  </si>
  <si>
    <t>Rua Alfredo de Castilho</t>
  </si>
  <si>
    <t>Rua Getúlio Garcia</t>
  </si>
  <si>
    <t xml:space="preserve">Rua Marcia Mendes </t>
  </si>
  <si>
    <t xml:space="preserve">Rua Luiz Correa da Silveira </t>
  </si>
  <si>
    <t>Rua Jorge Elias Sebá</t>
  </si>
  <si>
    <t>7.698.976,54</t>
  </si>
  <si>
    <t>427.835,26</t>
  </si>
  <si>
    <t>7.698.972,28</t>
  </si>
  <si>
    <t>427.842,88</t>
  </si>
  <si>
    <t>7.698.954,46</t>
  </si>
  <si>
    <t>427.873,73</t>
  </si>
  <si>
    <t>7.699.110,81</t>
  </si>
  <si>
    <t>427.838,73</t>
  </si>
  <si>
    <t>7.699.188,05</t>
  </si>
  <si>
    <t>427.858,31</t>
  </si>
  <si>
    <t>7.699.575,26</t>
  </si>
  <si>
    <t>427.919,05</t>
  </si>
  <si>
    <t>7.699.097,71</t>
  </si>
  <si>
    <t>427.810,97</t>
  </si>
  <si>
    <t>ÁRVORE 01</t>
  </si>
  <si>
    <t>ÁRVORE 02</t>
  </si>
  <si>
    <t>ÁRVORE 03</t>
  </si>
  <si>
    <t>ÁRVORE 04</t>
  </si>
  <si>
    <t>ÁRVORE 08</t>
  </si>
  <si>
    <t>Av. Jari Mercante</t>
  </si>
  <si>
    <t>QUANTIFICAÇÃO GERAL DA PAVIMENTAÇÃO</t>
  </si>
  <si>
    <t>Estacas</t>
  </si>
  <si>
    <t>EXTENSÃO
(m)</t>
  </si>
  <si>
    <t>LARGURA</t>
  </si>
  <si>
    <t>ÁREAS DE REVESTIMENTO</t>
  </si>
  <si>
    <t>REGULARIZAÇÃO</t>
  </si>
  <si>
    <t>TERRAPLENAGEM</t>
  </si>
  <si>
    <t>BASE</t>
  </si>
  <si>
    <t>IMPRIMAÇÃO</t>
  </si>
  <si>
    <t>PINTURA DE LIGAÇÃO</t>
  </si>
  <si>
    <t>REVESTIMENTO ASFÁLTICO</t>
  </si>
  <si>
    <t>SERVIÇOS COMPLEMENTARES</t>
  </si>
  <si>
    <t>Início</t>
  </si>
  <si>
    <t>Fim</t>
  </si>
  <si>
    <t>Largura</t>
  </si>
  <si>
    <t>Área
(m²)</t>
  </si>
  <si>
    <t>Vol. Corte 
(m³)</t>
  </si>
  <si>
    <t>Vol. 
Aterro (m³)</t>
  </si>
  <si>
    <t>Vol. Compensação (m³)</t>
  </si>
  <si>
    <t>Esp. Base
 (m)</t>
  </si>
  <si>
    <t>Área Base 
(m²)</t>
  </si>
  <si>
    <t>Vol.  Base
 (m³)</t>
  </si>
  <si>
    <t>Imprimação
 (m²)</t>
  </si>
  <si>
    <t>Transp.  
EAI (0,0012t/m²)</t>
  </si>
  <si>
    <t>Pintura de Ligação
 (m²)</t>
  </si>
  <si>
    <t>Transp.  
RR-2C (0,00045 t/m²)</t>
  </si>
  <si>
    <t>Capa</t>
  </si>
  <si>
    <t>Guia e Sarjeta
 (m)</t>
  </si>
  <si>
    <t>Guia sem Sarjeta  (m)</t>
  </si>
  <si>
    <t>Demolição Pavimento Existente (m²)</t>
  </si>
  <si>
    <t>Demolição MFC
0,0615m³/m
  (m)</t>
  </si>
  <si>
    <t>Tento            (m)</t>
  </si>
  <si>
    <t>Along. Chaminé
(un)</t>
  </si>
  <si>
    <t>Via
(m)</t>
  </si>
  <si>
    <t>Revestimento
(m)</t>
  </si>
  <si>
    <t>Acréscimo (Raios, Limpa Rodas e Complementares)
(m²)</t>
  </si>
  <si>
    <t>Descréscimo (Cruzamento)
(m²)</t>
  </si>
  <si>
    <t>Área Total
(m²)</t>
  </si>
  <si>
    <t>Esp.
 (m)</t>
  </si>
  <si>
    <t>Área 
(m²)</t>
  </si>
  <si>
    <t>CBUQ
 (m³)</t>
  </si>
  <si>
    <t>CBUQ - 2,5548t/m³ (t)</t>
  </si>
  <si>
    <t>+</t>
  </si>
  <si>
    <t>Totais Gerais</t>
  </si>
  <si>
    <t>ESCAVAÇÃO CARGA, DESCARGA E TRANSPORTE, DMT ATÉ 200M:</t>
  </si>
  <si>
    <t>CARGA, DESC. DE MATERIAL DE BASE:</t>
  </si>
  <si>
    <t>TRANS. EAI (DMT ATÉ 30km):</t>
  </si>
  <si>
    <t>BRITA LASTRO MFC:</t>
  </si>
  <si>
    <t>ESCAVAÇÃO HORIZONTAL:</t>
  </si>
  <si>
    <t>TRANS. EAI (DMT EXC. 30km):</t>
  </si>
  <si>
    <t>TRANSP. BRITA LASTRO DMT ATÉ 30km:</t>
  </si>
  <si>
    <t>COMPACTAÇÃO ATERRO:</t>
  </si>
  <si>
    <t>EXECUÇÃO DA BASE:</t>
  </si>
  <si>
    <t>TRANS. RR-2C (DMT ATÉ 30km):</t>
  </si>
  <si>
    <t>TRANS. RR-2C (DMT EXC. 30km):</t>
  </si>
  <si>
    <t>TRANS. CBUQ (DMT ATÉ 30km):</t>
  </si>
  <si>
    <t>*verificar</t>
  </si>
  <si>
    <t>QUANTIDADE DA SINALIZAÇÃO HORIZONTAL (PINTURA MECANIZADA)</t>
  </si>
  <si>
    <t>NOME</t>
  </si>
  <si>
    <t>SINALIZAÇÃO HORIZONTAL</t>
  </si>
  <si>
    <t>COR</t>
  </si>
  <si>
    <t>TIPO</t>
  </si>
  <si>
    <t>ÁREA TOTAL</t>
  </si>
  <si>
    <t>LINHA SIMPLES SECCIONADA                                                                                                                                      LMS-2(1x2x0.10)</t>
  </si>
  <si>
    <t>AMARELA</t>
  </si>
  <si>
    <t>MECANIZADA</t>
  </si>
  <si>
    <t xml:space="preserve">LINHA SIMPLES CONTÍNUA                  </t>
  </si>
  <si>
    <t>QUANTIDADE DA SINALIZAÇÃO HORIZONTAL (PINTURA MANUAL)</t>
  </si>
  <si>
    <t>ÁREA UNITÁRIA</t>
  </si>
  <si>
    <t>PARADA OBRIGATÓRIA</t>
  </si>
  <si>
    <t>BRANCA</t>
  </si>
  <si>
    <t>LINHA DE RETENÇÃO</t>
  </si>
  <si>
    <t>SENTIDO DE CIRCULAÇÃO DA VIA</t>
  </si>
  <si>
    <t>TOTAL DE PINTURA DE EIXO VIÁRIO MECANIZADA:</t>
  </si>
  <si>
    <t>TOTAL DE PINTURA DE FAIXA DE PEDESTRE, ZEBRADO E LINHA DE RETENÇÃO:</t>
  </si>
  <si>
    <t>TOTAL DE PINTURA DE SÍMBOLOS E TEXTO:</t>
  </si>
  <si>
    <t>QUANTIDADE DA SINALIZAÇÃO VERTICAL</t>
  </si>
  <si>
    <t>PLACA</t>
  </si>
  <si>
    <t>CÓDIGO</t>
  </si>
  <si>
    <t>DIMENS.</t>
  </si>
  <si>
    <t>QUANT.</t>
  </si>
  <si>
    <t>ÁREA UNITARIA</t>
  </si>
  <si>
    <t>R-1</t>
  </si>
  <si>
    <t>L0,25</t>
  </si>
  <si>
    <t>VELOCIDADE MÁXIMA</t>
  </si>
  <si>
    <t>R-19</t>
  </si>
  <si>
    <t>D0,50</t>
  </si>
  <si>
    <t>TOTAL DE PLACAS (ATÉ 0,36 m²):</t>
  </si>
  <si>
    <t>TOTAL DE PLACAS (&gt; 0,36 m²):</t>
  </si>
  <si>
    <t>IDENTIFICAÇÃO DE LOGRADOURO</t>
  </si>
  <si>
    <t>POSTES</t>
  </si>
  <si>
    <t>PLACA LOGRADOURO</t>
  </si>
  <si>
    <t>0,45x0,20</t>
  </si>
  <si>
    <t>TOTAL DE PLACA DE LOGRADOURO:</t>
  </si>
  <si>
    <t>TOTAL DE SUPORTE DE PLACA DE LOGRADOURO:</t>
  </si>
  <si>
    <t>MANOEL JORGE</t>
  </si>
  <si>
    <t>QUINZE DE JUNHO</t>
  </si>
  <si>
    <t>TREZE DE JUNHO</t>
  </si>
  <si>
    <t>MANOEL PEDRO CAMPOS</t>
  </si>
  <si>
    <t>ALFREDO DE CASTILHO</t>
  </si>
  <si>
    <t>GETÚLIO GARCIA 1</t>
  </si>
  <si>
    <t>GETÚLIO GARCIA 2</t>
  </si>
  <si>
    <t>AV. JERI MERCANTE 1</t>
  </si>
  <si>
    <t>AV. JERI MERCANTE 2</t>
  </si>
  <si>
    <t>MÁRCIA MENDES</t>
  </si>
  <si>
    <t>LUIZ CORREA DA SILVEIRA</t>
  </si>
  <si>
    <t>JORGE ELIAS SEBÁ</t>
  </si>
  <si>
    <t>RESUMO DAS DEMOLIÇÕES</t>
  </si>
  <si>
    <t>ESTRUTURA</t>
  </si>
  <si>
    <t>PAVIMENTO EXISTENTE</t>
  </si>
  <si>
    <t>TOTAL CONCRETO SIMPLES
(m³)</t>
  </si>
  <si>
    <t>MEIO-FIO EXISTENTE</t>
  </si>
  <si>
    <t>CARGA, MAN. E DESCARGA MATERIAL DEMOLIDO (EMP. 30%):</t>
  </si>
  <si>
    <t>CALÇADA A DEMOLIR</t>
  </si>
  <si>
    <t>CONCRETO SIMPLES (m³/unid)</t>
  </si>
  <si>
    <t>Espessura (m)</t>
  </si>
  <si>
    <t>TOTAL PAVIMENTO ASFÁLTICO
(m³)</t>
  </si>
  <si>
    <t>DMT BOTA FORA</t>
  </si>
  <si>
    <t>Total Aquisição + Pedágio + Transporte
(R$/t)</t>
  </si>
  <si>
    <t>pead</t>
  </si>
  <si>
    <t>concreto</t>
  </si>
  <si>
    <t>8,00</t>
  </si>
  <si>
    <t xml:space="preserve"> AUX.PRE.RAMAL </t>
  </si>
  <si>
    <t xml:space="preserve"> AUX.PRE.LIG </t>
  </si>
  <si>
    <t>1,00</t>
  </si>
  <si>
    <t>29,00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</si>
  <si>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</si>
  <si>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</si>
  <si>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1.2.4 </t>
  </si>
  <si>
    <t xml:space="preserve"> 90095 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</si>
  <si>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</si>
  <si>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 xml:space="preserve"> 101575 </t>
  </si>
  <si>
    <t>ESCORAMENTO DE VALA, TIPO PONTALETEAMENTO, COM PROFUNDIDADE DE 3,0 A 4,5 M, LARGURA MAIOR OU IGUAL A 1,5 M E MENOR QUE 2,5 M. AF_08/2020</t>
  </si>
  <si>
    <t xml:space="preserve"> 101624 </t>
  </si>
  <si>
    <t>PREPARO DE FUNDO DE VALA COM LARGURA MAIOR OU IGUAL A 1,5 M E MENOR QUE 2,5 M, COM CAMADA DE BRITA, LANÇAMENTO MECANIZADO. AF_08/2020</t>
  </si>
  <si>
    <t xml:space="preserve"> 00004720 </t>
  </si>
  <si>
    <t>PEDRA BRITADA N. 0, OU PEDRISCO (4,8 A 9,5 MM) POSTO PEDREIRA/FORNECEDOR, SEM FRETE</t>
  </si>
  <si>
    <t xml:space="preserve"> 2.1.14 </t>
  </si>
  <si>
    <t xml:space="preserve"> 2.1.15 </t>
  </si>
  <si>
    <t xml:space="preserve"> 2.1.16 </t>
  </si>
  <si>
    <t xml:space="preserve"> 2.1.17 </t>
  </si>
  <si>
    <t xml:space="preserve"> 93373 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</si>
  <si>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</si>
  <si>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119,00</t>
  </si>
  <si>
    <t xml:space="preserve"> 00041785 </t>
  </si>
  <si>
    <t>TUBO CORRUGADO PEAD, PAREDE DUPLA, INTERNA LISA, JEI, DN/DI *1000* MM, PARA SANEAMENTO (DRENAGEM/ESGOTO)</t>
  </si>
  <si>
    <t>358,00</t>
  </si>
  <si>
    <t xml:space="preserve"> DRE. PEAD 1000 </t>
  </si>
  <si>
    <t>ASSENTAMENTO DE TUBO DE PEAD CORRUGADO DE DUPLA PAREDE, DN 1000 MM, JUNTA ELÁSTICA INTEGRADA (NÃO INCLUI FORNECIMENTO). (REF. SINAPI 94880)</t>
  </si>
  <si>
    <t xml:space="preserve"> 00007750 </t>
  </si>
  <si>
    <t>TUBO DE CONCRETO ARMADO PARA AGUAS PLUVIAIS, CLASSE PA-1, COM ENCAIXE PONTA E BOLSA, DIAMETRO NOMINAL DE 800 MM</t>
  </si>
  <si>
    <t xml:space="preserve"> 92813 </t>
  </si>
  <si>
    <t>ASSENTAMENTO DE TUBO DE CONCRETO PARA REDES COLETORAS DE ÁGUAS PLUVIAIS, DIÂMETRO DE 800 MM, JUNTA RÍGIDA, INSTALADO EM LOCAL COM BAIXO NÍVEL DE INTERFERÊNCIAS (NÃO INCLUI FORNECIMENTO). AF_03/2024</t>
  </si>
  <si>
    <t xml:space="preserve"> 00007753 </t>
  </si>
  <si>
    <t>TUBO DE CONCRETO ARMADO PARA AGUAS PLUVIAIS, CLASSE PA-1, COM ENCAIXE PONTA E BOLSA, DIAMETRO NOMINAL DE 1000 MM</t>
  </si>
  <si>
    <t xml:space="preserve"> 92848 </t>
  </si>
  <si>
    <t>ASSENTAMENTO DE TUBO DE CONCRETO PARA REDES COLETORAS DE ESGOTO SANITÁRIO, DIÂMETRO DE 1000 MM, JUNTA ELÁSTICA, INSTALADO EM LOCAL COM BAIXO NÍVEL DE INTERFERÊNCIAS (NÃO INCLUI FORNECIMENTO). AF_03/2024</t>
  </si>
  <si>
    <t xml:space="preserve"> 00040347 </t>
  </si>
  <si>
    <t>ANEL DE VEDACAO/JUNTA ELASTICA, H = *21* MM, PARA TUBO DE CONCRETO, DN 1000 MM</t>
  </si>
  <si>
    <t xml:space="preserve"> 00007757 </t>
  </si>
  <si>
    <t>TUBO DE CONCRETO ARMADO PARA AGUAS PLUVIAIS, CLASSE PA-1, COM ENCAIXE PONTA E BOLSA, DIAMETRO NOMINAL DE 1200 MM</t>
  </si>
  <si>
    <t xml:space="preserve"> 92817 </t>
  </si>
  <si>
    <t>ASSENTAMENTO DE TUBO DE CONCRETO PARA REDES COLETORAS DE ÁGUAS PLUVIAIS, DIÂMETRO DE 1200 MM, JUNTA RÍGIDA, INSTALADO EM LOCAL COM BAIXO NÍVEL DE INTERFERÊNCIAS (NÃO INCLUI FORNECIMENTO). AF_03/2024</t>
  </si>
  <si>
    <t xml:space="preserve"> DEM.REC.PAV. </t>
  </si>
  <si>
    <t>ESCAVAÇÃO MANUAL DE VALA. AF_09/2024</t>
  </si>
  <si>
    <t>16,00</t>
  </si>
  <si>
    <t>20,00</t>
  </si>
  <si>
    <t>14,00</t>
  </si>
  <si>
    <t xml:space="preserve"> 2.2.21 </t>
  </si>
  <si>
    <t xml:space="preserve"> 2.2.22 </t>
  </si>
  <si>
    <t xml:space="preserve"> 2.2.23 </t>
  </si>
  <si>
    <t xml:space="preserve"> 2.2.24 </t>
  </si>
  <si>
    <t xml:space="preserve"> 2.2.25 </t>
  </si>
  <si>
    <t xml:space="preserve"> 2.2.27 </t>
  </si>
  <si>
    <t>85,00</t>
  </si>
  <si>
    <t>ROLO COMPACTADOR DE PNEUS, ESTÁTICO, PRESSÃO VARIÁVEL, POTÊNCIA 110 HP, PESO SEM/COM LASTRO 10,8/27 T, LARGURA DE ROLAGEM 2,30 M - CHI DIURNO. AF_06/2017</t>
  </si>
  <si>
    <t>ROLO COMPACTADOR DE PNEUS, ESTÁTICO, PRESSÃO VARIÁVEL, POTÊNCIA 110 HP, PESO SEM/COM LASTRO 10,8/27 T, LARGURA DE ROLAGEM 2,30 M - CHP DIURNO. AF_06/2017</t>
  </si>
  <si>
    <t xml:space="preserve"> O.C-MF.SARJ.TL </t>
  </si>
  <si>
    <t xml:space="preserve"> AUX.O.C-LASTRO </t>
  </si>
  <si>
    <t>6.997,37</t>
  </si>
  <si>
    <t>301,27</t>
  </si>
  <si>
    <t xml:space="preserve"> O.C-TENTO.TL </t>
  </si>
  <si>
    <t>Custo Horário Total</t>
  </si>
  <si>
    <t xml:space="preserve"> E9645 </t>
  </si>
  <si>
    <t>Custo horário total de equipamentos</t>
  </si>
  <si>
    <t xml:space="preserve"> P9853 </t>
  </si>
  <si>
    <t xml:space="preserve"> P9824 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</si>
  <si>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</si>
  <si>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</si>
  <si>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</si>
  <si>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</si>
  <si>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</si>
  <si>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</si>
  <si>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Custo do FIT</t>
  </si>
  <si>
    <t xml:space="preserve"> M2040 </t>
  </si>
  <si>
    <t xml:space="preserve"> M2038 </t>
  </si>
  <si>
    <t xml:space="preserve"> M2044 </t>
  </si>
  <si>
    <t>Custo unitário total de material</t>
  </si>
  <si>
    <t>Carga</t>
  </si>
  <si>
    <t xml:space="preserve"> 5914655 </t>
  </si>
  <si>
    <t>Custo Total dos Tempos Fixos</t>
  </si>
  <si>
    <t>FE</t>
  </si>
  <si>
    <t>--</t>
  </si>
  <si>
    <t>Custo total de transporte</t>
  </si>
  <si>
    <t xml:space="preserve"> AUX.SIN.CONC </t>
  </si>
  <si>
    <t xml:space="preserve"> ADM.JB </t>
  </si>
  <si>
    <t>ADMINISTRAÇÃO LOCAL DO CANTEIRO DE OBRAS - JARDIM BRASILIA</t>
  </si>
  <si>
    <t>447,30</t>
  </si>
  <si>
    <t xml:space="preserve"> 2.2.28 </t>
  </si>
  <si>
    <t xml:space="preserve"> 2.2.29 </t>
  </si>
  <si>
    <t>FITA VEDA ROSCA, EM PTFE, ROLO DE 18 MM X 50 M (L X C)</t>
  </si>
  <si>
    <t>DISCO DE CORTE DIAMANTADO SEGMENTADO PARA CONCRETO/ASFALTO, DIAMETRO DE *350* MM, FURO DE 25,40 MM</t>
  </si>
  <si>
    <t>PREÇO MÉDIO DE AQUISIÇÃO DE MATERIAL BETUMINOSO</t>
  </si>
  <si>
    <t xml:space="preserve"> 1.2.5 </t>
  </si>
  <si>
    <t xml:space="preserve"> 98529 </t>
  </si>
  <si>
    <t>CORTE RASO E RECORTE DE ÁRVORE COM DIÂMETRO DE TRONCO MAIOR OU IGUAL A 0,20 M E MENOR QUE 0,40 M. AF_03/2024</t>
  </si>
  <si>
    <t xml:space="preserve"> 88441 </t>
  </si>
  <si>
    <t>JARDINEIRO COM ENCARGOS COMPLEMENTARES</t>
  </si>
  <si>
    <t xml:space="preserve"> 1.2.6 </t>
  </si>
  <si>
    <t xml:space="preserve"> 98526 </t>
  </si>
  <si>
    <t>REMOÇÃO DE RAÍZES REMANESCENTES DE TRONCO DE ÁRVORE COM DIÂMETRO MAIOR OU IGUAL A 0,20 M E MENOR QUE 0,40 M. AF_03/2024</t>
  </si>
  <si>
    <t>ESPALHAMENTO BOTA FORA:</t>
  </si>
  <si>
    <t xml:space="preserve">CBB Asfaltos </t>
  </si>
  <si>
    <t>Betunel</t>
  </si>
  <si>
    <t>Greca Asfaltos</t>
  </si>
  <si>
    <t>PINTURA DE LIGAÇÃO - RR-2C</t>
  </si>
  <si>
    <t xml:space="preserve">Cercamento de uma área de 10x15 m </t>
  </si>
  <si>
    <t xml:space="preserve">Lastro de brita 5cm na area de convivencia </t>
  </si>
  <si>
    <t xml:space="preserve"> 101203 </t>
  </si>
  <si>
    <t>CERCA COM MOURÕES DE MADEIRA ROLIÇA, DIÂMETRO 11 CM, ESPAÇAMENTO DE 2,5 M, ALTURA LIVRE DE 1,7 M, CRAVADOS 0,5 M, COM 5 FIOS DE ARAME DE AÇO OVALADO 15X17 - FORNECIMENTO E INSTALAÇÃO. AF_05/2020</t>
  </si>
  <si>
    <t xml:space="preserve"> 96622 </t>
  </si>
  <si>
    <t>LASTRO COM MATERIAL GRANULAR, APLICADO EM PISOS OU LAJES SOBRE SOLO, ESPESSURA DE *5 CM*. AF_01/2024</t>
  </si>
  <si>
    <t xml:space="preserve"> 1.1.10 </t>
  </si>
  <si>
    <t xml:space="preserve"> 1.1.11 </t>
  </si>
  <si>
    <t xml:space="preserve"> 1.1.12 </t>
  </si>
  <si>
    <t xml:space="preserve"> DRE.BLSC-TL </t>
  </si>
  <si>
    <t xml:space="preserve"> DRE.BLDC-TL </t>
  </si>
  <si>
    <t>BLDC- TL - Boca-de-lobo dupla, em concreto simples fck 20 MPa, incluindo forma, escavação, calçamento ao redor e grelhas em FoFo tipo pesada, conforme projeto</t>
  </si>
  <si>
    <t xml:space="preserve"> DRE.BLTC - TL </t>
  </si>
  <si>
    <t>BLTC - TL - Boca-de-lobo tripla, em concreto simples fck 20 MPa, incluindo forma, escavação, calçamento ao redor e grelhas em f°f° tipo pesada, conforme projeto</t>
  </si>
  <si>
    <t xml:space="preserve"> 3.1.6 </t>
  </si>
  <si>
    <t xml:space="preserve"> 96396 </t>
  </si>
  <si>
    <t>CONSTRUÇÃO DE BASE E SUB-BASE PARA PAVIMENTAÇÃO DE BRITA GRADUADA SIMPLES, COM ESPESSURA DE 15 CM - EXCLUSIVE CARGA E TRANSPORTE. AF_09/2024</t>
  </si>
  <si>
    <t>Livro SINAPI: Cálculos e Parâmetros</t>
  </si>
  <si>
    <t>Pintura em Madeira</t>
  </si>
  <si>
    <t>Sistemas de Medição</t>
  </si>
  <si>
    <t>Sistema de Proteção contra Descargas Atmosféricas - SPDA</t>
  </si>
  <si>
    <t>Instalações Elétricas - Eletrodutos Embutidos, Cabos, Caixas, Tomadas e Interruptores</t>
  </si>
  <si>
    <t>ASSENTAMENTO DE POSTE DE CONCRETO COM COMPRIMENTO NOMINAL DE 9 M, CARGA NOMINAL MENOR OU IGUAL A 1000 DAN, ENGASTAMENTO SIMPLES COM 1,5 M DE SOLO (NÃO INCLUI FORNECIMENTO). AF_04/2025</t>
  </si>
  <si>
    <t>Postes de Concreto e Metálicos</t>
  </si>
  <si>
    <t>Instalações Elétricas - Quadros, Cabos, Disjuntores, Contatores e Barramentos Blindados</t>
  </si>
  <si>
    <t>Redes Enterradas de Distribuição Elétrica</t>
  </si>
  <si>
    <t>CAIXA DE INSPECAO PARA ATERRAMENTO E PARA RAIOS, EM POLIPROPILENO, DIAMETRO = 300 MM X ALTURA = 400 MM (INCLUIDA TAMPA SEM ESCOTILHA)</t>
  </si>
  <si>
    <t xml:space="preserve"> 88239 </t>
  </si>
  <si>
    <t>AJUDANTE DE CARPINTEIRO COM ENCARGOS COMPLEMENTARES</t>
  </si>
  <si>
    <t xml:space="preserve"> 00005076 </t>
  </si>
  <si>
    <t>GRAMPO DE ACO POLIDO 1" X 9</t>
  </si>
  <si>
    <t xml:space="preserve"> 00000346 </t>
  </si>
  <si>
    <t>ARAME DE ACO OVALADO 15 X 17 (45,7 KG, 700 KGF), ROLO 1000 M</t>
  </si>
  <si>
    <t>400,00</t>
  </si>
  <si>
    <t>Custos Horários Produtivo e Improdutivo dos Equipamentos</t>
  </si>
  <si>
    <t xml:space="preserve"> 91278 </t>
  </si>
  <si>
    <t>PLACA VIBRATÓRIA REVERSÍVEL COM MOTOR 4 TEMPOS A GASOLINA, FORÇA CENTRÍFUGA DE 25 KN (2500 KGF), POTÊNCIA 5,5 CV - CHI DIURNO. AF_08/2015</t>
  </si>
  <si>
    <t>7,50</t>
  </si>
  <si>
    <t>Transporte, Carga e Descarga de Materiais</t>
  </si>
  <si>
    <t>10,35</t>
  </si>
  <si>
    <t>Escavação de Valas</t>
  </si>
  <si>
    <t>Escoramento e Preparo de Fundo de Valas</t>
  </si>
  <si>
    <t>Aterro e Reaterro de Valas</t>
  </si>
  <si>
    <t>Argamassas</t>
  </si>
  <si>
    <t>Concretagem para Estruturas de Concreto Armado</t>
  </si>
  <si>
    <t>Armação para Estruturas de Concreto Armado</t>
  </si>
  <si>
    <t>Produção de Concreto</t>
  </si>
  <si>
    <t>Fôrmas para Estruturas de Concreto Armado</t>
  </si>
  <si>
    <t xml:space="preserve"> COT.GRELHA-TL </t>
  </si>
  <si>
    <t>GRELHA ARTICULADA 500X1000 MM  - FERRO FUNDIDO NODULAR (DUCTIL)</t>
  </si>
  <si>
    <t>CHAPISCO APLICADO EM ALVENARIAS E ESTRUTURAS DE CONCRETO INTERNAS, COM COLHER DE PEDREIRO. ARGAMASSA TRAÇO 1:3 COM PREPARO MANUAL. AF_10/2022</t>
  </si>
  <si>
    <t>Chapisco</t>
  </si>
  <si>
    <t>Alvenarias Diversas</t>
  </si>
  <si>
    <t>Fundações Rasas (Blocos, Sapatas, Vigas Baldrame)</t>
  </si>
  <si>
    <t>Graute e Armação</t>
  </si>
  <si>
    <t>121,74</t>
  </si>
  <si>
    <t>7.818,46</t>
  </si>
  <si>
    <t>93,65</t>
  </si>
  <si>
    <t>8.991,22</t>
  </si>
  <si>
    <t xml:space="preserve"> 96393 </t>
  </si>
  <si>
    <t>ESPARGIDOR DE ASFALTO PRESSURIZADO, TANQUE 6 M3 COM ISOLAÇÃO TÉRMICA, AQUECIDO COM 2 MAÇARICOS, COM BARRA ESPARGIDORA 3,60 M, MONTADO SOBRE CAMINHÃO TOCO, PBT 14.300 KG, POTÊNCIA 185 CV - CHI DIURNO. AF_05/2023</t>
  </si>
  <si>
    <t>ESPARGIDOR DE ASFALTO PRESSURIZADO, TANQUE 6 M3 COM ISOLAÇÃO TÉRMICA, AQUECIDO COM 2 MAÇARICOS, COM BARRA ESPARGIDORA 3,60 M, MONTADO SOBRE CAMINHÃO TOCO, PBT 14.300 KG, POTÊNCIA 185 CV - CHP DIURNO. AF_05/2023</t>
  </si>
  <si>
    <t>Pintura para Pisos e para Sinalização Horizontal e Vertical</t>
  </si>
  <si>
    <t>ALTEAMENTO DE PV EXISTENTE</t>
  </si>
  <si>
    <t>CHAMINÉ PARA PV:</t>
  </si>
  <si>
    <t>TRANSPORTE DE EAI
DMT EXC 30km
(m³.km)</t>
  </si>
  <si>
    <t>TRANSPORTE DE EAI
DMT ATÉ 30km
(m³.km)</t>
  </si>
  <si>
    <t>DMT EAI:</t>
  </si>
  <si>
    <t>1.269,59</t>
  </si>
  <si>
    <t>3.122,66</t>
  </si>
  <si>
    <t xml:space="preserve"> DRE.ALTE </t>
  </si>
  <si>
    <t>ALONGAMENTO DE CHAMINÉ D=0,60 M PARA POÇO DE VISITA, EM ALVENARIA</t>
  </si>
  <si>
    <t xml:space="preserve"> 101849 </t>
  </si>
  <si>
    <t>RECOMPOSIÇÃO DE BASE E OU SUB-BASE PARA FECHAMENTO DE VALAS DE BRITA GRADUADA SIMPLES - INCLUSO RETIRADA E COLOCAÇÃO DO MATERIAL. AF_12/2020</t>
  </si>
  <si>
    <t xml:space="preserve"> 102098 </t>
  </si>
  <si>
    <t>RECOMPOSIÇÃO DE REVESTIMENTO EM CONCRETO ASFÁLTICO (AQUISIÇÃO EM USINA), PARA O FECHAMENTO DE VALAS - INCLUSO DEMOLIÇÃO DO PAVIMENTO. AF_12/2020</t>
  </si>
  <si>
    <t>22,00</t>
  </si>
  <si>
    <t>0,02</t>
  </si>
  <si>
    <t xml:space="preserve"> 2.2.30 </t>
  </si>
  <si>
    <t xml:space="preserve"> 2.2.31 </t>
  </si>
  <si>
    <t xml:space="preserve"> 2.2.32 </t>
  </si>
  <si>
    <t xml:space="preserve"> 2.2.33 </t>
  </si>
  <si>
    <t>CARGA,MANOBRA E DESCARGA</t>
  </si>
  <si>
    <t xml:space="preserve"> 1.1.13 </t>
  </si>
  <si>
    <t>0,41</t>
  </si>
  <si>
    <t>TRANSP. MATERIAL BASE :</t>
  </si>
  <si>
    <t>CARGA, MANOBRA E DESCARGA DE ENTULHO EM CAMINHÃO BASCULANTE 10 M³ - CARGA COM ESCAVADEIRA HIDRÁULICA (CAÇAMBA DE 0,80 M³ / 111 HP) E DESCARGA LIVRE (UNIDADE: M3). AF_07/2020</t>
  </si>
  <si>
    <t>123,20</t>
  </si>
  <si>
    <t>77,00</t>
  </si>
  <si>
    <t>17,00</t>
  </si>
  <si>
    <t>13,20</t>
  </si>
  <si>
    <t>RR-2C</t>
  </si>
  <si>
    <t>633,00</t>
  </si>
  <si>
    <t>528,00</t>
  </si>
  <si>
    <t>1.159,77</t>
  </si>
  <si>
    <t xml:space="preserve"> 90098 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</si>
  <si>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</si>
  <si>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3.577,91</t>
  </si>
  <si>
    <t>1.292,65</t>
  </si>
  <si>
    <t>1.124,05</t>
  </si>
  <si>
    <t>1.510,00</t>
  </si>
  <si>
    <t>210,80</t>
  </si>
  <si>
    <t>231,88</t>
  </si>
  <si>
    <t>1.018,65</t>
  </si>
  <si>
    <t>4.435,84</t>
  </si>
  <si>
    <t>40,00</t>
  </si>
  <si>
    <t>16.496,10</t>
  </si>
  <si>
    <t>18,00</t>
  </si>
  <si>
    <t>65,00</t>
  </si>
  <si>
    <t>1.270,25</t>
  </si>
  <si>
    <t>127,02</t>
  </si>
  <si>
    <t>83,10</t>
  </si>
  <si>
    <t>193,44</t>
  </si>
  <si>
    <t>263,94</t>
  </si>
  <si>
    <t>160,98</t>
  </si>
  <si>
    <t>93,00</t>
  </si>
  <si>
    <t>Área Total 
(m²)</t>
  </si>
  <si>
    <t>OK</t>
  </si>
  <si>
    <t>PLANTIO DE GRAMA BATATAIS</t>
  </si>
  <si>
    <t>PLANTIO EUCALIPTO</t>
  </si>
  <si>
    <t>CERCA COM ALAMBRADO (m)</t>
  </si>
  <si>
    <t>Portão (m²)</t>
  </si>
  <si>
    <t>Carga, manobra e descarga de Rachão:</t>
  </si>
  <si>
    <t>Transp. Rachão DMT até 30km:</t>
  </si>
  <si>
    <t>Transp. Bota-fora DMT até 30km:</t>
  </si>
  <si>
    <t>Transp. Material Aterro DMT até 30km:</t>
  </si>
  <si>
    <t>DMT Rachão:</t>
  </si>
  <si>
    <t>DMT Bota-fora:</t>
  </si>
  <si>
    <t>Pedra Rachão</t>
  </si>
  <si>
    <t>TRANSPORTE DE MATERIAL PARA MATERIAL BETUMINOSO - PEDÁGIO</t>
  </si>
  <si>
    <t>PREÇO MÉDIO DE AQUISIÇÃO DE GRELHAS PARA BOCAS DE LOBO</t>
  </si>
  <si>
    <t>Valor
R$/und</t>
  </si>
  <si>
    <t>TRANSPORTE DMT ATÉ 30 KM (R$/und)</t>
  </si>
  <si>
    <t>TRANSPORTE DMT EXCEDENTE A 30 KM (R$/und)</t>
  </si>
  <si>
    <t>GRELHAS</t>
  </si>
  <si>
    <t>ALEA</t>
  </si>
  <si>
    <t>Carmo da Mata/MG</t>
  </si>
  <si>
    <t>R$</t>
  </si>
  <si>
    <t>LRG Metalurgica</t>
  </si>
  <si>
    <t xml:space="preserve"> Caminhão carroceria 9t (Até 30km)</t>
  </si>
  <si>
    <t>Mais Fer</t>
  </si>
  <si>
    <t>Claudio/MG</t>
  </si>
  <si>
    <t>Caminhão carroceria 9t (Exc. À 30km 30km)</t>
  </si>
  <si>
    <t>*Foi utilizado a mediana</t>
  </si>
  <si>
    <t>TRANSPORTE DE MATERIAL PARA GRELHAS - PEDÁGIO</t>
  </si>
  <si>
    <t>Capacidade de carga carroceria 9T</t>
  </si>
  <si>
    <t>Peso adotado p/ grelha</t>
  </si>
  <si>
    <t>kg/unidade</t>
  </si>
  <si>
    <t>Capacidade de carga</t>
  </si>
  <si>
    <t>Capacidade da carreta 3 eixos:</t>
  </si>
  <si>
    <t>und/viagem</t>
  </si>
  <si>
    <t>GRELHA</t>
  </si>
  <si>
    <t>Sinalização Vertical Viária</t>
  </si>
  <si>
    <t xml:space="preserve"> 1616 </t>
  </si>
  <si>
    <t>AGESUL</t>
  </si>
  <si>
    <t>LOCACAO DE BANHEIRO QUIMICO, INCLUSO 4 HIGIENIZAÇOES, MOBILIZACAO E DESMOBILIZACAO</t>
  </si>
  <si>
    <t>Instalações Elétricas - Rede de Distribuição</t>
  </si>
  <si>
    <t>DISJUNTOR TRIPOLAR TIPO DIN, CORRENTE NOMINAL DE 50A - FORNECIMENTO E INSTALAÇÃO. AF_07/2025</t>
  </si>
  <si>
    <t>Cercas, Protetores e Alambrados</t>
  </si>
  <si>
    <t>Lastro</t>
  </si>
  <si>
    <t>Demolições e Remoções</t>
  </si>
  <si>
    <t>267,15</t>
  </si>
  <si>
    <t>Supressão Vegetal</t>
  </si>
  <si>
    <t>Aterros, Bases, Sub bases e Imprimações</t>
  </si>
  <si>
    <t xml:space="preserve"> 2.1.18 </t>
  </si>
  <si>
    <t xml:space="preserve"> 1505877 </t>
  </si>
  <si>
    <t>Enrocamento de pedra espalhada e compactada mecanicamente - pedra de mão comercial - fornecimento e assentamento</t>
  </si>
  <si>
    <t xml:space="preserve"> E9541 </t>
  </si>
  <si>
    <t>Trator sobre esteiras com lâmina - 259 kW</t>
  </si>
  <si>
    <t xml:space="preserve"> E9530 </t>
  </si>
  <si>
    <t>Rolo compactador liso vibratório autopropelido por pneus de 11 t - 97 kW</t>
  </si>
  <si>
    <t xml:space="preserve"> M1097 </t>
  </si>
  <si>
    <t>Pedra de mão ou rachão</t>
  </si>
  <si>
    <t xml:space="preserve"> 5914647 </t>
  </si>
  <si>
    <t>Carga, manobra e descarga de agregados ou solos em caminhão basculante de 10 m³ - carga com carregadeira de 3,40 m³ (exclusa) e descarga livre</t>
  </si>
  <si>
    <t>M1097</t>
  </si>
  <si>
    <t>5914374
0,00
1,03
0,0000</t>
  </si>
  <si>
    <t>33,48</t>
  </si>
  <si>
    <t xml:space="preserve"> 2.1.19 </t>
  </si>
  <si>
    <t>767,00</t>
  </si>
  <si>
    <t>Assentamento de tubos de esgoto ou drenagem pluvial em concreto</t>
  </si>
  <si>
    <t>Poços de Visita e Caixas para Bocas de Lobo</t>
  </si>
  <si>
    <t>Caixas Enterradas</t>
  </si>
  <si>
    <t>Recomposição de Pavimentos</t>
  </si>
  <si>
    <t>EMULSÃO ASFALTICA PARA IMPRIMAÇÃO</t>
  </si>
  <si>
    <t>129,28</t>
  </si>
  <si>
    <t>Guias e sarjetas</t>
  </si>
  <si>
    <t>Escavação Horizontal</t>
  </si>
  <si>
    <t>USINAGEM DE BRITA GRADUADA SIMPLES. AF_09/2025</t>
  </si>
  <si>
    <t>Usinagens</t>
  </si>
  <si>
    <t>EMULSAO ASFALTICA CATIONICA RR-2C PARA USO EM PAVIMENTACAO ASFALTICA</t>
  </si>
  <si>
    <t>Radier, Piso de Concreto e Laje sobre Solo</t>
  </si>
  <si>
    <t>Passeios de Concreto</t>
  </si>
  <si>
    <t>Acessibilidade</t>
  </si>
  <si>
    <t>5914479
0,00
0,74
0,0000</t>
  </si>
  <si>
    <t xml:space="preserve"> 1.1.2 </t>
  </si>
  <si>
    <t xml:space="preserve"> 1.1.3 </t>
  </si>
  <si>
    <t xml:space="preserve"> 1.1.5 </t>
  </si>
  <si>
    <t xml:space="preserve"> 2.2.1 </t>
  </si>
  <si>
    <t xml:space="preserve"> 2.2.3 </t>
  </si>
  <si>
    <t xml:space="preserve"> 2.2.7 </t>
  </si>
  <si>
    <t xml:space="preserve"> 2.2.9 </t>
  </si>
  <si>
    <t xml:space="preserve"> 2.2.11 </t>
  </si>
  <si>
    <t xml:space="preserve"> 2.2.13 </t>
  </si>
  <si>
    <t xml:space="preserve"> 2.2.15 </t>
  </si>
  <si>
    <t xml:space="preserve"> 2.2.26 </t>
  </si>
  <si>
    <t xml:space="preserve"> 3.2.6 </t>
  </si>
  <si>
    <t xml:space="preserve"> 3.2.10 </t>
  </si>
  <si>
    <t>CARGA, DESC. MATERIAL BOTA-FORA (EMP. 15%):</t>
  </si>
  <si>
    <t>TRANSP. BOTA-FORA (EMP.30%):</t>
  </si>
  <si>
    <t>*Valor da Greca é CIF</t>
  </si>
  <si>
    <t>CONCRETO A DEMOLIR</t>
  </si>
  <si>
    <t>ÁRVORE 05</t>
  </si>
  <si>
    <t>ÁRVORE 06</t>
  </si>
  <si>
    <t>ÁRVORE 07</t>
  </si>
  <si>
    <t>RECONSTRUÇÃO PAREDE CANAL EM CONCRETO PROJETADO (SINAPI 91093)</t>
  </si>
  <si>
    <t>Acessado em 06/03/2026.</t>
  </si>
  <si>
    <t>Curitiba/PR</t>
  </si>
  <si>
    <t>Projeto Executivo de Infraestrutura Urbana - Jardim Basilia - Três Lagoas R09</t>
  </si>
  <si>
    <t>CURITIBA/PR</t>
  </si>
  <si>
    <t>TRANSP. BRITA LASTRO DMT EXC 30km:</t>
  </si>
  <si>
    <t>TRANSPORTE DE BRITA
DMT EXC 30km
(m³.km)</t>
  </si>
  <si>
    <t>DMT GRELHA:</t>
  </si>
  <si>
    <t xml:space="preserve">TRNSP. GRELHAS CAMINHÃO 9T ATÉ 30KM: </t>
  </si>
  <si>
    <t>Txkm</t>
  </si>
  <si>
    <t xml:space="preserve">TRNSP. GRELHAS CAMINHÃO 9T EXC 30KM: </t>
  </si>
  <si>
    <t>SINAPI - 01/2026 - MS; SICRO3 - 10/2025 - MS; AGESUL 01/2026</t>
  </si>
  <si>
    <t xml:space="preserve"> COT.GREL-PAR </t>
  </si>
  <si>
    <t>GRELHAS 50X100 ARTICULADA - FERRO FUNDIDO</t>
  </si>
  <si>
    <t xml:space="preserve"> 91093 </t>
  </si>
  <si>
    <t>EXECUÇÃO DE REVESTIMENTO DE CONCRETO PROJETADO COM ESPESSURA DE 10 CM, ARMADO COM TELA, INCLINAÇÃO DE 90°, APLICAÇÃO DESCONTÍNUA, UTILIZANDO EQUIPAMENTO DE PROJEÇÃO COM 3 M3/H DE CAPACIDADE. AF_07/2024</t>
  </si>
  <si>
    <t xml:space="preserve"> 2.2.34 </t>
  </si>
  <si>
    <t xml:space="preserve"> 2.2.35 </t>
  </si>
  <si>
    <t>188,37</t>
  </si>
  <si>
    <t>15,53</t>
  </si>
  <si>
    <t>30,60</t>
  </si>
  <si>
    <t>140,76</t>
  </si>
  <si>
    <t>3.637,07</t>
  </si>
  <si>
    <t>5.946,19</t>
  </si>
  <si>
    <t>3.775,65</t>
  </si>
  <si>
    <t>4.220,21</t>
  </si>
  <si>
    <t>3.065,80</t>
  </si>
  <si>
    <t>23,32</t>
  </si>
  <si>
    <t>115,06</t>
  </si>
  <si>
    <t>138,08</t>
  </si>
  <si>
    <t>5914359
0,00
1,28
0,0000</t>
  </si>
  <si>
    <t>5914389
0,00
0,85
0,0000</t>
  </si>
  <si>
    <t>1.205,28</t>
  </si>
  <si>
    <t>4.443,18</t>
  </si>
  <si>
    <t>165.510,87</t>
  </si>
  <si>
    <t>PREPARO DE FUNDO DE VALA COM LARGURA MENOR QUE 1,5 M (ACERTO DO SOLO NATURAL), EM LOCAL COM NÍVEL BAIXO DE INTERFERÊNCIA. AF_01/2026</t>
  </si>
  <si>
    <t>100,00</t>
  </si>
  <si>
    <t>120,00</t>
  </si>
  <si>
    <t>2.932,00</t>
  </si>
  <si>
    <t>PREPARO DE FUNDO DE VALA COM LARGURA MAIOR OU IGUAL A 1,5 M E MENOR QUE 2,5 M, COM CAMADA DE BRITA, LANÇAMENTO MANUAL. AF_01/2026</t>
  </si>
  <si>
    <t>Concreto Projetado</t>
  </si>
  <si>
    <t xml:space="preserve"> 90776 </t>
  </si>
  <si>
    <t>ENCARREGADO GERAL COM ENCARGOS COMPLEMENTARES</t>
  </si>
  <si>
    <t xml:space="preserve"> 90982 </t>
  </si>
  <si>
    <t>COMPRESSOR DE AR REBOCÁVEL, VAZÃO 748 PCM, PRESSÃO EFETIVA DE TRABALHO 102 PSI, MOTOR DIESEL, POTÊNCIA 210 CV - CHI DIURNO. AF_06/2015</t>
  </si>
  <si>
    <t xml:space="preserve"> 90651 </t>
  </si>
  <si>
    <t>BOMBA CENTRÍFUGA MONOESTÁGIO COM MOTOR ELÉTRICO MONOFÁSICO, POTÊNCIA 15 HP, DIÂMETRO DO ROTOR 173 MM, HM/Q = 30 MCA / 90 M3/H A 45 MCA / 55 M3/H - CHI DIURNO. AF_06/2015</t>
  </si>
  <si>
    <t xml:space="preserve"> 102726 </t>
  </si>
  <si>
    <t>DRENO BARBACÃ, DN 50 MM, COM MATERIAL DRENANTE. AF_07/2021</t>
  </si>
  <si>
    <t>Drenos</t>
  </si>
  <si>
    <t xml:space="preserve"> 90979 </t>
  </si>
  <si>
    <t>COMPRESSOR DE AR REBOCÁVEL, VAZÃO 748 PCM, PRESSÃO EFETIVA DE TRABALHO 102 PSI, MOTOR DIESEL, POTÊNCIA 210 CV - CHP DIURNO. AF_06/2015</t>
  </si>
  <si>
    <t xml:space="preserve"> 90657 </t>
  </si>
  <si>
    <t>BOMBA DE PROJEÇÃO DE CONCRETO SECO, POTÊNCIA 10 CV, VAZÃO 3 M3/H - CHI DIURNO. AF_06/2015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</si>
  <si>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</si>
  <si>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</si>
  <si>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90656 </t>
  </si>
  <si>
    <t>BOMBA DE PROJEÇÃO DE CONCRETO SECO, POTÊNCIA 10 CV, VAZÃO 3 M3/H - CHP DIURNO. AF_06/2015</t>
  </si>
  <si>
    <t xml:space="preserve"> 88297 </t>
  </si>
  <si>
    <t>OPERADOR DE MÁQUINAS E EQUIPAMENTOS COM ENCARGOS COMPLEMENTARES</t>
  </si>
  <si>
    <t xml:space="preserve"> 90650 </t>
  </si>
  <si>
    <t>BOMBA CENTRÍFUGA MONOESTÁGIO COM MOTOR ELÉTRICO MONOFÁSICO, POTÊNCIA 15 HP, DIÂMETRO DO ROTOR 173 MM, HM/Q = 30 MCA / 90 M3/H A 45 MCA / 55 M3/H - CHP DIURNO. AF_06/2015</t>
  </si>
  <si>
    <t xml:space="preserve"> 88377 </t>
  </si>
  <si>
    <t>OPERADOR DE BETONEIRA ESTACIONÁRIA/MISTURADOR COM ENCARGOS COMPLEMENTARES</t>
  </si>
  <si>
    <t xml:space="preserve"> 90778 </t>
  </si>
  <si>
    <t>ENGENHEIRO CIVIL DE OBRA PLENO COM ENCARGOS COMPLEMENTARES</t>
  </si>
  <si>
    <t xml:space="preserve"> 00007155 </t>
  </si>
  <si>
    <t>TELA DE ACO SOLDADA NERVURADA, CA-60, Q-138, (2,20 KG/M2), DIAMETRO DO FIO = 4,2 MM, LARGURA = 2,45 M, ESPACAMENTO DA MALHA = 10 X 10 CM</t>
  </si>
  <si>
    <t>19,12</t>
  </si>
  <si>
    <t>79,70</t>
  </si>
  <si>
    <t>1.450,53</t>
  </si>
  <si>
    <t>46.754,39</t>
  </si>
  <si>
    <t>31.000,51</t>
  </si>
  <si>
    <t>4.157,86</t>
  </si>
  <si>
    <t>6.098,12</t>
  </si>
  <si>
    <t>110.985,78</t>
  </si>
  <si>
    <t>27.207,08</t>
  </si>
  <si>
    <t>32,64</t>
  </si>
  <si>
    <t>979,20</t>
  </si>
  <si>
    <t>10.053,12</t>
  </si>
  <si>
    <t>12,24</t>
  </si>
  <si>
    <t>367,20</t>
  </si>
  <si>
    <t>3.769,92</t>
  </si>
  <si>
    <t>816,21</t>
  </si>
  <si>
    <t>8.896,68</t>
  </si>
  <si>
    <t>5.483,11</t>
  </si>
  <si>
    <t>584,29</t>
  </si>
  <si>
    <t>61,65</t>
  </si>
  <si>
    <t>26,02</t>
  </si>
  <si>
    <t>116,61</t>
  </si>
  <si>
    <t>8,58</t>
  </si>
  <si>
    <t>3,43</t>
  </si>
  <si>
    <t>11,48</t>
  </si>
  <si>
    <t>35,29</t>
  </si>
  <si>
    <t>20,47</t>
  </si>
  <si>
    <t>5914449
0,00
1,12
0,0000</t>
  </si>
  <si>
    <t>5914464
0,00
0,90
0,0000</t>
  </si>
  <si>
    <t xml:space="preserve"> COT.EAI.MS</t>
  </si>
  <si>
    <t>Serviço: 30,66%</t>
  </si>
  <si>
    <t>Serviço: 24,23%
Material: 15,27%</t>
  </si>
  <si>
    <t>Serviço: 24,23%</t>
  </si>
  <si>
    <t>21,74</t>
  </si>
  <si>
    <t>24,16</t>
  </si>
  <si>
    <t>108,72</t>
  </si>
  <si>
    <t>Serviço: 30,66%
Material: 20,92%</t>
  </si>
  <si>
    <t>Material: 20,92%</t>
  </si>
  <si>
    <t xml:space="preserve"> COT.RR-2C.MS </t>
  </si>
  <si>
    <t>TUBO DE CONCRETO SIMPLES PARA AGUAS PLUVIAIS, CLASSE PS1, COM ENCAIXE PONTA E BOLSA, DIAMETRO NOMINAL DE 600 MM</t>
  </si>
  <si>
    <t>628,00</t>
  </si>
  <si>
    <t>00007791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</si>
</sst>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"/>
    <numFmt numFmtId="165" formatCode="#,##0.00\ &quot;m&quot;"/>
    <numFmt numFmtId="166" formatCode="#,##0.00\ &quot;m²&quot;"/>
    <numFmt numFmtId="167" formatCode="#,##0.00\ &quot;unid.&quot;"/>
    <numFmt numFmtId="168" formatCode="[$-416]mmm\-yy;@"/>
    <numFmt numFmtId="169" formatCode="0.000"/>
    <numFmt numFmtId="170" formatCode="0.0000"/>
    <numFmt numFmtId="171" formatCode="#,##0.000;\-#,##0.000"/>
    <numFmt numFmtId="172" formatCode="#,##0.00\ %"/>
    <numFmt numFmtId="173" formatCode="#,##0.0000000"/>
    <numFmt numFmtId="174" formatCode="#,##0.0000"/>
    <numFmt numFmtId="175" formatCode="0.00000000%"/>
    <numFmt numFmtId="176" formatCode="General\ &quot;un&quot;"/>
  </numFmts>
  <fonts count="11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sz val="10"/>
      <name val="Courier"/>
      <family val="3"/>
    </font>
    <font>
      <b/>
      <sz val="11"/>
      <color rgb="FF000000"/>
      <name val="Calibri"/>
      <family val="2"/>
      <scheme val="minor"/>
    </font>
    <font>
      <sz val="9"/>
      <color indexed="81"/>
      <name val="Segoe UI"/>
      <family val="2"/>
    </font>
    <font>
      <sz val="11"/>
      <name val="Arial"/>
      <family val="1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b/>
      <i/>
      <sz val="8"/>
      <name val="Calibri"/>
      <family val="2"/>
      <scheme val="minor"/>
    </font>
    <font>
      <vertAlign val="subscript"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5"/>
      <name val="Calibri"/>
      <family val="2"/>
      <scheme val="minor"/>
    </font>
    <font>
      <b/>
      <vertAlign val="superscript"/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vertAlign val="subscript"/>
      <sz val="9"/>
      <name val="Arial"/>
      <family val="2"/>
    </font>
    <font>
      <sz val="9"/>
      <color rgb="FF000000"/>
      <name val="Arial"/>
      <family val="2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Times New Roman"/>
      <family val="1"/>
    </font>
    <font>
      <b/>
      <sz val="10"/>
      <color rgb="FF0070C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Times New Roman"/>
      <family val="1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8"/>
      <name val="Times New Roman"/>
      <family val="1"/>
    </font>
    <font>
      <b/>
      <sz val="11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Up"/>
    </fill>
    <fill>
      <patternFill patternType="lightUp">
        <bgColor theme="8" tint="0.79998168889431442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8ECF6"/>
        <bgColor indexed="64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000000"/>
      </patternFill>
    </fill>
  </fills>
  <borders count="16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 style="thin">
        <color rgb="FFCCCCCC"/>
      </bottom>
      <diagonal/>
    </border>
    <border>
      <left/>
      <right/>
      <top style="medium">
        <color indexed="64"/>
      </top>
      <bottom style="thin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rgb="FFCCCCCC"/>
      </bottom>
      <diagonal/>
    </border>
    <border>
      <left/>
      <right style="thin">
        <color theme="0" tint="-0.14999847407452621"/>
      </right>
      <top/>
      <bottom/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theme="0" tint="-0.14999847407452621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/>
      <diagonal/>
    </border>
    <border>
      <left style="thin">
        <color rgb="FFCCCCCC"/>
      </left>
      <right style="thin">
        <color theme="0" tint="-0.14999847407452621"/>
      </right>
      <top style="thin">
        <color rgb="FFCCCCCC"/>
      </top>
      <bottom/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theme="0" tint="-0.14999847407452621"/>
      </right>
      <top/>
      <bottom style="thick">
        <color rgb="FFFF5500"/>
      </bottom>
      <diagonal/>
    </border>
    <border>
      <left/>
      <right style="thin">
        <color rgb="FFCCCCCC"/>
      </right>
      <top/>
      <bottom style="thin">
        <color theme="0" tint="-0.14999847407452621"/>
      </bottom>
      <diagonal/>
    </border>
    <border>
      <left style="thin">
        <color rgb="FFCCCCCC"/>
      </left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rgb="FFCCCCCC"/>
      </right>
      <top/>
      <bottom style="thin">
        <color theme="0" tint="-0.14999847407452621"/>
      </bottom>
      <diagonal/>
    </border>
    <border>
      <left style="thin">
        <color rgb="FFCCCCCC"/>
      </left>
      <right style="thin">
        <color theme="0" tint="-0.14999847407452621"/>
      </right>
      <top/>
      <bottom style="thin">
        <color rgb="FFCCCCCC"/>
      </bottom>
      <diagonal/>
    </border>
    <border>
      <left style="thin">
        <color rgb="FFCCCCCC"/>
      </left>
      <right/>
      <top style="thick">
        <color rgb="FFFF5500"/>
      </top>
      <bottom/>
      <diagonal/>
    </border>
    <border>
      <left style="thin">
        <color theme="0" tint="-0.14999847407452621"/>
      </left>
      <right style="thin">
        <color rgb="FFCCCCCC"/>
      </right>
      <top style="thin">
        <color theme="0" tint="-0.14999847407452621"/>
      </top>
      <bottom/>
      <diagonal/>
    </border>
    <border>
      <left style="thin">
        <color rgb="FFCCCCCC"/>
      </left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rgb="FFCCCCCC"/>
      </left>
      <right style="thin">
        <color rgb="FFCCCCCC"/>
      </right>
      <top/>
      <bottom style="thick">
        <color rgb="FFFF5500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ck">
        <color rgb="FFFF5500"/>
      </top>
      <bottom/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 style="thin">
        <color rgb="FFCCCCCC"/>
      </right>
      <top style="thick">
        <color rgb="FFFF5500"/>
      </top>
      <bottom/>
      <diagonal/>
    </border>
    <border>
      <left style="thin">
        <color rgb="FFCCCCCC"/>
      </left>
      <right style="thin">
        <color theme="0" tint="-0.14999847407452621"/>
      </right>
      <top style="thick">
        <color rgb="FFFF5500"/>
      </top>
      <bottom/>
      <diagonal/>
    </border>
    <border>
      <left/>
      <right style="thin">
        <color theme="0" tint="-0.14999847407452621"/>
      </right>
      <top style="thick">
        <color rgb="FFFF5500"/>
      </top>
      <bottom/>
      <diagonal/>
    </border>
    <border>
      <left style="thin">
        <color rgb="FFCCCCCC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rgb="FFCCCCCC"/>
      </top>
      <bottom/>
      <diagonal/>
    </border>
    <border>
      <left/>
      <right style="thin">
        <color theme="0" tint="-0.14999847407452621"/>
      </right>
      <top/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rgb="FFCCCCCC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/>
      <top/>
      <bottom style="thin">
        <color rgb="FFCCCCCC"/>
      </bottom>
      <diagonal/>
    </border>
  </borders>
  <cellStyleXfs count="388">
    <xf numFmtId="0" fontId="0" fillId="0" borderId="0"/>
    <xf numFmtId="0" fontId="48" fillId="0" borderId="0"/>
    <xf numFmtId="9" fontId="48" fillId="0" borderId="0" applyFont="0" applyFill="0" applyBorder="0" applyAlignment="0" applyProtection="0"/>
    <xf numFmtId="0" fontId="47" fillId="0" borderId="0"/>
    <xf numFmtId="43" fontId="51" fillId="0" borderId="0" applyFont="0" applyFill="0" applyBorder="0" applyAlignment="0" applyProtection="0"/>
    <xf numFmtId="0" fontId="46" fillId="0" borderId="0"/>
    <xf numFmtId="0" fontId="52" fillId="0" borderId="0"/>
    <xf numFmtId="0" fontId="51" fillId="0" borderId="0"/>
    <xf numFmtId="0" fontId="51" fillId="0" borderId="0"/>
    <xf numFmtId="43" fontId="51" fillId="0" borderId="0" applyFont="0" applyFill="0" applyBorder="0" applyAlignment="0" applyProtection="0"/>
    <xf numFmtId="0" fontId="45" fillId="0" borderId="0"/>
    <xf numFmtId="43" fontId="45" fillId="0" borderId="0" applyFont="0" applyFill="0" applyBorder="0" applyAlignment="0" applyProtection="0"/>
    <xf numFmtId="0" fontId="45" fillId="0" borderId="0"/>
    <xf numFmtId="168" fontId="59" fillId="0" borderId="0"/>
    <xf numFmtId="0" fontId="44" fillId="0" borderId="0"/>
    <xf numFmtId="43" fontId="44" fillId="0" borderId="0" applyFont="0" applyFill="0" applyBorder="0" applyAlignment="0" applyProtection="0"/>
    <xf numFmtId="43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59" fillId="0" borderId="0" applyFont="0" applyFill="0" applyBorder="0" applyAlignment="0" applyProtection="0"/>
    <xf numFmtId="0" fontId="44" fillId="0" borderId="0"/>
    <xf numFmtId="0" fontId="43" fillId="0" borderId="0"/>
    <xf numFmtId="43" fontId="43" fillId="0" borderId="0" applyFont="0" applyFill="0" applyBorder="0" applyAlignment="0" applyProtection="0"/>
    <xf numFmtId="0" fontId="62" fillId="0" borderId="0"/>
    <xf numFmtId="0" fontId="62" fillId="0" borderId="0"/>
    <xf numFmtId="0" fontId="42" fillId="0" borderId="0"/>
    <xf numFmtId="0" fontId="41" fillId="0" borderId="0"/>
    <xf numFmtId="9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9" fontId="41" fillId="0" borderId="0" applyFont="0" applyFill="0" applyBorder="0" applyAlignment="0" applyProtection="0"/>
    <xf numFmtId="0" fontId="41" fillId="0" borderId="0"/>
    <xf numFmtId="0" fontId="52" fillId="0" borderId="0"/>
    <xf numFmtId="43" fontId="52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40" fillId="0" borderId="0"/>
    <xf numFmtId="0" fontId="51" fillId="0" borderId="0"/>
    <xf numFmtId="0" fontId="51" fillId="0" borderId="0"/>
    <xf numFmtId="43" fontId="40" fillId="0" borderId="0" applyFont="0" applyFill="0" applyBorder="0" applyAlignment="0" applyProtection="0"/>
    <xf numFmtId="0" fontId="51" fillId="0" borderId="0"/>
    <xf numFmtId="0" fontId="39" fillId="0" borderId="0"/>
    <xf numFmtId="43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38" fillId="0" borderId="0"/>
    <xf numFmtId="9" fontId="38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0" fontId="37" fillId="0" borderId="0"/>
    <xf numFmtId="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0" fontId="35" fillId="0" borderId="0"/>
    <xf numFmtId="0" fontId="34" fillId="0" borderId="0"/>
    <xf numFmtId="43" fontId="34" fillId="0" borderId="0" applyFont="0" applyFill="0" applyBorder="0" applyAlignment="0" applyProtection="0"/>
    <xf numFmtId="0" fontId="33" fillId="0" borderId="0"/>
    <xf numFmtId="0" fontId="32" fillId="0" borderId="0"/>
    <xf numFmtId="0" fontId="51" fillId="0" borderId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31" fillId="0" borderId="0"/>
    <xf numFmtId="0" fontId="30" fillId="0" borderId="0"/>
    <xf numFmtId="9" fontId="30" fillId="0" borderId="0" applyFont="0" applyFill="0" applyBorder="0" applyAlignment="0" applyProtection="0"/>
    <xf numFmtId="0" fontId="30" fillId="0" borderId="0"/>
    <xf numFmtId="0" fontId="52" fillId="0" borderId="0"/>
    <xf numFmtId="9" fontId="52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0" fontId="29" fillId="0" borderId="0"/>
    <xf numFmtId="0" fontId="29" fillId="0" borderId="0"/>
    <xf numFmtId="44" fontId="52" fillId="0" borderId="0" applyFont="0" applyFill="0" applyBorder="0" applyAlignment="0" applyProtection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0" fontId="27" fillId="0" borderId="0"/>
    <xf numFmtId="0" fontId="26" fillId="0" borderId="0"/>
    <xf numFmtId="43" fontId="26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46" fillId="0" borderId="0"/>
    <xf numFmtId="9" fontId="46" fillId="0" borderId="0" applyFont="0" applyFill="0" applyBorder="0" applyAlignment="0" applyProtection="0"/>
    <xf numFmtId="0" fontId="46" fillId="0" borderId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51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5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46" fillId="0" borderId="0"/>
    <xf numFmtId="9" fontId="46" fillId="0" borderId="0" applyFont="0" applyFill="0" applyBorder="0" applyAlignment="0" applyProtection="0"/>
    <xf numFmtId="0" fontId="46" fillId="0" borderId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51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5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4" fontId="51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3" fillId="0" borderId="0"/>
    <xf numFmtId="0" fontId="22" fillId="0" borderId="0"/>
    <xf numFmtId="0" fontId="21" fillId="0" borderId="0"/>
    <xf numFmtId="0" fontId="21" fillId="0" borderId="0"/>
    <xf numFmtId="0" fontId="20" fillId="0" borderId="0"/>
    <xf numFmtId="9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17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5" fillId="0" borderId="0"/>
    <xf numFmtId="0" fontId="62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8" fillId="0" borderId="0"/>
    <xf numFmtId="44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2" fillId="0" borderId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5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5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4" fontId="5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5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5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5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5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5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5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317">
    <xf numFmtId="0" fontId="0" fillId="0" borderId="0" xfId="0" applyAlignment="1">
      <alignment horizontal="left" vertical="top"/>
    </xf>
    <xf numFmtId="0" fontId="57" fillId="2" borderId="0" xfId="12" applyFont="1" applyFill="1" applyAlignment="1">
      <alignment vertical="center"/>
    </xf>
    <xf numFmtId="0" fontId="57" fillId="2" borderId="0" xfId="12" applyFont="1" applyFill="1"/>
    <xf numFmtId="165" fontId="54" fillId="5" borderId="17" xfId="12" applyNumberFormat="1" applyFont="1" applyFill="1" applyBorder="1" applyAlignment="1">
      <alignment horizontal="center" vertical="center"/>
    </xf>
    <xf numFmtId="165" fontId="57" fillId="2" borderId="30" xfId="12" applyNumberFormat="1" applyFont="1" applyFill="1" applyBorder="1" applyAlignment="1">
      <alignment horizontal="center" vertical="center"/>
    </xf>
    <xf numFmtId="167" fontId="54" fillId="2" borderId="17" xfId="12" applyNumberFormat="1" applyFont="1" applyFill="1" applyBorder="1" applyAlignment="1">
      <alignment horizontal="center" vertical="center"/>
    </xf>
    <xf numFmtId="9" fontId="57" fillId="2" borderId="4" xfId="12" applyNumberFormat="1" applyFont="1" applyFill="1" applyBorder="1"/>
    <xf numFmtId="166" fontId="54" fillId="2" borderId="31" xfId="12" applyNumberFormat="1" applyFont="1" applyFill="1" applyBorder="1" applyAlignment="1">
      <alignment horizontal="center" vertical="center"/>
    </xf>
    <xf numFmtId="165" fontId="54" fillId="2" borderId="17" xfId="12" applyNumberFormat="1" applyFont="1" applyFill="1" applyBorder="1" applyAlignment="1">
      <alignment horizontal="center" vertical="center"/>
    </xf>
    <xf numFmtId="0" fontId="54" fillId="3" borderId="3" xfId="12" applyFont="1" applyFill="1" applyBorder="1" applyAlignment="1">
      <alignment horizontal="center" vertical="center"/>
    </xf>
    <xf numFmtId="0" fontId="54" fillId="3" borderId="5" xfId="12" applyFont="1" applyFill="1" applyBorder="1" applyAlignment="1">
      <alignment horizontal="center" vertical="center"/>
    </xf>
    <xf numFmtId="0" fontId="57" fillId="2" borderId="54" xfId="12" applyFont="1" applyFill="1" applyBorder="1" applyAlignment="1">
      <alignment vertical="center"/>
    </xf>
    <xf numFmtId="0" fontId="57" fillId="2" borderId="55" xfId="12" applyFont="1" applyFill="1" applyBorder="1"/>
    <xf numFmtId="165" fontId="57" fillId="2" borderId="0" xfId="12" applyNumberFormat="1" applyFont="1" applyFill="1" applyAlignment="1">
      <alignment horizontal="center" vertical="center"/>
    </xf>
    <xf numFmtId="4" fontId="57" fillId="2" borderId="4" xfId="12" applyNumberFormat="1" applyFont="1" applyFill="1" applyBorder="1"/>
    <xf numFmtId="0" fontId="53" fillId="2" borderId="0" xfId="12" applyFont="1" applyFill="1" applyAlignment="1">
      <alignment horizontal="center" vertical="center"/>
    </xf>
    <xf numFmtId="44" fontId="50" fillId="0" borderId="13" xfId="60" applyFont="1" applyBorder="1" applyAlignment="1">
      <alignment vertical="center"/>
    </xf>
    <xf numFmtId="0" fontId="50" fillId="0" borderId="13" xfId="59" applyFont="1" applyBorder="1" applyAlignment="1">
      <alignment horizontal="center" vertical="center"/>
    </xf>
    <xf numFmtId="44" fontId="49" fillId="4" borderId="13" xfId="61" applyFont="1" applyFill="1" applyBorder="1" applyAlignment="1">
      <alignment horizontal="center" vertical="center"/>
    </xf>
    <xf numFmtId="2" fontId="49" fillId="2" borderId="0" xfId="7" applyNumberFormat="1" applyFont="1" applyFill="1" applyAlignment="1">
      <alignment horizontal="center" vertical="center"/>
    </xf>
    <xf numFmtId="0" fontId="50" fillId="0" borderId="15" xfId="59" applyFont="1" applyBorder="1" applyAlignment="1">
      <alignment horizontal="center" vertical="center"/>
    </xf>
    <xf numFmtId="44" fontId="50" fillId="0" borderId="13" xfId="60" applyFont="1" applyFill="1" applyBorder="1" applyAlignment="1">
      <alignment vertical="center"/>
    </xf>
    <xf numFmtId="0" fontId="55" fillId="2" borderId="0" xfId="174" applyFont="1" applyFill="1" applyAlignment="1">
      <alignment vertical="center"/>
    </xf>
    <xf numFmtId="0" fontId="55" fillId="2" borderId="0" xfId="174" applyFont="1" applyFill="1" applyAlignment="1">
      <alignment horizontal="left" vertical="center"/>
    </xf>
    <xf numFmtId="0" fontId="56" fillId="2" borderId="0" xfId="174" applyFont="1" applyFill="1" applyAlignment="1">
      <alignment vertical="center"/>
    </xf>
    <xf numFmtId="0" fontId="56" fillId="2" borderId="0" xfId="174" applyFont="1" applyFill="1" applyAlignment="1">
      <alignment horizontal="center" vertical="center"/>
    </xf>
    <xf numFmtId="0" fontId="55" fillId="2" borderId="0" xfId="174" applyFont="1" applyFill="1" applyAlignment="1">
      <alignment horizontal="center" vertical="center" textRotation="90"/>
    </xf>
    <xf numFmtId="0" fontId="55" fillId="0" borderId="0" xfId="174" applyFont="1" applyAlignment="1">
      <alignment vertical="center"/>
    </xf>
    <xf numFmtId="4" fontId="55" fillId="2" borderId="0" xfId="174" applyNumberFormat="1" applyFont="1" applyFill="1" applyAlignment="1">
      <alignment horizontal="center" vertical="center"/>
    </xf>
    <xf numFmtId="0" fontId="50" fillId="0" borderId="0" xfId="7" applyFont="1" applyAlignment="1">
      <alignment vertical="center"/>
    </xf>
    <xf numFmtId="0" fontId="49" fillId="0" borderId="0" xfId="7" applyFont="1" applyAlignment="1">
      <alignment horizontal="right" vertical="center"/>
    </xf>
    <xf numFmtId="43" fontId="49" fillId="0" borderId="0" xfId="9" applyFont="1" applyFill="1" applyAlignment="1">
      <alignment horizontal="left" vertical="center"/>
    </xf>
    <xf numFmtId="43" fontId="49" fillId="0" borderId="0" xfId="9" applyFont="1" applyFill="1" applyAlignment="1">
      <alignment horizontal="right" vertical="center"/>
    </xf>
    <xf numFmtId="0" fontId="89" fillId="2" borderId="0" xfId="175" applyFont="1" applyFill="1" applyAlignment="1">
      <alignment vertical="center"/>
    </xf>
    <xf numFmtId="49" fontId="54" fillId="2" borderId="0" xfId="175" applyNumberFormat="1" applyFont="1" applyFill="1" applyAlignment="1">
      <alignment vertical="center"/>
    </xf>
    <xf numFmtId="0" fontId="50" fillId="2" borderId="0" xfId="175" applyFont="1" applyFill="1" applyAlignment="1">
      <alignment vertical="center"/>
    </xf>
    <xf numFmtId="10" fontId="50" fillId="2" borderId="0" xfId="176" applyNumberFormat="1" applyFont="1" applyFill="1" applyAlignment="1">
      <alignment vertical="center"/>
    </xf>
    <xf numFmtId="0" fontId="50" fillId="2" borderId="0" xfId="175" applyFont="1" applyFill="1" applyAlignment="1">
      <alignment horizontal="center" vertical="center"/>
    </xf>
    <xf numFmtId="0" fontId="49" fillId="2" borderId="0" xfId="175" applyFont="1" applyFill="1" applyAlignment="1">
      <alignment horizontal="center" vertical="center"/>
    </xf>
    <xf numFmtId="2" fontId="49" fillId="2" borderId="0" xfId="175" applyNumberFormat="1" applyFont="1" applyFill="1" applyAlignment="1">
      <alignment horizontal="center" vertical="center"/>
    </xf>
    <xf numFmtId="0" fontId="65" fillId="2" borderId="0" xfId="175" applyFont="1" applyFill="1" applyAlignment="1">
      <alignment vertical="center"/>
    </xf>
    <xf numFmtId="9" fontId="50" fillId="2" borderId="0" xfId="176" applyFont="1" applyFill="1" applyAlignment="1">
      <alignment vertical="center"/>
    </xf>
    <xf numFmtId="0" fontId="57" fillId="2" borderId="0" xfId="175" applyFont="1" applyFill="1"/>
    <xf numFmtId="0" fontId="89" fillId="0" borderId="0" xfId="175" applyFont="1" applyAlignment="1">
      <alignment vertical="center"/>
    </xf>
    <xf numFmtId="49" fontId="50" fillId="0" borderId="0" xfId="175" applyNumberFormat="1" applyFont="1" applyAlignment="1">
      <alignment vertical="center"/>
    </xf>
    <xf numFmtId="0" fontId="50" fillId="0" borderId="0" xfId="175" applyFont="1" applyAlignment="1">
      <alignment vertical="center"/>
    </xf>
    <xf numFmtId="10" fontId="50" fillId="0" borderId="0" xfId="176" applyNumberFormat="1" applyFont="1" applyAlignment="1">
      <alignment vertical="center"/>
    </xf>
    <xf numFmtId="0" fontId="50" fillId="0" borderId="0" xfId="175" applyFont="1" applyAlignment="1">
      <alignment horizontal="center" vertical="center"/>
    </xf>
    <xf numFmtId="0" fontId="49" fillId="0" borderId="0" xfId="175" applyFont="1" applyAlignment="1">
      <alignment horizontal="center" vertical="center"/>
    </xf>
    <xf numFmtId="2" fontId="49" fillId="0" borderId="0" xfId="175" applyNumberFormat="1" applyFont="1" applyAlignment="1">
      <alignment horizontal="center" vertical="center"/>
    </xf>
    <xf numFmtId="0" fontId="65" fillId="0" borderId="0" xfId="175" applyFont="1" applyAlignment="1">
      <alignment vertical="center"/>
    </xf>
    <xf numFmtId="9" fontId="50" fillId="0" borderId="0" xfId="176" applyFont="1" applyAlignment="1">
      <alignment vertical="center"/>
    </xf>
    <xf numFmtId="0" fontId="90" fillId="0" borderId="0" xfId="175" applyFont="1" applyAlignment="1">
      <alignment vertical="center"/>
    </xf>
    <xf numFmtId="0" fontId="66" fillId="0" borderId="0" xfId="175" applyFont="1" applyAlignment="1">
      <alignment vertical="center" wrapText="1"/>
    </xf>
    <xf numFmtId="0" fontId="66" fillId="0" borderId="0" xfId="175" applyFont="1" applyAlignment="1">
      <alignment vertical="center"/>
    </xf>
    <xf numFmtId="10" fontId="66" fillId="0" borderId="0" xfId="176" applyNumberFormat="1" applyFont="1" applyAlignment="1">
      <alignment vertical="center"/>
    </xf>
    <xf numFmtId="0" fontId="66" fillId="0" borderId="0" xfId="175" applyFont="1" applyAlignment="1">
      <alignment horizontal="center" vertical="center"/>
    </xf>
    <xf numFmtId="0" fontId="69" fillId="0" borderId="0" xfId="175" applyFont="1" applyAlignment="1">
      <alignment horizontal="center" vertical="center"/>
    </xf>
    <xf numFmtId="2" fontId="69" fillId="0" borderId="0" xfId="175" applyNumberFormat="1" applyFont="1" applyAlignment="1">
      <alignment horizontal="center" vertical="center"/>
    </xf>
    <xf numFmtId="0" fontId="67" fillId="0" borderId="0" xfId="175" applyFont="1" applyAlignment="1">
      <alignment vertical="center"/>
    </xf>
    <xf numFmtId="9" fontId="66" fillId="0" borderId="0" xfId="176" applyFont="1" applyAlignment="1">
      <alignment vertical="center"/>
    </xf>
    <xf numFmtId="0" fontId="75" fillId="0" borderId="0" xfId="175" applyFont="1" applyAlignment="1">
      <alignment vertical="center"/>
    </xf>
    <xf numFmtId="0" fontId="50" fillId="0" borderId="42" xfId="175" applyFont="1" applyBorder="1" applyAlignment="1">
      <alignment vertical="center"/>
    </xf>
    <xf numFmtId="4" fontId="50" fillId="0" borderId="25" xfId="175" applyNumberFormat="1" applyFont="1" applyBorder="1" applyAlignment="1">
      <alignment vertical="center"/>
    </xf>
    <xf numFmtId="0" fontId="50" fillId="0" borderId="43" xfId="175" applyFont="1" applyBorder="1" applyAlignment="1">
      <alignment horizontal="right" vertical="center"/>
    </xf>
    <xf numFmtId="2" fontId="50" fillId="0" borderId="26" xfId="175" applyNumberFormat="1" applyFont="1" applyBorder="1" applyAlignment="1">
      <alignment horizontal="right" vertical="center"/>
    </xf>
    <xf numFmtId="0" fontId="50" fillId="0" borderId="54" xfId="175" applyFont="1" applyBorder="1" applyAlignment="1">
      <alignment vertical="center"/>
    </xf>
    <xf numFmtId="10" fontId="69" fillId="0" borderId="0" xfId="176" applyNumberFormat="1" applyFont="1" applyAlignment="1">
      <alignment vertical="center"/>
    </xf>
    <xf numFmtId="0" fontId="50" fillId="0" borderId="16" xfId="175" applyFont="1" applyBorder="1" applyAlignment="1">
      <alignment vertical="center"/>
    </xf>
    <xf numFmtId="0" fontId="50" fillId="0" borderId="13" xfId="175" applyFont="1" applyBorder="1" applyAlignment="1">
      <alignment vertical="center"/>
    </xf>
    <xf numFmtId="0" fontId="50" fillId="0" borderId="12" xfId="175" applyFont="1" applyBorder="1" applyAlignment="1">
      <alignment horizontal="right" vertical="center"/>
    </xf>
    <xf numFmtId="1" fontId="50" fillId="0" borderId="14" xfId="175" applyNumberFormat="1" applyFont="1" applyBorder="1" applyAlignment="1">
      <alignment vertical="center"/>
    </xf>
    <xf numFmtId="2" fontId="50" fillId="0" borderId="0" xfId="175" applyNumberFormat="1" applyFont="1" applyAlignment="1">
      <alignment horizontal="center" vertical="center"/>
    </xf>
    <xf numFmtId="0" fontId="50" fillId="0" borderId="44" xfId="175" applyFont="1" applyBorder="1" applyAlignment="1">
      <alignment vertical="center"/>
    </xf>
    <xf numFmtId="0" fontId="50" fillId="0" borderId="22" xfId="175" applyFont="1" applyBorder="1" applyAlignment="1">
      <alignment vertical="center"/>
    </xf>
    <xf numFmtId="0" fontId="50" fillId="0" borderId="39" xfId="175" applyFont="1" applyBorder="1" applyAlignment="1">
      <alignment horizontal="right" vertical="center"/>
    </xf>
    <xf numFmtId="169" fontId="50" fillId="0" borderId="23" xfId="175" applyNumberFormat="1" applyFont="1" applyBorder="1" applyAlignment="1">
      <alignment vertical="center"/>
    </xf>
    <xf numFmtId="0" fontId="90" fillId="2" borderId="0" xfId="175" applyFont="1" applyFill="1" applyAlignment="1">
      <alignment vertical="center"/>
    </xf>
    <xf numFmtId="0" fontId="50" fillId="2" borderId="0" xfId="175" applyFont="1" applyFill="1" applyAlignment="1">
      <alignment horizontal="right" vertical="center"/>
    </xf>
    <xf numFmtId="169" fontId="50" fillId="2" borderId="0" xfId="175" applyNumberFormat="1" applyFont="1" applyFill="1" applyAlignment="1">
      <alignment vertical="center"/>
    </xf>
    <xf numFmtId="0" fontId="50" fillId="2" borderId="0" xfId="175" applyFont="1" applyFill="1" applyAlignment="1">
      <alignment horizontal="left" vertical="center"/>
    </xf>
    <xf numFmtId="0" fontId="66" fillId="2" borderId="0" xfId="175" applyFont="1" applyFill="1" applyAlignment="1">
      <alignment vertical="center"/>
    </xf>
    <xf numFmtId="10" fontId="66" fillId="2" borderId="0" xfId="176" applyNumberFormat="1" applyFont="1" applyFill="1" applyAlignment="1">
      <alignment vertical="center"/>
    </xf>
    <xf numFmtId="0" fontId="66" fillId="2" borderId="0" xfId="175" applyFont="1" applyFill="1" applyAlignment="1">
      <alignment horizontal="center" vertical="center"/>
    </xf>
    <xf numFmtId="0" fontId="69" fillId="2" borderId="0" xfId="175" applyFont="1" applyFill="1" applyAlignment="1">
      <alignment horizontal="center" vertical="center"/>
    </xf>
    <xf numFmtId="2" fontId="69" fillId="2" borderId="0" xfId="175" applyNumberFormat="1" applyFont="1" applyFill="1" applyAlignment="1">
      <alignment horizontal="center" vertical="center"/>
    </xf>
    <xf numFmtId="0" fontId="67" fillId="2" borderId="0" xfId="175" applyFont="1" applyFill="1" applyAlignment="1">
      <alignment vertical="center"/>
    </xf>
    <xf numFmtId="9" fontId="66" fillId="2" borderId="0" xfId="176" applyFont="1" applyFill="1" applyAlignment="1">
      <alignment vertical="center"/>
    </xf>
    <xf numFmtId="0" fontId="91" fillId="2" borderId="0" xfId="175" applyFont="1" applyFill="1" applyAlignment="1">
      <alignment vertical="center"/>
    </xf>
    <xf numFmtId="0" fontId="54" fillId="2" borderId="0" xfId="175" applyFont="1" applyFill="1" applyAlignment="1">
      <alignment vertical="center"/>
    </xf>
    <xf numFmtId="0" fontId="73" fillId="2" borderId="0" xfId="175" applyFont="1" applyFill="1" applyAlignment="1">
      <alignment vertical="center"/>
    </xf>
    <xf numFmtId="0" fontId="69" fillId="2" borderId="0" xfId="175" applyFont="1" applyFill="1" applyAlignment="1">
      <alignment vertical="center"/>
    </xf>
    <xf numFmtId="0" fontId="73" fillId="2" borderId="0" xfId="175" applyFont="1" applyFill="1" applyAlignment="1">
      <alignment horizontal="center" vertical="center"/>
    </xf>
    <xf numFmtId="39" fontId="69" fillId="4" borderId="13" xfId="175" applyNumberFormat="1" applyFont="1" applyFill="1" applyBorder="1" applyAlignment="1">
      <alignment horizontal="center" vertical="center" textRotation="90" wrapText="1"/>
    </xf>
    <xf numFmtId="37" fontId="69" fillId="4" borderId="13" xfId="175" applyNumberFormat="1" applyFont="1" applyFill="1" applyBorder="1" applyAlignment="1">
      <alignment horizontal="center" vertical="center" textRotation="90" wrapText="1"/>
    </xf>
    <xf numFmtId="9" fontId="69" fillId="4" borderId="13" xfId="176" applyFont="1" applyFill="1" applyBorder="1" applyAlignment="1">
      <alignment horizontal="center" vertical="center" textRotation="90" wrapText="1"/>
    </xf>
    <xf numFmtId="49" fontId="49" fillId="6" borderId="24" xfId="175" applyNumberFormat="1" applyFont="1" applyFill="1" applyBorder="1" applyAlignment="1">
      <alignment vertical="center"/>
    </xf>
    <xf numFmtId="164" fontId="50" fillId="0" borderId="25" xfId="175" applyNumberFormat="1" applyFont="1" applyBorder="1" applyAlignment="1">
      <alignment vertical="center"/>
    </xf>
    <xf numFmtId="10" fontId="50" fillId="0" borderId="25" xfId="176" applyNumberFormat="1" applyFont="1" applyFill="1" applyBorder="1" applyAlignment="1">
      <alignment vertical="center"/>
    </xf>
    <xf numFmtId="170" fontId="50" fillId="0" borderId="25" xfId="17" applyNumberFormat="1" applyFont="1" applyFill="1" applyBorder="1" applyAlignment="1">
      <alignment vertical="center"/>
    </xf>
    <xf numFmtId="4" fontId="50" fillId="0" borderId="26" xfId="175" applyNumberFormat="1" applyFont="1" applyBorder="1" applyAlignment="1">
      <alignment vertical="center"/>
    </xf>
    <xf numFmtId="4" fontId="50" fillId="2" borderId="0" xfId="175" applyNumberFormat="1" applyFont="1" applyFill="1" applyAlignment="1">
      <alignment vertical="center"/>
    </xf>
    <xf numFmtId="4" fontId="74" fillId="2" borderId="13" xfId="175" applyNumberFormat="1" applyFont="1" applyFill="1" applyBorder="1" applyAlignment="1">
      <alignment horizontal="center" vertical="center" wrapText="1"/>
    </xf>
    <xf numFmtId="3" fontId="74" fillId="0" borderId="13" xfId="175" applyNumberFormat="1" applyFont="1" applyBorder="1" applyAlignment="1">
      <alignment horizontal="center" vertical="center" wrapText="1"/>
    </xf>
    <xf numFmtId="0" fontId="74" fillId="0" borderId="13" xfId="175" applyFont="1" applyBorder="1" applyAlignment="1">
      <alignment horizontal="center" vertical="center" wrapText="1"/>
    </xf>
    <xf numFmtId="4" fontId="74" fillId="0" borderId="13" xfId="175" applyNumberFormat="1" applyFont="1" applyBorder="1" applyAlignment="1">
      <alignment horizontal="center" vertical="center" wrapText="1"/>
    </xf>
    <xf numFmtId="1" fontId="74" fillId="0" borderId="13" xfId="175" applyNumberFormat="1" applyFont="1" applyBorder="1" applyAlignment="1">
      <alignment horizontal="center" vertical="center" wrapText="1"/>
    </xf>
    <xf numFmtId="9" fontId="74" fillId="0" borderId="13" xfId="19" applyFont="1" applyBorder="1" applyAlignment="1">
      <alignment horizontal="center" vertical="center" wrapText="1"/>
    </xf>
    <xf numFmtId="9" fontId="74" fillId="0" borderId="13" xfId="176" applyFont="1" applyFill="1" applyBorder="1" applyAlignment="1">
      <alignment horizontal="center" vertical="center" wrapText="1"/>
    </xf>
    <xf numFmtId="164" fontId="50" fillId="0" borderId="13" xfId="175" applyNumberFormat="1" applyFont="1" applyBorder="1" applyAlignment="1">
      <alignment vertical="center"/>
    </xf>
    <xf numFmtId="49" fontId="49" fillId="6" borderId="19" xfId="175" applyNumberFormat="1" applyFont="1" applyFill="1" applyBorder="1" applyAlignment="1">
      <alignment vertical="center"/>
    </xf>
    <xf numFmtId="4" fontId="50" fillId="0" borderId="13" xfId="175" applyNumberFormat="1" applyFont="1" applyBorder="1" applyAlignment="1">
      <alignment vertical="center"/>
    </xf>
    <xf numFmtId="10" fontId="50" fillId="0" borderId="13" xfId="176" applyNumberFormat="1" applyFont="1" applyFill="1" applyBorder="1" applyAlignment="1">
      <alignment vertical="center"/>
    </xf>
    <xf numFmtId="170" fontId="50" fillId="0" borderId="13" xfId="17" applyNumberFormat="1" applyFont="1" applyFill="1" applyBorder="1" applyAlignment="1">
      <alignment vertical="center"/>
    </xf>
    <xf numFmtId="4" fontId="50" fillId="0" borderId="14" xfId="175" applyNumberFormat="1" applyFont="1" applyBorder="1" applyAlignment="1">
      <alignment vertical="center"/>
    </xf>
    <xf numFmtId="4" fontId="50" fillId="0" borderId="22" xfId="175" applyNumberFormat="1" applyFont="1" applyBorder="1" applyAlignment="1">
      <alignment vertical="center"/>
    </xf>
    <xf numFmtId="164" fontId="50" fillId="0" borderId="22" xfId="175" applyNumberFormat="1" applyFont="1" applyBorder="1" applyAlignment="1">
      <alignment vertical="center"/>
    </xf>
    <xf numFmtId="10" fontId="50" fillId="0" borderId="22" xfId="176" applyNumberFormat="1" applyFont="1" applyFill="1" applyBorder="1" applyAlignment="1">
      <alignment vertical="center"/>
    </xf>
    <xf numFmtId="170" fontId="50" fillId="0" borderId="22" xfId="17" applyNumberFormat="1" applyFont="1" applyFill="1" applyBorder="1" applyAlignment="1">
      <alignment vertical="center"/>
    </xf>
    <xf numFmtId="4" fontId="50" fillId="0" borderId="23" xfId="175" applyNumberFormat="1" applyFont="1" applyBorder="1" applyAlignment="1">
      <alignment vertical="center"/>
    </xf>
    <xf numFmtId="0" fontId="53" fillId="2" borderId="57" xfId="175" applyFont="1" applyFill="1" applyBorder="1" applyAlignment="1">
      <alignment vertical="center"/>
    </xf>
    <xf numFmtId="49" fontId="50" fillId="2" borderId="0" xfId="175" applyNumberFormat="1" applyFont="1" applyFill="1" applyAlignment="1">
      <alignment vertical="center"/>
    </xf>
    <xf numFmtId="4" fontId="50" fillId="2" borderId="0" xfId="175" applyNumberFormat="1" applyFont="1" applyFill="1" applyAlignment="1">
      <alignment horizontal="center" vertical="center" wrapText="1"/>
    </xf>
    <xf numFmtId="39" fontId="75" fillId="2" borderId="0" xfId="175" applyNumberFormat="1" applyFont="1" applyFill="1" applyAlignment="1">
      <alignment vertical="center"/>
    </xf>
    <xf numFmtId="39" fontId="75" fillId="2" borderId="0" xfId="175" applyNumberFormat="1" applyFont="1" applyFill="1" applyAlignment="1">
      <alignment vertical="center" wrapText="1"/>
    </xf>
    <xf numFmtId="39" fontId="50" fillId="2" borderId="0" xfId="175" applyNumberFormat="1" applyFont="1" applyFill="1" applyAlignment="1">
      <alignment horizontal="center" vertical="center" wrapText="1"/>
    </xf>
    <xf numFmtId="9" fontId="50" fillId="2" borderId="0" xfId="176" applyFont="1" applyFill="1" applyAlignment="1">
      <alignment horizontal="center" vertical="center" wrapText="1"/>
    </xf>
    <xf numFmtId="0" fontId="50" fillId="2" borderId="0" xfId="175" applyFont="1" applyFill="1" applyAlignment="1">
      <alignment vertical="center" wrapText="1"/>
    </xf>
    <xf numFmtId="0" fontId="50" fillId="2" borderId="0" xfId="175" applyFont="1" applyFill="1" applyAlignment="1">
      <alignment horizontal="center" vertical="center" wrapText="1"/>
    </xf>
    <xf numFmtId="39" fontId="75" fillId="2" borderId="0" xfId="175" applyNumberFormat="1" applyFont="1" applyFill="1" applyAlignment="1">
      <alignment horizontal="center" vertical="center" wrapText="1"/>
    </xf>
    <xf numFmtId="39" fontId="49" fillId="2" borderId="0" xfId="175" applyNumberFormat="1" applyFont="1" applyFill="1" applyAlignment="1">
      <alignment horizontal="center" vertical="center" wrapText="1"/>
    </xf>
    <xf numFmtId="39" fontId="75" fillId="2" borderId="0" xfId="175" applyNumberFormat="1" applyFont="1" applyFill="1" applyAlignment="1">
      <alignment horizontal="left" vertical="center"/>
    </xf>
    <xf numFmtId="37" fontId="50" fillId="2" borderId="0" xfId="175" applyNumberFormat="1" applyFont="1" applyFill="1" applyAlignment="1">
      <alignment horizontal="center" vertical="center" wrapText="1"/>
    </xf>
    <xf numFmtId="171" fontId="50" fillId="2" borderId="0" xfId="175" applyNumberFormat="1" applyFont="1" applyFill="1" applyAlignment="1">
      <alignment horizontal="center" vertical="center" wrapText="1"/>
    </xf>
    <xf numFmtId="0" fontId="49" fillId="2" borderId="0" xfId="7" applyFont="1" applyFill="1" applyAlignment="1">
      <alignment vertical="center"/>
    </xf>
    <xf numFmtId="0" fontId="70" fillId="2" borderId="0" xfId="175" applyFont="1" applyFill="1" applyAlignment="1">
      <alignment vertical="center"/>
    </xf>
    <xf numFmtId="4" fontId="69" fillId="4" borderId="13" xfId="175" applyNumberFormat="1" applyFont="1" applyFill="1" applyBorder="1" applyAlignment="1">
      <alignment horizontal="center" vertical="center" textRotation="90" wrapText="1"/>
    </xf>
    <xf numFmtId="4" fontId="50" fillId="0" borderId="13" xfId="175" applyNumberFormat="1" applyFont="1" applyBorder="1" applyAlignment="1">
      <alignment horizontal="center" vertical="center"/>
    </xf>
    <xf numFmtId="4" fontId="50" fillId="2" borderId="13" xfId="175" applyNumberFormat="1" applyFont="1" applyFill="1" applyBorder="1" applyAlignment="1">
      <alignment horizontal="center" vertical="center"/>
    </xf>
    <xf numFmtId="4" fontId="49" fillId="2" borderId="13" xfId="175" applyNumberFormat="1" applyFont="1" applyFill="1" applyBorder="1" applyAlignment="1">
      <alignment horizontal="center" vertical="center"/>
    </xf>
    <xf numFmtId="4" fontId="49" fillId="2" borderId="13" xfId="16" applyNumberFormat="1" applyFont="1" applyFill="1" applyBorder="1" applyAlignment="1">
      <alignment horizontal="center" vertical="center"/>
    </xf>
    <xf numFmtId="49" fontId="49" fillId="2" borderId="0" xfId="175" applyNumberFormat="1" applyFont="1" applyFill="1" applyAlignment="1">
      <alignment horizontal="center" vertical="center"/>
    </xf>
    <xf numFmtId="2" fontId="50" fillId="2" borderId="0" xfId="175" applyNumberFormat="1" applyFont="1" applyFill="1" applyAlignment="1">
      <alignment horizontal="center" vertical="center"/>
    </xf>
    <xf numFmtId="4" fontId="50" fillId="2" borderId="0" xfId="175" applyNumberFormat="1" applyFont="1" applyFill="1" applyAlignment="1">
      <alignment horizontal="center" vertical="center"/>
    </xf>
    <xf numFmtId="2" fontId="49" fillId="2" borderId="0" xfId="7" applyNumberFormat="1" applyFont="1" applyFill="1" applyAlignment="1">
      <alignment horizontal="right"/>
    </xf>
    <xf numFmtId="4" fontId="49" fillId="2" borderId="0" xfId="175" applyNumberFormat="1" applyFont="1" applyFill="1"/>
    <xf numFmtId="0" fontId="50" fillId="2" borderId="0" xfId="175" applyFont="1" applyFill="1"/>
    <xf numFmtId="2" fontId="76" fillId="2" borderId="0" xfId="175" applyNumberFormat="1" applyFont="1" applyFill="1" applyAlignment="1">
      <alignment horizontal="center" vertical="center"/>
    </xf>
    <xf numFmtId="2" fontId="49" fillId="2" borderId="0" xfId="7" applyNumberFormat="1" applyFont="1" applyFill="1" applyAlignment="1">
      <alignment horizontal="right" vertical="center"/>
    </xf>
    <xf numFmtId="4" fontId="49" fillId="2" borderId="0" xfId="175" applyNumberFormat="1" applyFont="1" applyFill="1" applyAlignment="1">
      <alignment vertical="center"/>
    </xf>
    <xf numFmtId="2" fontId="50" fillId="2" borderId="0" xfId="7" applyNumberFormat="1" applyFont="1" applyFill="1" applyAlignment="1">
      <alignment horizontal="center" vertical="center"/>
    </xf>
    <xf numFmtId="0" fontId="49" fillId="2" borderId="0" xfId="175" applyFont="1" applyFill="1" applyAlignment="1">
      <alignment horizontal="right" vertical="center"/>
    </xf>
    <xf numFmtId="4" fontId="49" fillId="2" borderId="0" xfId="177" applyNumberFormat="1" applyFont="1" applyFill="1" applyAlignment="1">
      <alignment horizontal="center" vertical="center"/>
    </xf>
    <xf numFmtId="0" fontId="49" fillId="2" borderId="0" xfId="177" applyFont="1" applyFill="1" applyAlignment="1">
      <alignment horizontal="center" vertical="center"/>
    </xf>
    <xf numFmtId="49" fontId="49" fillId="2" borderId="0" xfId="177" applyNumberFormat="1" applyFont="1" applyFill="1" applyAlignment="1">
      <alignment horizontal="left" vertical="center"/>
    </xf>
    <xf numFmtId="2" fontId="50" fillId="2" borderId="0" xfId="177" applyNumberFormat="1" applyFont="1" applyFill="1" applyAlignment="1">
      <alignment horizontal="center" vertical="center"/>
    </xf>
    <xf numFmtId="0" fontId="50" fillId="2" borderId="0" xfId="177" applyFont="1" applyFill="1" applyAlignment="1">
      <alignment horizontal="center" vertical="center"/>
    </xf>
    <xf numFmtId="169" fontId="50" fillId="2" borderId="0" xfId="177" applyNumberFormat="1" applyFont="1" applyFill="1" applyAlignment="1">
      <alignment horizontal="center" vertical="center"/>
    </xf>
    <xf numFmtId="0" fontId="70" fillId="2" borderId="0" xfId="175" applyFont="1" applyFill="1" applyAlignment="1">
      <alignment vertical="center" wrapText="1"/>
    </xf>
    <xf numFmtId="9" fontId="70" fillId="2" borderId="0" xfId="176" applyFont="1" applyFill="1" applyAlignment="1">
      <alignment vertical="center" wrapText="1"/>
    </xf>
    <xf numFmtId="49" fontId="49" fillId="2" borderId="0" xfId="178" applyNumberFormat="1" applyFont="1" applyFill="1" applyAlignment="1">
      <alignment horizontal="left" vertical="center"/>
    </xf>
    <xf numFmtId="2" fontId="50" fillId="0" borderId="0" xfId="178" applyNumberFormat="1" applyFont="1" applyAlignment="1">
      <alignment horizontal="center" vertical="center"/>
    </xf>
    <xf numFmtId="169" fontId="50" fillId="2" borderId="0" xfId="178" applyNumberFormat="1" applyFont="1" applyFill="1" applyAlignment="1">
      <alignment horizontal="center" vertical="center"/>
    </xf>
    <xf numFmtId="2" fontId="50" fillId="2" borderId="0" xfId="178" applyNumberFormat="1" applyFont="1" applyFill="1" applyAlignment="1">
      <alignment horizontal="center" vertical="center"/>
    </xf>
    <xf numFmtId="169" fontId="77" fillId="2" borderId="0" xfId="177" applyNumberFormat="1" applyFont="1" applyFill="1" applyAlignment="1">
      <alignment horizontal="center" vertical="center"/>
    </xf>
    <xf numFmtId="4" fontId="50" fillId="2" borderId="0" xfId="177" applyNumberFormat="1" applyFont="1" applyFill="1" applyAlignment="1">
      <alignment horizontal="center" vertical="center"/>
    </xf>
    <xf numFmtId="169" fontId="50" fillId="0" borderId="0" xfId="177" applyNumberFormat="1" applyFont="1" applyAlignment="1">
      <alignment horizontal="center" vertical="center"/>
    </xf>
    <xf numFmtId="0" fontId="75" fillId="2" borderId="0" xfId="8" applyFont="1" applyFill="1" applyAlignment="1">
      <alignment vertical="center"/>
    </xf>
    <xf numFmtId="0" fontId="50" fillId="2" borderId="0" xfId="8" applyFont="1" applyFill="1" applyAlignment="1">
      <alignment vertical="center"/>
    </xf>
    <xf numFmtId="0" fontId="75" fillId="2" borderId="13" xfId="8" applyFont="1" applyFill="1" applyBorder="1" applyAlignment="1">
      <alignment horizontal="center" vertical="center" wrapText="1"/>
    </xf>
    <xf numFmtId="0" fontId="49" fillId="2" borderId="13" xfId="8" applyFont="1" applyFill="1" applyBorder="1" applyAlignment="1">
      <alignment horizontal="center" vertical="center" wrapText="1"/>
    </xf>
    <xf numFmtId="0" fontId="89" fillId="2" borderId="13" xfId="8" applyFont="1" applyFill="1" applyBorder="1" applyAlignment="1">
      <alignment horizontal="center" vertical="center"/>
    </xf>
    <xf numFmtId="0" fontId="50" fillId="2" borderId="13" xfId="8" applyFont="1" applyFill="1" applyBorder="1" applyAlignment="1">
      <alignment horizontal="center" vertical="center" wrapText="1"/>
    </xf>
    <xf numFmtId="0" fontId="50" fillId="2" borderId="13" xfId="8" applyFont="1" applyFill="1" applyBorder="1" applyAlignment="1">
      <alignment horizontal="center" vertical="center"/>
    </xf>
    <xf numFmtId="0" fontId="49" fillId="2" borderId="0" xfId="8" applyFont="1" applyFill="1" applyAlignment="1">
      <alignment horizontal="center" vertical="center" wrapText="1"/>
    </xf>
    <xf numFmtId="0" fontId="89" fillId="2" borderId="13" xfId="8" applyFont="1" applyFill="1" applyBorder="1" applyAlignment="1">
      <alignment horizontal="left" vertical="center" wrapText="1"/>
    </xf>
    <xf numFmtId="0" fontId="89" fillId="2" borderId="13" xfId="8" applyFont="1" applyFill="1" applyBorder="1" applyAlignment="1">
      <alignment horizontal="left" vertical="center"/>
    </xf>
    <xf numFmtId="0" fontId="78" fillId="2" borderId="0" xfId="179" applyFont="1" applyFill="1" applyAlignment="1">
      <alignment vertical="center"/>
    </xf>
    <xf numFmtId="0" fontId="49" fillId="2" borderId="0" xfId="175" applyFont="1" applyFill="1" applyAlignment="1">
      <alignment vertical="center" wrapText="1"/>
    </xf>
    <xf numFmtId="0" fontId="86" fillId="0" borderId="67" xfId="175" applyFont="1" applyBorder="1" applyAlignment="1">
      <alignment horizontal="center" vertical="top" wrapText="1"/>
    </xf>
    <xf numFmtId="10" fontId="0" fillId="0" borderId="67" xfId="176" applyNumberFormat="1" applyFont="1" applyBorder="1" applyAlignment="1">
      <alignment horizontal="center" vertical="top" wrapText="1"/>
    </xf>
    <xf numFmtId="0" fontId="89" fillId="0" borderId="13" xfId="175" applyFont="1" applyBorder="1" applyAlignment="1">
      <alignment horizontal="center" vertical="center" wrapText="1"/>
    </xf>
    <xf numFmtId="0" fontId="50" fillId="0" borderId="13" xfId="175" applyFont="1" applyBorder="1" applyAlignment="1">
      <alignment horizontal="left" vertical="center" wrapText="1"/>
    </xf>
    <xf numFmtId="0" fontId="50" fillId="2" borderId="0" xfId="175" applyFont="1" applyFill="1" applyAlignment="1">
      <alignment horizontal="left" vertical="center" wrapText="1"/>
    </xf>
    <xf numFmtId="170" fontId="88" fillId="0" borderId="68" xfId="175" applyNumberFormat="1" applyFont="1" applyBorder="1" applyAlignment="1">
      <alignment horizontal="center" vertical="top" shrinkToFit="1"/>
    </xf>
    <xf numFmtId="10" fontId="88" fillId="0" borderId="68" xfId="176" applyNumberFormat="1" applyFont="1" applyBorder="1" applyAlignment="1">
      <alignment horizontal="center" vertical="top" shrinkToFit="1"/>
    </xf>
    <xf numFmtId="170" fontId="89" fillId="0" borderId="13" xfId="16" applyNumberFormat="1" applyFont="1" applyBorder="1" applyAlignment="1">
      <alignment horizontal="left" vertical="center" wrapText="1"/>
    </xf>
    <xf numFmtId="170" fontId="63" fillId="0" borderId="13" xfId="16" applyNumberFormat="1" applyFont="1" applyBorder="1" applyAlignment="1">
      <alignment horizontal="left" vertical="center" wrapText="1"/>
    </xf>
    <xf numFmtId="2" fontId="63" fillId="0" borderId="13" xfId="16" applyNumberFormat="1" applyFont="1" applyBorder="1" applyAlignment="1">
      <alignment horizontal="left" vertical="center" wrapText="1"/>
    </xf>
    <xf numFmtId="170" fontId="88" fillId="0" borderId="69" xfId="175" applyNumberFormat="1" applyFont="1" applyBorder="1" applyAlignment="1">
      <alignment horizontal="center" vertical="top" shrinkToFit="1"/>
    </xf>
    <xf numFmtId="10" fontId="88" fillId="0" borderId="69" xfId="176" applyNumberFormat="1" applyFont="1" applyBorder="1" applyAlignment="1">
      <alignment horizontal="center" vertical="top" shrinkToFit="1"/>
    </xf>
    <xf numFmtId="170" fontId="63" fillId="2" borderId="0" xfId="16" applyNumberFormat="1" applyFont="1" applyFill="1" applyBorder="1" applyAlignment="1">
      <alignment horizontal="left" vertical="center" wrapText="1"/>
    </xf>
    <xf numFmtId="2" fontId="63" fillId="2" borderId="0" xfId="16" applyNumberFormat="1" applyFont="1" applyFill="1" applyBorder="1" applyAlignment="1">
      <alignment horizontal="left" vertical="center" wrapText="1"/>
    </xf>
    <xf numFmtId="0" fontId="86" fillId="0" borderId="69" xfId="175" applyFont="1" applyBorder="1" applyAlignment="1">
      <alignment horizontal="center" vertical="top" wrapText="1"/>
    </xf>
    <xf numFmtId="170" fontId="88" fillId="0" borderId="70" xfId="175" applyNumberFormat="1" applyFont="1" applyBorder="1" applyAlignment="1">
      <alignment horizontal="center" vertical="top" shrinkToFit="1"/>
    </xf>
    <xf numFmtId="10" fontId="88" fillId="0" borderId="70" xfId="176" applyNumberFormat="1" applyFont="1" applyBorder="1" applyAlignment="1">
      <alignment horizontal="center" vertical="top" shrinkToFit="1"/>
    </xf>
    <xf numFmtId="39" fontId="93" fillId="2" borderId="0" xfId="175" applyNumberFormat="1" applyFont="1" applyFill="1" applyAlignment="1">
      <alignment horizontal="center" vertical="center" wrapText="1"/>
    </xf>
    <xf numFmtId="49" fontId="49" fillId="6" borderId="21" xfId="175" applyNumberFormat="1" applyFont="1" applyFill="1" applyBorder="1" applyAlignment="1">
      <alignment vertical="center"/>
    </xf>
    <xf numFmtId="0" fontId="69" fillId="4" borderId="22" xfId="175" applyFont="1" applyFill="1" applyBorder="1" applyAlignment="1">
      <alignment horizontal="center" vertical="center" textRotation="90" wrapText="1"/>
    </xf>
    <xf numFmtId="0" fontId="69" fillId="4" borderId="22" xfId="175" applyFont="1" applyFill="1" applyBorder="1" applyAlignment="1">
      <alignment horizontal="center" vertical="center" wrapText="1"/>
    </xf>
    <xf numFmtId="0" fontId="72" fillId="7" borderId="22" xfId="175" applyFont="1" applyFill="1" applyBorder="1" applyAlignment="1">
      <alignment horizontal="center" vertical="center" wrapText="1"/>
    </xf>
    <xf numFmtId="0" fontId="72" fillId="10" borderId="22" xfId="175" applyFont="1" applyFill="1" applyBorder="1" applyAlignment="1">
      <alignment horizontal="center" vertical="center" wrapText="1"/>
    </xf>
    <xf numFmtId="0" fontId="69" fillId="4" borderId="23" xfId="175" applyFont="1" applyFill="1" applyBorder="1" applyAlignment="1">
      <alignment horizontal="center" vertical="center" wrapText="1"/>
    </xf>
    <xf numFmtId="2" fontId="56" fillId="0" borderId="0" xfId="174" applyNumberFormat="1" applyFont="1" applyAlignment="1">
      <alignment horizontal="left" vertical="center"/>
    </xf>
    <xf numFmtId="2" fontId="56" fillId="0" borderId="0" xfId="174" applyNumberFormat="1" applyFont="1" applyAlignment="1">
      <alignment horizontal="right" vertical="center"/>
    </xf>
    <xf numFmtId="37" fontId="94" fillId="12" borderId="13" xfId="175" applyNumberFormat="1" applyFont="1" applyFill="1" applyBorder="1" applyAlignment="1">
      <alignment horizontal="center" vertical="center" wrapText="1"/>
    </xf>
    <xf numFmtId="171" fontId="94" fillId="12" borderId="13" xfId="175" applyNumberFormat="1" applyFont="1" applyFill="1" applyBorder="1" applyAlignment="1">
      <alignment horizontal="center" vertical="center" wrapText="1"/>
    </xf>
    <xf numFmtId="37" fontId="50" fillId="13" borderId="13" xfId="175" applyNumberFormat="1" applyFont="1" applyFill="1" applyBorder="1" applyAlignment="1">
      <alignment horizontal="center" vertical="center" wrapText="1"/>
    </xf>
    <xf numFmtId="39" fontId="50" fillId="13" borderId="13" xfId="175" applyNumberFormat="1" applyFont="1" applyFill="1" applyBorder="1" applyAlignment="1">
      <alignment horizontal="center" vertical="center" wrapText="1"/>
    </xf>
    <xf numFmtId="0" fontId="63" fillId="0" borderId="0" xfId="0" applyFont="1" applyAlignment="1">
      <alignment horizontal="left" vertical="top"/>
    </xf>
    <xf numFmtId="0" fontId="57" fillId="0" borderId="13" xfId="8" applyFont="1" applyBorder="1" applyAlignment="1">
      <alignment horizontal="center" vertical="center" wrapText="1"/>
    </xf>
    <xf numFmtId="0" fontId="57" fillId="0" borderId="15" xfId="8" applyFont="1" applyBorder="1" applyAlignment="1">
      <alignment horizontal="center" vertical="center" wrapText="1"/>
    </xf>
    <xf numFmtId="3" fontId="57" fillId="14" borderId="13" xfId="8" applyNumberFormat="1" applyFont="1" applyFill="1" applyBorder="1" applyAlignment="1">
      <alignment horizontal="center" vertical="center"/>
    </xf>
    <xf numFmtId="3" fontId="57" fillId="15" borderId="13" xfId="8" applyNumberFormat="1" applyFont="1" applyFill="1" applyBorder="1" applyAlignment="1">
      <alignment horizontal="center" vertical="center"/>
    </xf>
    <xf numFmtId="3" fontId="57" fillId="15" borderId="14" xfId="8" applyNumberFormat="1" applyFont="1" applyFill="1" applyBorder="1" applyAlignment="1">
      <alignment horizontal="center" vertical="center"/>
    </xf>
    <xf numFmtId="3" fontId="57" fillId="15" borderId="19" xfId="8" applyNumberFormat="1" applyFont="1" applyFill="1" applyBorder="1" applyAlignment="1">
      <alignment horizontal="center" vertical="center"/>
    </xf>
    <xf numFmtId="3" fontId="57" fillId="14" borderId="36" xfId="8" applyNumberFormat="1" applyFont="1" applyFill="1" applyBorder="1" applyAlignment="1">
      <alignment horizontal="center" vertical="center"/>
    </xf>
    <xf numFmtId="0" fontId="57" fillId="0" borderId="36" xfId="8" applyFont="1" applyBorder="1" applyAlignment="1">
      <alignment horizontal="center" vertical="center" wrapText="1"/>
    </xf>
    <xf numFmtId="0" fontId="57" fillId="0" borderId="47" xfId="8" applyFont="1" applyBorder="1" applyAlignment="1">
      <alignment horizontal="center" vertical="center" wrapText="1"/>
    </xf>
    <xf numFmtId="3" fontId="57" fillId="15" borderId="36" xfId="8" applyNumberFormat="1" applyFont="1" applyFill="1" applyBorder="1" applyAlignment="1">
      <alignment horizontal="center" vertical="center"/>
    </xf>
    <xf numFmtId="3" fontId="57" fillId="15" borderId="37" xfId="8" applyNumberFormat="1" applyFont="1" applyFill="1" applyBorder="1" applyAlignment="1">
      <alignment horizontal="center" vertical="center"/>
    </xf>
    <xf numFmtId="3" fontId="57" fillId="15" borderId="20" xfId="8" applyNumberFormat="1" applyFont="1" applyFill="1" applyBorder="1" applyAlignment="1">
      <alignment horizontal="center" vertical="center"/>
    </xf>
    <xf numFmtId="0" fontId="57" fillId="0" borderId="25" xfId="8" applyFont="1" applyBorder="1" applyAlignment="1">
      <alignment horizontal="center" vertical="center" wrapText="1"/>
    </xf>
    <xf numFmtId="0" fontId="57" fillId="0" borderId="56" xfId="8" applyFont="1" applyBorder="1" applyAlignment="1">
      <alignment horizontal="center" vertical="center" wrapText="1"/>
    </xf>
    <xf numFmtId="3" fontId="57" fillId="14" borderId="25" xfId="8" applyNumberFormat="1" applyFont="1" applyFill="1" applyBorder="1" applyAlignment="1">
      <alignment horizontal="center" vertical="center"/>
    </xf>
    <xf numFmtId="3" fontId="57" fillId="15" borderId="25" xfId="8" applyNumberFormat="1" applyFont="1" applyFill="1" applyBorder="1" applyAlignment="1">
      <alignment horizontal="center" vertical="center"/>
    </xf>
    <xf numFmtId="3" fontId="57" fillId="15" borderId="26" xfId="8" applyNumberFormat="1" applyFont="1" applyFill="1" applyBorder="1" applyAlignment="1">
      <alignment horizontal="center" vertical="center"/>
    </xf>
    <xf numFmtId="3" fontId="57" fillId="15" borderId="24" xfId="8" applyNumberFormat="1" applyFont="1" applyFill="1" applyBorder="1" applyAlignment="1">
      <alignment horizontal="center" vertical="center"/>
    </xf>
    <xf numFmtId="0" fontId="57" fillId="0" borderId="22" xfId="8" applyFont="1" applyBorder="1" applyAlignment="1">
      <alignment horizontal="center" vertical="center" wrapText="1"/>
    </xf>
    <xf numFmtId="0" fontId="57" fillId="0" borderId="61" xfId="8" applyFont="1" applyBorder="1" applyAlignment="1">
      <alignment horizontal="center" vertical="center" wrapText="1"/>
    </xf>
    <xf numFmtId="3" fontId="57" fillId="14" borderId="22" xfId="8" applyNumberFormat="1" applyFont="1" applyFill="1" applyBorder="1" applyAlignment="1">
      <alignment horizontal="center" vertical="center"/>
    </xf>
    <xf numFmtId="3" fontId="57" fillId="15" borderId="22" xfId="8" applyNumberFormat="1" applyFont="1" applyFill="1" applyBorder="1" applyAlignment="1">
      <alignment horizontal="center" vertical="center"/>
    </xf>
    <xf numFmtId="3" fontId="57" fillId="15" borderId="23" xfId="8" applyNumberFormat="1" applyFont="1" applyFill="1" applyBorder="1" applyAlignment="1">
      <alignment horizontal="center" vertical="center"/>
    </xf>
    <xf numFmtId="3" fontId="57" fillId="15" borderId="21" xfId="8" applyNumberFormat="1" applyFont="1" applyFill="1" applyBorder="1" applyAlignment="1">
      <alignment horizontal="center" vertical="center"/>
    </xf>
    <xf numFmtId="3" fontId="57" fillId="0" borderId="24" xfId="8" applyNumberFormat="1" applyFont="1" applyBorder="1" applyAlignment="1">
      <alignment horizontal="center" vertical="center"/>
    </xf>
    <xf numFmtId="3" fontId="57" fillId="0" borderId="21" xfId="8" applyNumberFormat="1" applyFont="1" applyBorder="1" applyAlignment="1">
      <alignment horizontal="center" vertical="center"/>
    </xf>
    <xf numFmtId="4" fontId="57" fillId="12" borderId="28" xfId="6" applyNumberFormat="1" applyFont="1" applyFill="1" applyBorder="1" applyAlignment="1">
      <alignment horizontal="center" vertical="center"/>
    </xf>
    <xf numFmtId="0" fontId="80" fillId="4" borderId="79" xfId="183" applyFont="1" applyFill="1" applyBorder="1" applyAlignment="1">
      <alignment horizontal="center" vertical="center"/>
    </xf>
    <xf numFmtId="0" fontId="80" fillId="4" borderId="80" xfId="183" applyFont="1" applyFill="1" applyBorder="1" applyAlignment="1">
      <alignment horizontal="center" vertical="center"/>
    </xf>
    <xf numFmtId="0" fontId="80" fillId="4" borderId="81" xfId="183" applyFont="1" applyFill="1" applyBorder="1" applyAlignment="1">
      <alignment horizontal="center" vertical="center"/>
    </xf>
    <xf numFmtId="4" fontId="17" fillId="0" borderId="83" xfId="183" applyNumberFormat="1" applyBorder="1" applyAlignment="1">
      <alignment horizontal="center" vertical="center"/>
    </xf>
    <xf numFmtId="4" fontId="17" fillId="0" borderId="84" xfId="183" applyNumberFormat="1" applyBorder="1" applyAlignment="1">
      <alignment horizontal="center" vertical="center"/>
    </xf>
    <xf numFmtId="4" fontId="17" fillId="0" borderId="86" xfId="183" applyNumberFormat="1" applyBorder="1" applyAlignment="1">
      <alignment horizontal="center" vertical="center"/>
    </xf>
    <xf numFmtId="4" fontId="17" fillId="0" borderId="87" xfId="183" applyNumberFormat="1" applyBorder="1" applyAlignment="1">
      <alignment horizontal="center" vertical="center"/>
    </xf>
    <xf numFmtId="4" fontId="17" fillId="0" borderId="89" xfId="183" applyNumberFormat="1" applyBorder="1" applyAlignment="1">
      <alignment horizontal="center" vertical="center"/>
    </xf>
    <xf numFmtId="4" fontId="17" fillId="0" borderId="90" xfId="183" applyNumberFormat="1" applyBorder="1" applyAlignment="1">
      <alignment horizontal="center" vertical="center"/>
    </xf>
    <xf numFmtId="0" fontId="16" fillId="0" borderId="0" xfId="184" applyAlignment="1">
      <alignment horizontal="center" vertical="center"/>
    </xf>
    <xf numFmtId="0" fontId="85" fillId="4" borderId="91" xfId="184" applyFont="1" applyFill="1" applyBorder="1" applyAlignment="1">
      <alignment horizontal="center" vertical="center"/>
    </xf>
    <xf numFmtId="0" fontId="85" fillId="4" borderId="91" xfId="184" applyFont="1" applyFill="1" applyBorder="1" applyAlignment="1">
      <alignment horizontal="center" vertical="center" wrapText="1"/>
    </xf>
    <xf numFmtId="17" fontId="75" fillId="0" borderId="34" xfId="184" applyNumberFormat="1" applyFont="1" applyBorder="1" applyAlignment="1">
      <alignment horizontal="center" vertical="center"/>
    </xf>
    <xf numFmtId="4" fontId="75" fillId="0" borderId="34" xfId="184" applyNumberFormat="1" applyFont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5" fillId="4" borderId="13" xfId="0" applyFont="1" applyFill="1" applyBorder="1" applyAlignment="1">
      <alignment horizontal="center" vertical="center"/>
    </xf>
    <xf numFmtId="43" fontId="50" fillId="0" borderId="13" xfId="186" applyFont="1" applyBorder="1" applyAlignment="1">
      <alignment horizontal="center" vertical="center"/>
    </xf>
    <xf numFmtId="43" fontId="49" fillId="4" borderId="13" xfId="186" applyFont="1" applyFill="1" applyBorder="1" applyAlignment="1">
      <alignment horizontal="center" vertical="center"/>
    </xf>
    <xf numFmtId="0" fontId="78" fillId="0" borderId="0" xfId="184" applyFont="1" applyAlignment="1">
      <alignment horizontal="left" vertical="center"/>
    </xf>
    <xf numFmtId="2" fontId="56" fillId="0" borderId="0" xfId="174" applyNumberFormat="1" applyFont="1" applyAlignment="1">
      <alignment horizontal="center" vertical="center"/>
    </xf>
    <xf numFmtId="39" fontId="98" fillId="2" borderId="0" xfId="175" applyNumberFormat="1" applyFont="1" applyFill="1" applyAlignment="1">
      <alignment horizontal="center" vertical="center" wrapText="1"/>
    </xf>
    <xf numFmtId="0" fontId="55" fillId="2" borderId="57" xfId="175" applyFont="1" applyFill="1" applyBorder="1" applyAlignment="1">
      <alignment vertical="center"/>
    </xf>
    <xf numFmtId="0" fontId="98" fillId="2" borderId="0" xfId="175" applyFont="1" applyFill="1" applyAlignment="1">
      <alignment vertical="center"/>
    </xf>
    <xf numFmtId="4" fontId="50" fillId="2" borderId="0" xfId="175" applyNumberFormat="1" applyFont="1" applyFill="1" applyAlignment="1">
      <alignment vertical="center" wrapText="1"/>
    </xf>
    <xf numFmtId="4" fontId="53" fillId="2" borderId="0" xfId="12" applyNumberFormat="1" applyFont="1" applyFill="1" applyAlignment="1">
      <alignment horizontal="center" vertical="center"/>
    </xf>
    <xf numFmtId="0" fontId="56" fillId="16" borderId="0" xfId="6" applyFont="1" applyFill="1" applyAlignment="1">
      <alignment horizontal="left" vertical="center"/>
    </xf>
    <xf numFmtId="0" fontId="64" fillId="0" borderId="0" xfId="6" applyFont="1" applyAlignment="1">
      <alignment vertical="center"/>
    </xf>
    <xf numFmtId="0" fontId="56" fillId="16" borderId="0" xfId="6" applyFont="1" applyFill="1" applyAlignment="1">
      <alignment horizontal="left" vertical="center" wrapText="1"/>
    </xf>
    <xf numFmtId="0" fontId="56" fillId="16" borderId="0" xfId="6" applyFont="1" applyFill="1" applyAlignment="1">
      <alignment horizontal="left" vertical="top" wrapText="1"/>
    </xf>
    <xf numFmtId="0" fontId="64" fillId="0" borderId="0" xfId="6" applyFont="1" applyAlignment="1">
      <alignment vertical="top"/>
    </xf>
    <xf numFmtId="0" fontId="56" fillId="16" borderId="92" xfId="6" applyFont="1" applyFill="1" applyBorder="1" applyAlignment="1">
      <alignment horizontal="left" vertical="center" wrapText="1"/>
    </xf>
    <xf numFmtId="0" fontId="56" fillId="16" borderId="92" xfId="6" applyFont="1" applyFill="1" applyBorder="1" applyAlignment="1">
      <alignment horizontal="right" vertical="center" wrapText="1"/>
    </xf>
    <xf numFmtId="0" fontId="60" fillId="17" borderId="92" xfId="6" applyFont="1" applyFill="1" applyBorder="1" applyAlignment="1">
      <alignment horizontal="left" vertical="center" wrapText="1"/>
    </xf>
    <xf numFmtId="4" fontId="60" fillId="17" borderId="92" xfId="6" applyNumberFormat="1" applyFont="1" applyFill="1" applyBorder="1" applyAlignment="1">
      <alignment horizontal="right" vertical="top" wrapText="1"/>
    </xf>
    <xf numFmtId="172" fontId="60" fillId="17" borderId="92" xfId="6" applyNumberFormat="1" applyFont="1" applyFill="1" applyBorder="1" applyAlignment="1">
      <alignment horizontal="right" vertical="top" wrapText="1"/>
    </xf>
    <xf numFmtId="0" fontId="55" fillId="16" borderId="0" xfId="6" applyFont="1" applyFill="1" applyAlignment="1">
      <alignment horizontal="center" vertical="center" wrapText="1"/>
    </xf>
    <xf numFmtId="0" fontId="56" fillId="16" borderId="0" xfId="6" applyFont="1" applyFill="1" applyAlignment="1">
      <alignment horizontal="right" vertical="center" wrapText="1"/>
    </xf>
    <xf numFmtId="0" fontId="55" fillId="16" borderId="0" xfId="6" applyFont="1" applyFill="1" applyAlignment="1">
      <alignment horizontal="left" vertical="center" wrapText="1"/>
    </xf>
    <xf numFmtId="0" fontId="56" fillId="16" borderId="92" xfId="24" applyFont="1" applyFill="1" applyBorder="1" applyAlignment="1">
      <alignment horizontal="left" vertical="center" wrapText="1"/>
    </xf>
    <xf numFmtId="0" fontId="56" fillId="16" borderId="92" xfId="24" applyFont="1" applyFill="1" applyBorder="1" applyAlignment="1">
      <alignment horizontal="right" vertical="center" wrapText="1"/>
    </xf>
    <xf numFmtId="0" fontId="56" fillId="16" borderId="96" xfId="24" applyFont="1" applyFill="1" applyBorder="1" applyAlignment="1">
      <alignment horizontal="right" vertical="center" wrapText="1"/>
    </xf>
    <xf numFmtId="10" fontId="56" fillId="16" borderId="0" xfId="6" applyNumberFormat="1" applyFont="1" applyFill="1" applyAlignment="1">
      <alignment horizontal="right" vertical="top" wrapText="1"/>
    </xf>
    <xf numFmtId="0" fontId="56" fillId="16" borderId="0" xfId="24" applyFont="1" applyFill="1" applyAlignment="1">
      <alignment horizontal="left" vertical="top" wrapText="1"/>
    </xf>
    <xf numFmtId="0" fontId="56" fillId="16" borderId="92" xfId="6" applyFont="1" applyFill="1" applyBorder="1" applyAlignment="1">
      <alignment horizontal="right" vertical="top" wrapText="1"/>
    </xf>
    <xf numFmtId="0" fontId="55" fillId="0" borderId="0" xfId="24" applyFont="1" applyAlignment="1">
      <alignment vertical="center"/>
    </xf>
    <xf numFmtId="0" fontId="56" fillId="16" borderId="0" xfId="24" applyFont="1" applyFill="1" applyAlignment="1">
      <alignment horizontal="left" vertical="center" wrapText="1"/>
    </xf>
    <xf numFmtId="0" fontId="56" fillId="16" borderId="0" xfId="24" applyFont="1" applyFill="1" applyAlignment="1">
      <alignment vertical="center" wrapText="1"/>
    </xf>
    <xf numFmtId="0" fontId="56" fillId="16" borderId="0" xfId="24" applyFont="1" applyFill="1" applyAlignment="1">
      <alignment vertical="center"/>
    </xf>
    <xf numFmtId="0" fontId="55" fillId="0" borderId="0" xfId="24" applyFont="1" applyAlignment="1">
      <alignment vertical="top"/>
    </xf>
    <xf numFmtId="10" fontId="56" fillId="16" borderId="0" xfId="24" applyNumberFormat="1" applyFont="1" applyFill="1" applyAlignment="1">
      <alignment horizontal="left" vertical="top" wrapText="1"/>
    </xf>
    <xf numFmtId="0" fontId="56" fillId="16" borderId="0" xfId="24" applyFont="1" applyFill="1" applyAlignment="1">
      <alignment vertical="top"/>
    </xf>
    <xf numFmtId="0" fontId="55" fillId="0" borderId="101" xfId="24" applyFont="1" applyBorder="1" applyAlignment="1">
      <alignment vertical="center"/>
    </xf>
    <xf numFmtId="0" fontId="56" fillId="16" borderId="102" xfId="24" applyFont="1" applyFill="1" applyBorder="1" applyAlignment="1">
      <alignment horizontal="left" vertical="center" wrapText="1"/>
    </xf>
    <xf numFmtId="0" fontId="56" fillId="16" borderId="103" xfId="6" applyFont="1" applyFill="1" applyBorder="1" applyAlignment="1">
      <alignment horizontal="right" vertical="top" wrapText="1"/>
    </xf>
    <xf numFmtId="10" fontId="60" fillId="17" borderId="105" xfId="6" applyNumberFormat="1" applyFont="1" applyFill="1" applyBorder="1" applyAlignment="1">
      <alignment horizontal="right" vertical="top" wrapText="1"/>
    </xf>
    <xf numFmtId="10" fontId="64" fillId="17" borderId="106" xfId="6" applyNumberFormat="1" applyFont="1" applyFill="1" applyBorder="1" applyAlignment="1">
      <alignment horizontal="right" vertical="top" wrapText="1"/>
    </xf>
    <xf numFmtId="0" fontId="60" fillId="17" borderId="105" xfId="6" applyFont="1" applyFill="1" applyBorder="1" applyAlignment="1">
      <alignment horizontal="right" vertical="top" wrapText="1"/>
    </xf>
    <xf numFmtId="0" fontId="60" fillId="17" borderId="107" xfId="6" applyFont="1" applyFill="1" applyBorder="1" applyAlignment="1">
      <alignment horizontal="right" vertical="top" wrapText="1"/>
    </xf>
    <xf numFmtId="4" fontId="60" fillId="17" borderId="109" xfId="6" applyNumberFormat="1" applyFont="1" applyFill="1" applyBorder="1" applyAlignment="1">
      <alignment horizontal="right" vertical="top" wrapText="1"/>
    </xf>
    <xf numFmtId="4" fontId="64" fillId="17" borderId="110" xfId="6" applyNumberFormat="1" applyFont="1" applyFill="1" applyBorder="1" applyAlignment="1">
      <alignment horizontal="right" vertical="top" wrapText="1"/>
    </xf>
    <xf numFmtId="0" fontId="60" fillId="17" borderId="111" xfId="6" applyFont="1" applyFill="1" applyBorder="1" applyAlignment="1">
      <alignment horizontal="right" vertical="top" wrapText="1"/>
    </xf>
    <xf numFmtId="0" fontId="60" fillId="17" borderId="109" xfId="6" applyFont="1" applyFill="1" applyBorder="1" applyAlignment="1">
      <alignment horizontal="right" vertical="top" wrapText="1"/>
    </xf>
    <xf numFmtId="0" fontId="60" fillId="17" borderId="112" xfId="6" applyFont="1" applyFill="1" applyBorder="1" applyAlignment="1">
      <alignment horizontal="right" vertical="top" wrapText="1"/>
    </xf>
    <xf numFmtId="0" fontId="60" fillId="17" borderId="113" xfId="6" applyFont="1" applyFill="1" applyBorder="1" applyAlignment="1">
      <alignment horizontal="right" vertical="top" wrapText="1"/>
    </xf>
    <xf numFmtId="0" fontId="60" fillId="17" borderId="114" xfId="6" applyFont="1" applyFill="1" applyBorder="1" applyAlignment="1">
      <alignment horizontal="right" vertical="top" wrapText="1"/>
    </xf>
    <xf numFmtId="0" fontId="60" fillId="17" borderId="115" xfId="6" applyFont="1" applyFill="1" applyBorder="1" applyAlignment="1">
      <alignment horizontal="right" vertical="top" wrapText="1"/>
    </xf>
    <xf numFmtId="10" fontId="64" fillId="17" borderId="116" xfId="6" applyNumberFormat="1" applyFont="1" applyFill="1" applyBorder="1" applyAlignment="1">
      <alignment horizontal="right" vertical="top" wrapText="1"/>
    </xf>
    <xf numFmtId="10" fontId="64" fillId="17" borderId="117" xfId="6" applyNumberFormat="1" applyFont="1" applyFill="1" applyBorder="1" applyAlignment="1">
      <alignment horizontal="right" vertical="top" wrapText="1"/>
    </xf>
    <xf numFmtId="10" fontId="64" fillId="17" borderId="118" xfId="6" applyNumberFormat="1" applyFont="1" applyFill="1" applyBorder="1" applyAlignment="1">
      <alignment horizontal="right" vertical="top" wrapText="1"/>
    </xf>
    <xf numFmtId="10" fontId="64" fillId="17" borderId="119" xfId="6" applyNumberFormat="1" applyFont="1" applyFill="1" applyBorder="1" applyAlignment="1">
      <alignment horizontal="right" vertical="top" wrapText="1"/>
    </xf>
    <xf numFmtId="4" fontId="64" fillId="17" borderId="120" xfId="6" applyNumberFormat="1" applyFont="1" applyFill="1" applyBorder="1" applyAlignment="1">
      <alignment horizontal="right" vertical="top" wrapText="1"/>
    </xf>
    <xf numFmtId="10" fontId="64" fillId="17" borderId="121" xfId="6" applyNumberFormat="1" applyFont="1" applyFill="1" applyBorder="1" applyAlignment="1">
      <alignment horizontal="right" vertical="top" wrapText="1"/>
    </xf>
    <xf numFmtId="10" fontId="64" fillId="17" borderId="0" xfId="6" applyNumberFormat="1" applyFont="1" applyFill="1" applyAlignment="1">
      <alignment horizontal="right" vertical="top" wrapText="1"/>
    </xf>
    <xf numFmtId="10" fontId="64" fillId="17" borderId="122" xfId="6" applyNumberFormat="1" applyFont="1" applyFill="1" applyBorder="1" applyAlignment="1">
      <alignment horizontal="right" vertical="top" wrapText="1"/>
    </xf>
    <xf numFmtId="0" fontId="60" fillId="17" borderId="123" xfId="6" applyFont="1" applyFill="1" applyBorder="1" applyAlignment="1">
      <alignment horizontal="right" vertical="top" wrapText="1"/>
    </xf>
    <xf numFmtId="0" fontId="60" fillId="17" borderId="124" xfId="6" applyFont="1" applyFill="1" applyBorder="1" applyAlignment="1">
      <alignment horizontal="right" vertical="top" wrapText="1"/>
    </xf>
    <xf numFmtId="10" fontId="64" fillId="17" borderId="125" xfId="6" applyNumberFormat="1" applyFont="1" applyFill="1" applyBorder="1" applyAlignment="1">
      <alignment horizontal="right" vertical="top" wrapText="1"/>
    </xf>
    <xf numFmtId="10" fontId="64" fillId="17" borderId="126" xfId="6" applyNumberFormat="1" applyFont="1" applyFill="1" applyBorder="1" applyAlignment="1">
      <alignment horizontal="right" vertical="top" wrapText="1"/>
    </xf>
    <xf numFmtId="0" fontId="60" fillId="17" borderId="127" xfId="6" applyFont="1" applyFill="1" applyBorder="1" applyAlignment="1">
      <alignment horizontal="right" vertical="top" wrapText="1"/>
    </xf>
    <xf numFmtId="0" fontId="60" fillId="17" borderId="128" xfId="6" applyFont="1" applyFill="1" applyBorder="1" applyAlignment="1">
      <alignment horizontal="right" vertical="top" wrapText="1"/>
    </xf>
    <xf numFmtId="0" fontId="60" fillId="17" borderId="129" xfId="6" applyFont="1" applyFill="1" applyBorder="1" applyAlignment="1">
      <alignment horizontal="right" vertical="top" wrapText="1"/>
    </xf>
    <xf numFmtId="10" fontId="64" fillId="17" borderId="105" xfId="6" applyNumberFormat="1" applyFont="1" applyFill="1" applyBorder="1" applyAlignment="1">
      <alignment horizontal="right" vertical="top" wrapText="1"/>
    </xf>
    <xf numFmtId="10" fontId="64" fillId="17" borderId="107" xfId="6" applyNumberFormat="1" applyFont="1" applyFill="1" applyBorder="1" applyAlignment="1">
      <alignment horizontal="right" vertical="top" wrapText="1"/>
    </xf>
    <xf numFmtId="4" fontId="56" fillId="16" borderId="0" xfId="6" applyNumberFormat="1" applyFont="1" applyFill="1" applyAlignment="1">
      <alignment horizontal="right" vertical="top" wrapText="1"/>
    </xf>
    <xf numFmtId="4" fontId="55" fillId="0" borderId="0" xfId="24" applyNumberFormat="1" applyFont="1" applyAlignment="1">
      <alignment vertical="center"/>
    </xf>
    <xf numFmtId="10" fontId="55" fillId="0" borderId="0" xfId="24" applyNumberFormat="1" applyFont="1" applyAlignment="1">
      <alignment vertical="center"/>
    </xf>
    <xf numFmtId="164" fontId="100" fillId="0" borderId="0" xfId="175" applyNumberFormat="1" applyFont="1" applyAlignment="1">
      <alignment vertical="center"/>
    </xf>
    <xf numFmtId="3" fontId="49" fillId="0" borderId="25" xfId="175" applyNumberFormat="1" applyFont="1" applyBorder="1" applyAlignment="1">
      <alignment horizontal="center" vertical="center"/>
    </xf>
    <xf numFmtId="2" fontId="49" fillId="0" borderId="25" xfId="175" applyNumberFormat="1" applyFont="1" applyBorder="1" applyAlignment="1">
      <alignment horizontal="center" vertical="center"/>
    </xf>
    <xf numFmtId="164" fontId="65" fillId="0" borderId="25" xfId="175" applyNumberFormat="1" applyFont="1" applyBorder="1" applyAlignment="1">
      <alignment vertical="center"/>
    </xf>
    <xf numFmtId="3" fontId="49" fillId="0" borderId="13" xfId="175" applyNumberFormat="1" applyFont="1" applyBorder="1" applyAlignment="1">
      <alignment horizontal="center" vertical="center"/>
    </xf>
    <xf numFmtId="2" fontId="49" fillId="0" borderId="13" xfId="175" applyNumberFormat="1" applyFont="1" applyBorder="1" applyAlignment="1">
      <alignment horizontal="center" vertical="center"/>
    </xf>
    <xf numFmtId="164" fontId="65" fillId="0" borderId="13" xfId="175" applyNumberFormat="1" applyFont="1" applyBorder="1" applyAlignment="1">
      <alignment vertical="center"/>
    </xf>
    <xf numFmtId="3" fontId="49" fillId="0" borderId="22" xfId="175" applyNumberFormat="1" applyFont="1" applyBorder="1" applyAlignment="1">
      <alignment horizontal="center" vertical="center"/>
    </xf>
    <xf numFmtId="2" fontId="49" fillId="0" borderId="22" xfId="175" applyNumberFormat="1" applyFont="1" applyBorder="1" applyAlignment="1">
      <alignment horizontal="center" vertical="center"/>
    </xf>
    <xf numFmtId="164" fontId="65" fillId="0" borderId="22" xfId="175" applyNumberFormat="1" applyFont="1" applyBorder="1" applyAlignment="1">
      <alignment vertical="center"/>
    </xf>
    <xf numFmtId="164" fontId="101" fillId="7" borderId="25" xfId="175" applyNumberFormat="1" applyFont="1" applyFill="1" applyBorder="1" applyAlignment="1">
      <alignment horizontal="center" vertical="center"/>
    </xf>
    <xf numFmtId="164" fontId="101" fillId="7" borderId="13" xfId="175" applyNumberFormat="1" applyFont="1" applyFill="1" applyBorder="1" applyAlignment="1">
      <alignment horizontal="center" vertical="center"/>
    </xf>
    <xf numFmtId="164" fontId="101" fillId="7" borderId="22" xfId="175" applyNumberFormat="1" applyFont="1" applyFill="1" applyBorder="1" applyAlignment="1">
      <alignment horizontal="center" vertical="center"/>
    </xf>
    <xf numFmtId="4" fontId="101" fillId="7" borderId="25" xfId="175" applyNumberFormat="1" applyFont="1" applyFill="1" applyBorder="1" applyAlignment="1">
      <alignment horizontal="center" vertical="center"/>
    </xf>
    <xf numFmtId="4" fontId="101" fillId="7" borderId="13" xfId="175" applyNumberFormat="1" applyFont="1" applyFill="1" applyBorder="1" applyAlignment="1">
      <alignment horizontal="center" vertical="center"/>
    </xf>
    <xf numFmtId="4" fontId="101" fillId="7" borderId="22" xfId="175" applyNumberFormat="1" applyFont="1" applyFill="1" applyBorder="1" applyAlignment="1">
      <alignment horizontal="center" vertical="center"/>
    </xf>
    <xf numFmtId="0" fontId="102" fillId="0" borderId="13" xfId="175" applyFont="1" applyBorder="1" applyAlignment="1">
      <alignment horizontal="center" vertical="center" wrapText="1"/>
    </xf>
    <xf numFmtId="4" fontId="55" fillId="2" borderId="0" xfId="174" applyNumberFormat="1" applyFont="1" applyFill="1" applyAlignment="1">
      <alignment vertical="center"/>
    </xf>
    <xf numFmtId="0" fontId="56" fillId="4" borderId="21" xfId="12" applyFont="1" applyFill="1" applyBorder="1" applyAlignment="1">
      <alignment horizontal="center" vertical="center"/>
    </xf>
    <xf numFmtId="0" fontId="56" fillId="4" borderId="23" xfId="12" applyFont="1" applyFill="1" applyBorder="1" applyAlignment="1">
      <alignment horizontal="center" vertical="center"/>
    </xf>
    <xf numFmtId="0" fontId="19" fillId="0" borderId="133" xfId="12" applyFont="1" applyBorder="1" applyAlignment="1">
      <alignment horizontal="left" vertical="center"/>
    </xf>
    <xf numFmtId="0" fontId="19" fillId="0" borderId="134" xfId="131" applyFont="1" applyBorder="1" applyAlignment="1">
      <alignment horizontal="center" vertical="center"/>
    </xf>
    <xf numFmtId="0" fontId="19" fillId="0" borderId="135" xfId="131" applyFont="1" applyBorder="1" applyAlignment="1">
      <alignment horizontal="center" vertical="center"/>
    </xf>
    <xf numFmtId="0" fontId="16" fillId="2" borderId="137" xfId="12" applyFont="1" applyFill="1" applyBorder="1" applyAlignment="1">
      <alignment horizontal="left" vertical="center" wrapText="1"/>
    </xf>
    <xf numFmtId="0" fontId="19" fillId="0" borderId="139" xfId="131" applyFont="1" applyBorder="1" applyAlignment="1">
      <alignment horizontal="center" vertical="center"/>
    </xf>
    <xf numFmtId="0" fontId="19" fillId="2" borderId="137" xfId="12" applyFont="1" applyFill="1" applyBorder="1" applyAlignment="1">
      <alignment horizontal="left" vertical="center" wrapText="1"/>
    </xf>
    <xf numFmtId="0" fontId="64" fillId="0" borderId="138" xfId="131" applyFont="1" applyBorder="1" applyAlignment="1">
      <alignment horizontal="center" vertical="center" wrapText="1"/>
    </xf>
    <xf numFmtId="0" fontId="19" fillId="2" borderId="137" xfId="12" applyFont="1" applyFill="1" applyBorder="1" applyAlignment="1">
      <alignment horizontal="left" vertical="center"/>
    </xf>
    <xf numFmtId="0" fontId="19" fillId="2" borderId="138" xfId="131" applyFont="1" applyFill="1" applyBorder="1" applyAlignment="1">
      <alignment horizontal="center" vertical="center"/>
    </xf>
    <xf numFmtId="0" fontId="16" fillId="2" borderId="137" xfId="12" applyFont="1" applyFill="1" applyBorder="1" applyAlignment="1">
      <alignment horizontal="left" vertical="center"/>
    </xf>
    <xf numFmtId="0" fontId="38" fillId="2" borderId="137" xfId="12" applyFont="1" applyFill="1" applyBorder="1" applyAlignment="1">
      <alignment horizontal="left" vertical="center"/>
    </xf>
    <xf numFmtId="0" fontId="24" fillId="2" borderId="138" xfId="131" applyFill="1" applyBorder="1" applyAlignment="1">
      <alignment horizontal="center" vertical="center"/>
    </xf>
    <xf numFmtId="0" fontId="64" fillId="2" borderId="137" xfId="12" applyFont="1" applyFill="1" applyBorder="1" applyAlignment="1">
      <alignment horizontal="left" vertical="center"/>
    </xf>
    <xf numFmtId="0" fontId="64" fillId="2" borderId="141" xfId="12" applyFont="1" applyFill="1" applyBorder="1" applyAlignment="1">
      <alignment horizontal="left" vertical="center"/>
    </xf>
    <xf numFmtId="0" fontId="19" fillId="0" borderId="143" xfId="131" applyFont="1" applyBorder="1" applyAlignment="1">
      <alignment horizontal="center" vertical="center"/>
    </xf>
    <xf numFmtId="0" fontId="81" fillId="0" borderId="0" xfId="194" applyFont="1" applyAlignment="1">
      <alignment vertical="center"/>
    </xf>
    <xf numFmtId="0" fontId="81" fillId="0" borderId="0" xfId="194" applyFont="1" applyAlignment="1">
      <alignment horizontal="center" vertical="center"/>
    </xf>
    <xf numFmtId="0" fontId="95" fillId="0" borderId="0" xfId="194" applyFont="1" applyAlignment="1">
      <alignment vertical="center"/>
    </xf>
    <xf numFmtId="0" fontId="13" fillId="0" borderId="0" xfId="194" applyAlignment="1">
      <alignment horizontal="center" vertical="center"/>
    </xf>
    <xf numFmtId="0" fontId="83" fillId="0" borderId="0" xfId="194" applyFont="1" applyAlignment="1">
      <alignment horizontal="center" vertical="center"/>
    </xf>
    <xf numFmtId="0" fontId="54" fillId="4" borderId="74" xfId="194" applyFont="1" applyFill="1" applyBorder="1" applyAlignment="1">
      <alignment horizontal="center" vertical="center" wrapText="1"/>
    </xf>
    <xf numFmtId="0" fontId="54" fillId="4" borderId="6" xfId="194" applyFont="1" applyFill="1" applyBorder="1" applyAlignment="1">
      <alignment horizontal="center" vertical="center" wrapText="1"/>
    </xf>
    <xf numFmtId="0" fontId="54" fillId="4" borderId="75" xfId="194" applyFont="1" applyFill="1" applyBorder="1" applyAlignment="1">
      <alignment horizontal="center" vertical="center" wrapText="1"/>
    </xf>
    <xf numFmtId="0" fontId="54" fillId="4" borderId="76" xfId="194" applyFont="1" applyFill="1" applyBorder="1" applyAlignment="1">
      <alignment horizontal="center" vertical="center" wrapText="1"/>
    </xf>
    <xf numFmtId="0" fontId="54" fillId="4" borderId="73" xfId="194" applyFont="1" applyFill="1" applyBorder="1" applyAlignment="1">
      <alignment horizontal="center" vertical="center" wrapText="1"/>
    </xf>
    <xf numFmtId="0" fontId="54" fillId="4" borderId="51" xfId="194" applyFont="1" applyFill="1" applyBorder="1" applyAlignment="1">
      <alignment horizontal="center" vertical="center" wrapText="1"/>
    </xf>
    <xf numFmtId="0" fontId="54" fillId="4" borderId="38" xfId="194" applyFont="1" applyFill="1" applyBorder="1" applyAlignment="1">
      <alignment horizontal="center" vertical="center"/>
    </xf>
    <xf numFmtId="0" fontId="54" fillId="4" borderId="57" xfId="194" applyFont="1" applyFill="1" applyBorder="1" applyAlignment="1">
      <alignment horizontal="center" vertical="center" wrapText="1"/>
    </xf>
    <xf numFmtId="0" fontId="54" fillId="4" borderId="66" xfId="194" applyFont="1" applyFill="1" applyBorder="1" applyAlignment="1">
      <alignment horizontal="center" vertical="center" wrapText="1"/>
    </xf>
    <xf numFmtId="0" fontId="54" fillId="4" borderId="77" xfId="194" applyFont="1" applyFill="1" applyBorder="1" applyAlignment="1">
      <alignment horizontal="center" vertical="center" wrapText="1"/>
    </xf>
    <xf numFmtId="0" fontId="54" fillId="4" borderId="58" xfId="194" applyFont="1" applyFill="1" applyBorder="1" applyAlignment="1">
      <alignment horizontal="center" vertical="center" wrapText="1"/>
    </xf>
    <xf numFmtId="0" fontId="54" fillId="4" borderId="63" xfId="194" applyFont="1" applyFill="1" applyBorder="1" applyAlignment="1">
      <alignment horizontal="center" vertical="center"/>
    </xf>
    <xf numFmtId="0" fontId="54" fillId="4" borderId="27" xfId="194" applyFont="1" applyFill="1" applyBorder="1" applyAlignment="1">
      <alignment horizontal="center" vertical="center"/>
    </xf>
    <xf numFmtId="0" fontId="54" fillId="4" borderId="32" xfId="194" applyFont="1" applyFill="1" applyBorder="1" applyAlignment="1">
      <alignment horizontal="center" vertical="center" wrapText="1"/>
    </xf>
    <xf numFmtId="0" fontId="54" fillId="4" borderId="59" xfId="194" applyFont="1" applyFill="1" applyBorder="1" applyAlignment="1">
      <alignment horizontal="center" vertical="center" wrapText="1"/>
    </xf>
    <xf numFmtId="0" fontId="54" fillId="4" borderId="53" xfId="194" applyFont="1" applyFill="1" applyBorder="1" applyAlignment="1">
      <alignment horizontal="center" vertical="center" wrapText="1"/>
    </xf>
    <xf numFmtId="0" fontId="54" fillId="4" borderId="52" xfId="194" applyFont="1" applyFill="1" applyBorder="1" applyAlignment="1">
      <alignment horizontal="center" vertical="center" wrapText="1"/>
    </xf>
    <xf numFmtId="0" fontId="54" fillId="4" borderId="63" xfId="194" applyFont="1" applyFill="1" applyBorder="1" applyAlignment="1">
      <alignment horizontal="center" vertical="center" wrapText="1"/>
    </xf>
    <xf numFmtId="0" fontId="54" fillId="4" borderId="62" xfId="194" applyFont="1" applyFill="1" applyBorder="1" applyAlignment="1">
      <alignment horizontal="center" vertical="center" wrapText="1"/>
    </xf>
    <xf numFmtId="0" fontId="54" fillId="4" borderId="65" xfId="194" applyFont="1" applyFill="1" applyBorder="1" applyAlignment="1">
      <alignment horizontal="center" vertical="center" wrapText="1"/>
    </xf>
    <xf numFmtId="0" fontId="54" fillId="4" borderId="46" xfId="194" applyFont="1" applyFill="1" applyBorder="1" applyAlignment="1">
      <alignment horizontal="center" vertical="center" wrapText="1"/>
    </xf>
    <xf numFmtId="0" fontId="54" fillId="4" borderId="34" xfId="194" applyFont="1" applyFill="1" applyBorder="1" applyAlignment="1">
      <alignment horizontal="center" vertical="center" wrapText="1"/>
    </xf>
    <xf numFmtId="0" fontId="54" fillId="4" borderId="35" xfId="194" applyFont="1" applyFill="1" applyBorder="1" applyAlignment="1">
      <alignment horizontal="center" vertical="center" wrapText="1"/>
    </xf>
    <xf numFmtId="0" fontId="56" fillId="13" borderId="52" xfId="195" applyFont="1" applyFill="1" applyBorder="1" applyAlignment="1">
      <alignment horizontal="center" vertical="center" wrapText="1"/>
    </xf>
    <xf numFmtId="0" fontId="56" fillId="13" borderId="27" xfId="195" applyFont="1" applyFill="1" applyBorder="1" applyAlignment="1">
      <alignment horizontal="center" vertical="center" wrapText="1"/>
    </xf>
    <xf numFmtId="0" fontId="56" fillId="13" borderId="62" xfId="195" applyFont="1" applyFill="1" applyBorder="1" applyAlignment="1">
      <alignment horizontal="center" vertical="center" wrapText="1"/>
    </xf>
    <xf numFmtId="0" fontId="57" fillId="0" borderId="11" xfId="194" applyFont="1" applyBorder="1" applyAlignment="1">
      <alignment horizontal="center" vertical="center"/>
    </xf>
    <xf numFmtId="4" fontId="57" fillId="0" borderId="13" xfId="196" applyNumberFormat="1" applyFont="1" applyFill="1" applyBorder="1" applyAlignment="1">
      <alignment horizontal="center" vertical="center"/>
    </xf>
    <xf numFmtId="4" fontId="57" fillId="0" borderId="15" xfId="196" applyNumberFormat="1" applyFont="1" applyFill="1" applyBorder="1" applyAlignment="1">
      <alignment horizontal="center" vertical="center"/>
    </xf>
    <xf numFmtId="4" fontId="57" fillId="0" borderId="14" xfId="196" applyNumberFormat="1" applyFont="1" applyFill="1" applyBorder="1" applyAlignment="1">
      <alignment horizontal="center" vertical="center"/>
    </xf>
    <xf numFmtId="4" fontId="57" fillId="12" borderId="19" xfId="196" applyNumberFormat="1" applyFont="1" applyFill="1" applyBorder="1" applyAlignment="1">
      <alignment horizontal="center" vertical="center"/>
    </xf>
    <xf numFmtId="4" fontId="57" fillId="12" borderId="14" xfId="196" applyNumberFormat="1" applyFont="1" applyFill="1" applyBorder="1" applyAlignment="1">
      <alignment horizontal="center" vertical="center"/>
    </xf>
    <xf numFmtId="4" fontId="57" fillId="0" borderId="36" xfId="196" applyNumberFormat="1" applyFont="1" applyFill="1" applyBorder="1" applyAlignment="1">
      <alignment horizontal="center" vertical="center"/>
    </xf>
    <xf numFmtId="4" fontId="57" fillId="0" borderId="47" xfId="196" applyNumberFormat="1" applyFont="1" applyFill="1" applyBorder="1" applyAlignment="1">
      <alignment horizontal="center" vertical="center"/>
    </xf>
    <xf numFmtId="4" fontId="57" fillId="0" borderId="37" xfId="196" applyNumberFormat="1" applyFont="1" applyFill="1" applyBorder="1" applyAlignment="1">
      <alignment horizontal="center" vertical="center"/>
    </xf>
    <xf numFmtId="0" fontId="56" fillId="13" borderId="55" xfId="195" applyFont="1" applyFill="1" applyBorder="1" applyAlignment="1">
      <alignment horizontal="center" vertical="center" wrapText="1"/>
    </xf>
    <xf numFmtId="0" fontId="57" fillId="0" borderId="78" xfId="194" applyFont="1" applyBorder="1" applyAlignment="1">
      <alignment horizontal="center" vertical="center"/>
    </xf>
    <xf numFmtId="4" fontId="57" fillId="12" borderId="20" xfId="196" applyNumberFormat="1" applyFont="1" applyFill="1" applyBorder="1" applyAlignment="1">
      <alignment horizontal="center" vertical="center"/>
    </xf>
    <xf numFmtId="4" fontId="57" fillId="12" borderId="37" xfId="196" applyNumberFormat="1" applyFont="1" applyFill="1" applyBorder="1" applyAlignment="1">
      <alignment horizontal="center" vertical="center"/>
    </xf>
    <xf numFmtId="0" fontId="57" fillId="0" borderId="31" xfId="194" applyFont="1" applyBorder="1" applyAlignment="1">
      <alignment horizontal="center" vertical="center"/>
    </xf>
    <xf numFmtId="4" fontId="57" fillId="0" borderId="25" xfId="196" applyNumberFormat="1" applyFont="1" applyFill="1" applyBorder="1" applyAlignment="1">
      <alignment horizontal="center" vertical="center"/>
    </xf>
    <xf numFmtId="4" fontId="57" fillId="0" borderId="56" xfId="196" applyNumberFormat="1" applyFont="1" applyFill="1" applyBorder="1" applyAlignment="1">
      <alignment horizontal="center" vertical="center"/>
    </xf>
    <xf numFmtId="4" fontId="57" fillId="0" borderId="26" xfId="196" applyNumberFormat="1" applyFont="1" applyFill="1" applyBorder="1" applyAlignment="1">
      <alignment horizontal="center" vertical="center"/>
    </xf>
    <xf numFmtId="4" fontId="57" fillId="12" borderId="24" xfId="196" applyNumberFormat="1" applyFont="1" applyFill="1" applyBorder="1" applyAlignment="1">
      <alignment horizontal="center" vertical="center"/>
    </xf>
    <xf numFmtId="4" fontId="57" fillId="12" borderId="26" xfId="196" applyNumberFormat="1" applyFont="1" applyFill="1" applyBorder="1" applyAlignment="1">
      <alignment horizontal="center" vertical="center"/>
    </xf>
    <xf numFmtId="0" fontId="57" fillId="0" borderId="40" xfId="194" applyFont="1" applyBorder="1" applyAlignment="1">
      <alignment horizontal="center" vertical="center"/>
    </xf>
    <xf numFmtId="4" fontId="57" fillId="0" borderId="22" xfId="196" applyNumberFormat="1" applyFont="1" applyFill="1" applyBorder="1" applyAlignment="1">
      <alignment horizontal="center" vertical="center"/>
    </xf>
    <xf numFmtId="4" fontId="57" fillId="0" borderId="61" xfId="196" applyNumberFormat="1" applyFont="1" applyFill="1" applyBorder="1" applyAlignment="1">
      <alignment horizontal="center" vertical="center"/>
    </xf>
    <xf numFmtId="4" fontId="57" fillId="0" borderId="23" xfId="196" applyNumberFormat="1" applyFont="1" applyFill="1" applyBorder="1" applyAlignment="1">
      <alignment horizontal="center" vertical="center"/>
    </xf>
    <xf numFmtId="4" fontId="57" fillId="12" borderId="21" xfId="196" applyNumberFormat="1" applyFont="1" applyFill="1" applyBorder="1" applyAlignment="1">
      <alignment horizontal="center" vertical="center"/>
    </xf>
    <xf numFmtId="4" fontId="57" fillId="12" borderId="23" xfId="196" applyNumberFormat="1" applyFont="1" applyFill="1" applyBorder="1" applyAlignment="1">
      <alignment horizontal="center" vertical="center"/>
    </xf>
    <xf numFmtId="4" fontId="82" fillId="12" borderId="72" xfId="196" applyNumberFormat="1" applyFont="1" applyFill="1" applyBorder="1" applyAlignment="1">
      <alignment horizontal="center" vertical="center"/>
    </xf>
    <xf numFmtId="4" fontId="82" fillId="12" borderId="3" xfId="196" applyNumberFormat="1" applyFont="1" applyFill="1" applyBorder="1" applyAlignment="1">
      <alignment horizontal="center" vertical="center"/>
    </xf>
    <xf numFmtId="4" fontId="82" fillId="12" borderId="29" xfId="196" applyNumberFormat="1" applyFont="1" applyFill="1" applyBorder="1" applyAlignment="1">
      <alignment horizontal="center" vertical="center"/>
    </xf>
    <xf numFmtId="4" fontId="82" fillId="12" borderId="28" xfId="196" applyNumberFormat="1" applyFont="1" applyFill="1" applyBorder="1" applyAlignment="1">
      <alignment horizontal="center" vertical="center"/>
    </xf>
    <xf numFmtId="4" fontId="82" fillId="12" borderId="30" xfId="196" applyNumberFormat="1" applyFont="1" applyFill="1" applyBorder="1" applyAlignment="1">
      <alignment horizontal="center" vertical="center"/>
    </xf>
    <xf numFmtId="4" fontId="82" fillId="13" borderId="17" xfId="196" applyNumberFormat="1" applyFont="1" applyFill="1" applyBorder="1" applyAlignment="1">
      <alignment horizontal="center" vertical="center"/>
    </xf>
    <xf numFmtId="0" fontId="83" fillId="0" borderId="0" xfId="194" applyFont="1" applyAlignment="1">
      <alignment vertical="center"/>
    </xf>
    <xf numFmtId="0" fontId="82" fillId="0" borderId="0" xfId="194" applyFont="1" applyAlignment="1">
      <alignment vertical="center"/>
    </xf>
    <xf numFmtId="0" fontId="96" fillId="0" borderId="0" xfId="194" applyFont="1" applyAlignment="1">
      <alignment vertical="center"/>
    </xf>
    <xf numFmtId="0" fontId="13" fillId="0" borderId="0" xfId="194" applyAlignment="1">
      <alignment vertical="center"/>
    </xf>
    <xf numFmtId="0" fontId="82" fillId="0" borderId="0" xfId="194" applyFont="1" applyAlignment="1">
      <alignment horizontal="right" vertical="center"/>
    </xf>
    <xf numFmtId="0" fontId="82" fillId="0" borderId="0" xfId="194" applyFont="1" applyAlignment="1">
      <alignment horizontal="left" vertical="center"/>
    </xf>
    <xf numFmtId="4" fontId="82" fillId="0" borderId="0" xfId="196" applyNumberFormat="1" applyFont="1" applyFill="1" applyBorder="1" applyAlignment="1">
      <alignment horizontal="center" vertical="center"/>
    </xf>
    <xf numFmtId="0" fontId="97" fillId="0" borderId="0" xfId="194" applyFont="1" applyAlignment="1">
      <alignment vertical="center"/>
    </xf>
    <xf numFmtId="0" fontId="54" fillId="0" borderId="0" xfId="194" applyFont="1" applyAlignment="1">
      <alignment horizontal="right" vertical="center"/>
    </xf>
    <xf numFmtId="3" fontId="82" fillId="0" borderId="0" xfId="194" applyNumberFormat="1" applyFont="1" applyAlignment="1">
      <alignment horizontal="left" vertical="center"/>
    </xf>
    <xf numFmtId="0" fontId="96" fillId="0" borderId="0" xfId="194" applyFont="1" applyAlignment="1">
      <alignment horizontal="center" vertical="center"/>
    </xf>
    <xf numFmtId="0" fontId="12" fillId="0" borderId="82" xfId="183" applyFont="1" applyBorder="1" applyAlignment="1">
      <alignment horizontal="center" vertical="center"/>
    </xf>
    <xf numFmtId="0" fontId="12" fillId="0" borderId="85" xfId="183" applyFont="1" applyBorder="1" applyAlignment="1">
      <alignment horizontal="center" vertical="center"/>
    </xf>
    <xf numFmtId="0" fontId="12" fillId="0" borderId="88" xfId="183" applyFont="1" applyBorder="1" applyAlignment="1">
      <alignment horizontal="center" vertical="center"/>
    </xf>
    <xf numFmtId="0" fontId="49" fillId="0" borderId="6" xfId="177" applyFont="1" applyBorder="1" applyAlignment="1">
      <alignment vertical="center"/>
    </xf>
    <xf numFmtId="0" fontId="50" fillId="0" borderId="8" xfId="177" applyFont="1" applyBorder="1" applyAlignment="1">
      <alignment vertical="center"/>
    </xf>
    <xf numFmtId="0" fontId="50" fillId="0" borderId="8" xfId="177" applyFont="1" applyBorder="1" applyAlignment="1">
      <alignment horizontal="left" vertical="center"/>
    </xf>
    <xf numFmtId="0" fontId="49" fillId="11" borderId="8" xfId="177" applyFont="1" applyFill="1" applyBorder="1" applyAlignment="1">
      <alignment horizontal="left" vertical="center"/>
    </xf>
    <xf numFmtId="0" fontId="50" fillId="11" borderId="9" xfId="177" applyFont="1" applyFill="1" applyBorder="1" applyAlignment="1">
      <alignment vertical="center"/>
    </xf>
    <xf numFmtId="0" fontId="49" fillId="0" borderId="54" xfId="177" applyFont="1" applyBorder="1" applyAlignment="1">
      <alignment vertical="center"/>
    </xf>
    <xf numFmtId="0" fontId="50" fillId="0" borderId="0" xfId="177" applyFont="1" applyAlignment="1">
      <alignment vertical="center"/>
    </xf>
    <xf numFmtId="0" fontId="49" fillId="11" borderId="0" xfId="177" applyFont="1" applyFill="1" applyAlignment="1">
      <alignment horizontal="left" vertical="center"/>
    </xf>
    <xf numFmtId="0" fontId="50" fillId="11" borderId="55" xfId="177" applyFont="1" applyFill="1" applyBorder="1" applyAlignment="1">
      <alignment vertical="center"/>
    </xf>
    <xf numFmtId="0" fontId="50" fillId="0" borderId="0" xfId="177" applyFont="1" applyAlignment="1">
      <alignment vertical="center" wrapText="1"/>
    </xf>
    <xf numFmtId="4" fontId="49" fillId="11" borderId="0" xfId="177" applyNumberFormat="1" applyFont="1" applyFill="1" applyAlignment="1">
      <alignment horizontal="left" vertical="center"/>
    </xf>
    <xf numFmtId="0" fontId="66" fillId="11" borderId="55" xfId="177" applyFont="1" applyFill="1" applyBorder="1" applyAlignment="1">
      <alignment vertical="center"/>
    </xf>
    <xf numFmtId="0" fontId="49" fillId="0" borderId="52" xfId="177" applyFont="1" applyBorder="1" applyAlignment="1">
      <alignment vertical="center"/>
    </xf>
    <xf numFmtId="0" fontId="50" fillId="0" borderId="38" xfId="177" applyFont="1" applyBorder="1" applyAlignment="1">
      <alignment vertical="center"/>
    </xf>
    <xf numFmtId="0" fontId="49" fillId="11" borderId="38" xfId="177" applyFont="1" applyFill="1" applyBorder="1" applyAlignment="1">
      <alignment horizontal="left" vertical="center"/>
    </xf>
    <xf numFmtId="0" fontId="66" fillId="11" borderId="53" xfId="177" applyFont="1" applyFill="1" applyBorder="1" applyAlignment="1">
      <alignment vertical="center"/>
    </xf>
    <xf numFmtId="2" fontId="19" fillId="0" borderId="136" xfId="12" applyNumberFormat="1" applyFont="1" applyBorder="1" applyAlignment="1">
      <alignment horizontal="center" vertical="center"/>
    </xf>
    <xf numFmtId="2" fontId="19" fillId="0" borderId="140" xfId="12" applyNumberFormat="1" applyFont="1" applyBorder="1" applyAlignment="1">
      <alignment horizontal="center" vertical="center"/>
    </xf>
    <xf numFmtId="0" fontId="53" fillId="2" borderId="0" xfId="12" applyFont="1" applyFill="1" applyAlignment="1">
      <alignment horizontal="left" vertical="center"/>
    </xf>
    <xf numFmtId="49" fontId="91" fillId="0" borderId="0" xfId="175" applyNumberFormat="1" applyFont="1" applyAlignment="1">
      <alignment vertical="center"/>
    </xf>
    <xf numFmtId="0" fontId="106" fillId="0" borderId="0" xfId="175" applyFont="1" applyAlignment="1">
      <alignment vertical="center"/>
    </xf>
    <xf numFmtId="0" fontId="80" fillId="4" borderId="145" xfId="183" applyFont="1" applyFill="1" applyBorder="1" applyAlignment="1">
      <alignment horizontal="center" vertical="center"/>
    </xf>
    <xf numFmtId="0" fontId="80" fillId="4" borderId="146" xfId="183" applyFont="1" applyFill="1" applyBorder="1" applyAlignment="1">
      <alignment horizontal="center" vertical="center"/>
    </xf>
    <xf numFmtId="0" fontId="80" fillId="4" borderId="147" xfId="183" applyFont="1" applyFill="1" applyBorder="1" applyAlignment="1">
      <alignment horizontal="center" vertical="center"/>
    </xf>
    <xf numFmtId="4" fontId="17" fillId="0" borderId="13" xfId="183" applyNumberFormat="1" applyBorder="1" applyAlignment="1">
      <alignment horizontal="center" vertical="center"/>
    </xf>
    <xf numFmtId="4" fontId="17" fillId="0" borderId="14" xfId="183" applyNumberFormat="1" applyBorder="1" applyAlignment="1">
      <alignment horizontal="center" vertical="center"/>
    </xf>
    <xf numFmtId="0" fontId="10" fillId="0" borderId="19" xfId="183" applyFont="1" applyBorder="1" applyAlignment="1">
      <alignment horizontal="center" vertical="center"/>
    </xf>
    <xf numFmtId="4" fontId="57" fillId="0" borderId="19" xfId="196" applyNumberFormat="1" applyFont="1" applyFill="1" applyBorder="1" applyAlignment="1">
      <alignment horizontal="center" vertical="center"/>
    </xf>
    <xf numFmtId="4" fontId="57" fillId="0" borderId="20" xfId="196" applyNumberFormat="1" applyFont="1" applyFill="1" applyBorder="1" applyAlignment="1">
      <alignment horizontal="center" vertical="center"/>
    </xf>
    <xf numFmtId="4" fontId="57" fillId="0" borderId="24" xfId="196" applyNumberFormat="1" applyFont="1" applyFill="1" applyBorder="1" applyAlignment="1">
      <alignment horizontal="center" vertical="center"/>
    </xf>
    <xf numFmtId="4" fontId="57" fillId="0" borderId="21" xfId="196" applyNumberFormat="1" applyFont="1" applyFill="1" applyBorder="1" applyAlignment="1">
      <alignment horizontal="center" vertical="center"/>
    </xf>
    <xf numFmtId="4" fontId="57" fillId="0" borderId="13" xfId="8" applyNumberFormat="1" applyFont="1" applyBorder="1" applyAlignment="1">
      <alignment horizontal="center" vertical="center"/>
    </xf>
    <xf numFmtId="4" fontId="57" fillId="0" borderId="36" xfId="8" applyNumberFormat="1" applyFont="1" applyBorder="1" applyAlignment="1">
      <alignment horizontal="center" vertical="center"/>
    </xf>
    <xf numFmtId="4" fontId="57" fillId="0" borderId="25" xfId="8" applyNumberFormat="1" applyFont="1" applyBorder="1" applyAlignment="1">
      <alignment horizontal="center" vertical="center"/>
    </xf>
    <xf numFmtId="4" fontId="57" fillId="0" borderId="22" xfId="8" applyNumberFormat="1" applyFont="1" applyBorder="1" applyAlignment="1">
      <alignment horizontal="center" vertical="center"/>
    </xf>
    <xf numFmtId="4" fontId="57" fillId="0" borderId="59" xfId="8" applyNumberFormat="1" applyFont="1" applyBorder="1" applyAlignment="1">
      <alignment horizontal="center" vertical="center"/>
    </xf>
    <xf numFmtId="3" fontId="57" fillId="0" borderId="12" xfId="6" applyNumberFormat="1" applyFont="1" applyBorder="1" applyAlignment="1">
      <alignment horizontal="center" vertical="center"/>
    </xf>
    <xf numFmtId="3" fontId="57" fillId="0" borderId="48" xfId="6" applyNumberFormat="1" applyFont="1" applyBorder="1" applyAlignment="1">
      <alignment horizontal="center" vertical="center"/>
    </xf>
    <xf numFmtId="3" fontId="57" fillId="0" borderId="43" xfId="6" applyNumberFormat="1" applyFont="1" applyBorder="1" applyAlignment="1">
      <alignment horizontal="center" vertical="center"/>
    </xf>
    <xf numFmtId="3" fontId="57" fillId="0" borderId="39" xfId="6" applyNumberFormat="1" applyFont="1" applyBorder="1" applyAlignment="1">
      <alignment horizontal="center" vertical="center"/>
    </xf>
    <xf numFmtId="0" fontId="50" fillId="0" borderId="0" xfId="7" applyFont="1" applyAlignment="1">
      <alignment horizontal="center" vertical="center"/>
    </xf>
    <xf numFmtId="43" fontId="50" fillId="0" borderId="0" xfId="7" applyNumberFormat="1" applyFont="1" applyAlignment="1">
      <alignment vertical="center"/>
    </xf>
    <xf numFmtId="43" fontId="50" fillId="0" borderId="0" xfId="7" applyNumberFormat="1" applyFont="1" applyAlignment="1">
      <alignment horizontal="center" vertical="center"/>
    </xf>
    <xf numFmtId="2" fontId="50" fillId="0" borderId="0" xfId="7" applyNumberFormat="1" applyFont="1" applyAlignment="1">
      <alignment vertical="center"/>
    </xf>
    <xf numFmtId="0" fontId="49" fillId="4" borderId="19" xfId="7" applyFont="1" applyFill="1" applyBorder="1" applyAlignment="1">
      <alignment horizontal="center" vertical="center" wrapText="1"/>
    </xf>
    <xf numFmtId="0" fontId="49" fillId="4" borderId="14" xfId="7" applyFont="1" applyFill="1" applyBorder="1" applyAlignment="1">
      <alignment horizontal="center" vertical="center" wrapText="1"/>
    </xf>
    <xf numFmtId="0" fontId="49" fillId="4" borderId="13" xfId="7" applyFont="1" applyFill="1" applyBorder="1" applyAlignment="1">
      <alignment horizontal="center" vertical="center" wrapText="1"/>
    </xf>
    <xf numFmtId="0" fontId="49" fillId="4" borderId="13" xfId="8" applyFont="1" applyFill="1" applyBorder="1" applyAlignment="1">
      <alignment horizontal="center" vertical="center" wrapText="1"/>
    </xf>
    <xf numFmtId="0" fontId="49" fillId="4" borderId="14" xfId="8" applyFont="1" applyFill="1" applyBorder="1" applyAlignment="1">
      <alignment horizontal="center" vertical="center" wrapText="1"/>
    </xf>
    <xf numFmtId="0" fontId="49" fillId="4" borderId="20" xfId="8" applyFont="1" applyFill="1" applyBorder="1" applyAlignment="1">
      <alignment horizontal="center" vertical="center" wrapText="1"/>
    </xf>
    <xf numFmtId="0" fontId="49" fillId="4" borderId="36" xfId="8" applyFont="1" applyFill="1" applyBorder="1" applyAlignment="1">
      <alignment horizontal="center" vertical="center" wrapText="1"/>
    </xf>
    <xf numFmtId="0" fontId="49" fillId="4" borderId="37" xfId="8" applyFont="1" applyFill="1" applyBorder="1" applyAlignment="1">
      <alignment horizontal="center" vertical="center" wrapText="1"/>
    </xf>
    <xf numFmtId="3" fontId="50" fillId="0" borderId="13" xfId="8" applyNumberFormat="1" applyFont="1" applyBorder="1" applyAlignment="1">
      <alignment horizontal="center" vertical="center"/>
    </xf>
    <xf numFmtId="0" fontId="50" fillId="0" borderId="13" xfId="8" applyFont="1" applyBorder="1" applyAlignment="1">
      <alignment vertical="center"/>
    </xf>
    <xf numFmtId="4" fontId="50" fillId="0" borderId="13" xfId="8" applyNumberFormat="1" applyFont="1" applyBorder="1" applyAlignment="1">
      <alignment horizontal="center" vertical="center"/>
    </xf>
    <xf numFmtId="4" fontId="50" fillId="0" borderId="15" xfId="8" applyNumberFormat="1" applyFont="1" applyBorder="1" applyAlignment="1">
      <alignment horizontal="center" vertical="center"/>
    </xf>
    <xf numFmtId="4" fontId="50" fillId="0" borderId="46" xfId="8" applyNumberFormat="1" applyFont="1" applyBorder="1" applyAlignment="1">
      <alignment horizontal="center" vertical="center"/>
    </xf>
    <xf numFmtId="4" fontId="50" fillId="0" borderId="34" xfId="8" applyNumberFormat="1" applyFont="1" applyBorder="1" applyAlignment="1">
      <alignment horizontal="center" vertical="center"/>
    </xf>
    <xf numFmtId="4" fontId="50" fillId="0" borderId="35" xfId="8" applyNumberFormat="1" applyFont="1" applyBorder="1" applyAlignment="1">
      <alignment horizontal="center" vertical="center"/>
    </xf>
    <xf numFmtId="4" fontId="50" fillId="0" borderId="19" xfId="8" applyNumberFormat="1" applyFont="1" applyBorder="1" applyAlignment="1">
      <alignment horizontal="center" vertical="center"/>
    </xf>
    <xf numFmtId="4" fontId="50" fillId="0" borderId="14" xfId="8" applyNumberFormat="1" applyFont="1" applyBorder="1" applyAlignment="1">
      <alignment horizontal="center" vertical="center"/>
    </xf>
    <xf numFmtId="4" fontId="50" fillId="0" borderId="19" xfId="9" applyNumberFormat="1" applyFont="1" applyFill="1" applyBorder="1" applyAlignment="1">
      <alignment horizontal="center" vertical="center"/>
    </xf>
    <xf numFmtId="4" fontId="50" fillId="0" borderId="14" xfId="9" applyNumberFormat="1" applyFont="1" applyFill="1" applyBorder="1" applyAlignment="1">
      <alignment horizontal="center" vertical="center"/>
    </xf>
    <xf numFmtId="4" fontId="50" fillId="0" borderId="13" xfId="9" applyNumberFormat="1" applyFont="1" applyFill="1" applyBorder="1" applyAlignment="1">
      <alignment horizontal="center" vertical="center"/>
    </xf>
    <xf numFmtId="4" fontId="50" fillId="0" borderId="12" xfId="7" applyNumberFormat="1" applyFont="1" applyBorder="1" applyAlignment="1">
      <alignment horizontal="center" vertical="center" wrapText="1"/>
    </xf>
    <xf numFmtId="4" fontId="50" fillId="0" borderId="13" xfId="7" applyNumberFormat="1" applyFont="1" applyBorder="1" applyAlignment="1">
      <alignment horizontal="center" vertical="center" wrapText="1"/>
    </xf>
    <xf numFmtId="4" fontId="50" fillId="0" borderId="13" xfId="198" applyNumberFormat="1" applyFont="1" applyBorder="1" applyAlignment="1">
      <alignment horizontal="center" vertical="center"/>
    </xf>
    <xf numFmtId="4" fontId="50" fillId="0" borderId="15" xfId="7" applyNumberFormat="1" applyFont="1" applyBorder="1" applyAlignment="1">
      <alignment horizontal="center" vertical="center" wrapText="1"/>
    </xf>
    <xf numFmtId="4" fontId="50" fillId="0" borderId="14" xfId="7" applyNumberFormat="1" applyFont="1" applyBorder="1" applyAlignment="1">
      <alignment horizontal="center" vertical="center" wrapText="1"/>
    </xf>
    <xf numFmtId="0" fontId="50" fillId="0" borderId="13" xfId="8" applyFont="1" applyBorder="1" applyAlignment="1">
      <alignment horizontal="center" vertical="center"/>
    </xf>
    <xf numFmtId="4" fontId="49" fillId="0" borderId="32" xfId="9" applyNumberFormat="1" applyFont="1" applyFill="1" applyBorder="1" applyAlignment="1">
      <alignment horizontal="center" vertical="center"/>
    </xf>
    <xf numFmtId="4" fontId="49" fillId="0" borderId="59" xfId="9" applyNumberFormat="1" applyFont="1" applyFill="1" applyBorder="1" applyAlignment="1">
      <alignment horizontal="center" vertical="center"/>
    </xf>
    <xf numFmtId="4" fontId="49" fillId="0" borderId="62" xfId="9" applyNumberFormat="1" applyFont="1" applyFill="1" applyBorder="1" applyAlignment="1">
      <alignment horizontal="center" vertical="center"/>
    </xf>
    <xf numFmtId="43" fontId="49" fillId="0" borderId="0" xfId="9" applyFont="1" applyFill="1" applyAlignment="1">
      <alignment vertical="center"/>
    </xf>
    <xf numFmtId="43" fontId="49" fillId="0" borderId="0" xfId="9" applyFont="1" applyFill="1" applyAlignment="1">
      <alignment horizontal="center" vertical="center"/>
    </xf>
    <xf numFmtId="2" fontId="49" fillId="0" borderId="0" xfId="9" applyNumberFormat="1" applyFont="1" applyFill="1" applyAlignment="1">
      <alignment vertical="center"/>
    </xf>
    <xf numFmtId="4" fontId="49" fillId="0" borderId="0" xfId="9" applyNumberFormat="1" applyFont="1" applyFill="1" applyAlignment="1">
      <alignment horizontal="right" vertical="center"/>
    </xf>
    <xf numFmtId="4" fontId="50" fillId="0" borderId="0" xfId="7" applyNumberFormat="1" applyFont="1" applyAlignment="1">
      <alignment vertical="center"/>
    </xf>
    <xf numFmtId="0" fontId="75" fillId="0" borderId="0" xfId="7" applyFont="1" applyAlignment="1">
      <alignment horizontal="left" vertical="center"/>
    </xf>
    <xf numFmtId="0" fontId="50" fillId="2" borderId="0" xfId="7" applyFont="1" applyFill="1" applyAlignment="1">
      <alignment vertical="center"/>
    </xf>
    <xf numFmtId="4" fontId="50" fillId="0" borderId="0" xfId="198" applyNumberFormat="1" applyFont="1" applyAlignment="1">
      <alignment vertical="center"/>
    </xf>
    <xf numFmtId="0" fontId="83" fillId="0" borderId="0" xfId="199" applyFont="1" applyAlignment="1">
      <alignment horizontal="center" wrapText="1"/>
    </xf>
    <xf numFmtId="0" fontId="54" fillId="4" borderId="3" xfId="199" applyFont="1" applyFill="1" applyBorder="1" applyAlignment="1">
      <alignment horizontal="center" vertical="center" wrapText="1"/>
    </xf>
    <xf numFmtId="0" fontId="54" fillId="4" borderId="4" xfId="199" applyFont="1" applyFill="1" applyBorder="1" applyAlignment="1">
      <alignment horizontal="center" vertical="center" wrapText="1"/>
    </xf>
    <xf numFmtId="0" fontId="54" fillId="4" borderId="5" xfId="199" applyFont="1" applyFill="1" applyBorder="1" applyAlignment="1">
      <alignment horizontal="center" vertical="center" wrapText="1"/>
    </xf>
    <xf numFmtId="0" fontId="82" fillId="0" borderId="149" xfId="199" applyFont="1" applyBorder="1" applyAlignment="1">
      <alignment horizontal="left" vertical="center" wrapText="1"/>
    </xf>
    <xf numFmtId="0" fontId="82" fillId="0" borderId="148" xfId="199" applyFont="1" applyBorder="1" applyAlignment="1">
      <alignment horizontal="center" vertical="center" wrapText="1"/>
    </xf>
    <xf numFmtId="4" fontId="82" fillId="0" borderId="148" xfId="199" applyNumberFormat="1" applyFont="1" applyBorder="1" applyAlignment="1">
      <alignment horizontal="center" vertical="center" wrapText="1"/>
    </xf>
    <xf numFmtId="0" fontId="82" fillId="0" borderId="71" xfId="199" applyFont="1" applyBorder="1" applyAlignment="1">
      <alignment horizontal="left" vertical="center" wrapText="1"/>
    </xf>
    <xf numFmtId="0" fontId="82" fillId="0" borderId="1" xfId="199" applyFont="1" applyBorder="1" applyAlignment="1">
      <alignment horizontal="center" vertical="center" wrapText="1"/>
    </xf>
    <xf numFmtId="4" fontId="82" fillId="0" borderId="1" xfId="199" applyNumberFormat="1" applyFont="1" applyBorder="1" applyAlignment="1">
      <alignment horizontal="center" vertical="center" wrapText="1"/>
    </xf>
    <xf numFmtId="4" fontId="82" fillId="0" borderId="151" xfId="199" applyNumberFormat="1" applyFont="1" applyBorder="1" applyAlignment="1">
      <alignment horizontal="center" vertical="center" wrapText="1"/>
    </xf>
    <xf numFmtId="4" fontId="82" fillId="0" borderId="16" xfId="199" applyNumberFormat="1" applyFont="1" applyBorder="1" applyAlignment="1">
      <alignment horizontal="left" vertical="center" wrapText="1"/>
    </xf>
    <xf numFmtId="4" fontId="82" fillId="0" borderId="2" xfId="199" applyNumberFormat="1" applyFont="1" applyBorder="1" applyAlignment="1">
      <alignment horizontal="center" vertical="center" wrapText="1"/>
    </xf>
    <xf numFmtId="4" fontId="82" fillId="0" borderId="33" xfId="199" applyNumberFormat="1" applyFont="1" applyBorder="1" applyAlignment="1">
      <alignment horizontal="center" vertical="center" wrapText="1"/>
    </xf>
    <xf numFmtId="4" fontId="82" fillId="0" borderId="71" xfId="199" applyNumberFormat="1" applyFont="1" applyBorder="1" applyAlignment="1">
      <alignment horizontal="left" vertical="center" wrapText="1"/>
    </xf>
    <xf numFmtId="4" fontId="83" fillId="0" borderId="0" xfId="199" applyNumberFormat="1" applyFont="1" applyAlignment="1">
      <alignment horizontal="center" wrapText="1"/>
    </xf>
    <xf numFmtId="0" fontId="107" fillId="12" borderId="9" xfId="199" applyFont="1" applyFill="1" applyBorder="1" applyAlignment="1">
      <alignment horizontal="left" vertical="center" wrapText="1"/>
    </xf>
    <xf numFmtId="0" fontId="107" fillId="12" borderId="55" xfId="199" applyFont="1" applyFill="1" applyBorder="1" applyAlignment="1">
      <alignment horizontal="left" vertical="center" wrapText="1"/>
    </xf>
    <xf numFmtId="4" fontId="107" fillId="12" borderId="38" xfId="199" applyNumberFormat="1" applyFont="1" applyFill="1" applyBorder="1" applyAlignment="1">
      <alignment horizontal="right" vertical="center" wrapText="1"/>
    </xf>
    <xf numFmtId="0" fontId="107" fillId="12" borderId="53" xfId="199" applyFont="1" applyFill="1" applyBorder="1" applyAlignment="1">
      <alignment horizontal="left" vertical="center" wrapText="1"/>
    </xf>
    <xf numFmtId="4" fontId="82" fillId="0" borderId="0" xfId="199" applyNumberFormat="1" applyFont="1" applyAlignment="1">
      <alignment vertical="center" wrapText="1"/>
    </xf>
    <xf numFmtId="4" fontId="82" fillId="0" borderId="0" xfId="199" applyNumberFormat="1" applyFont="1" applyAlignment="1">
      <alignment horizontal="center" vertical="center" wrapText="1"/>
    </xf>
    <xf numFmtId="4" fontId="54" fillId="0" borderId="2" xfId="199" applyNumberFormat="1" applyFont="1" applyBorder="1" applyAlignment="1">
      <alignment horizontal="center" vertical="center" wrapText="1"/>
    </xf>
    <xf numFmtId="175" fontId="83" fillId="0" borderId="0" xfId="67" applyNumberFormat="1" applyFont="1" applyAlignment="1">
      <alignment horizontal="center" wrapText="1"/>
    </xf>
    <xf numFmtId="4" fontId="82" fillId="2" borderId="71" xfId="199" applyNumberFormat="1" applyFont="1" applyFill="1" applyBorder="1" applyAlignment="1">
      <alignment horizontal="center" vertical="center" wrapText="1"/>
    </xf>
    <xf numFmtId="4" fontId="82" fillId="2" borderId="1" xfId="199" applyNumberFormat="1" applyFont="1" applyFill="1" applyBorder="1" applyAlignment="1">
      <alignment horizontal="center" vertical="center" wrapText="1"/>
    </xf>
    <xf numFmtId="164" fontId="82" fillId="2" borderId="1" xfId="199" applyNumberFormat="1" applyFont="1" applyFill="1" applyBorder="1" applyAlignment="1">
      <alignment horizontal="center" vertical="center" wrapText="1"/>
    </xf>
    <xf numFmtId="4" fontId="82" fillId="2" borderId="151" xfId="199" applyNumberFormat="1" applyFont="1" applyFill="1" applyBorder="1" applyAlignment="1">
      <alignment horizontal="center" vertical="center" wrapText="1"/>
    </xf>
    <xf numFmtId="0" fontId="80" fillId="4" borderId="19" xfId="49" applyFont="1" applyFill="1" applyBorder="1" applyAlignment="1">
      <alignment horizontal="center" vertical="center"/>
    </xf>
    <xf numFmtId="0" fontId="80" fillId="4" borderId="13" xfId="49" applyFont="1" applyFill="1" applyBorder="1" applyAlignment="1">
      <alignment horizontal="center" vertical="center" wrapText="1"/>
    </xf>
    <xf numFmtId="0" fontId="105" fillId="4" borderId="13" xfId="49" applyFont="1" applyFill="1" applyBorder="1" applyAlignment="1">
      <alignment horizontal="center" vertical="center" wrapText="1"/>
    </xf>
    <xf numFmtId="0" fontId="105" fillId="4" borderId="14" xfId="49" applyFont="1" applyFill="1" applyBorder="1" applyAlignment="1">
      <alignment horizontal="center" vertical="center" wrapText="1"/>
    </xf>
    <xf numFmtId="0" fontId="80" fillId="0" borderId="0" xfId="49" applyFont="1" applyAlignment="1">
      <alignment vertical="center"/>
    </xf>
    <xf numFmtId="0" fontId="64" fillId="0" borderId="13" xfId="0" applyFont="1" applyBorder="1" applyAlignment="1">
      <alignment horizontal="center" vertical="top"/>
    </xf>
    <xf numFmtId="0" fontId="64" fillId="0" borderId="19" xfId="0" applyFont="1" applyBorder="1" applyAlignment="1">
      <alignment horizontal="left" vertical="top"/>
    </xf>
    <xf numFmtId="2" fontId="64" fillId="0" borderId="36" xfId="0" applyNumberFormat="1" applyFont="1" applyBorder="1" applyAlignment="1">
      <alignment horizontal="center" vertical="center"/>
    </xf>
    <xf numFmtId="2" fontId="64" fillId="0" borderId="13" xfId="0" applyNumberFormat="1" applyFont="1" applyBorder="1" applyAlignment="1">
      <alignment horizontal="center" vertical="center"/>
    </xf>
    <xf numFmtId="0" fontId="64" fillId="0" borderId="14" xfId="0" applyFont="1" applyBorder="1" applyAlignment="1">
      <alignment horizontal="center" vertical="center"/>
    </xf>
    <xf numFmtId="0" fontId="64" fillId="0" borderId="13" xfId="0" applyFont="1" applyBorder="1" applyAlignment="1">
      <alignment horizontal="center" vertical="center"/>
    </xf>
    <xf numFmtId="2" fontId="50" fillId="0" borderId="25" xfId="16" applyNumberFormat="1" applyFont="1" applyFill="1" applyBorder="1" applyAlignment="1">
      <alignment vertical="center"/>
    </xf>
    <xf numFmtId="2" fontId="50" fillId="0" borderId="13" xfId="16" applyNumberFormat="1" applyFont="1" applyFill="1" applyBorder="1" applyAlignment="1">
      <alignment vertical="center"/>
    </xf>
    <xf numFmtId="2" fontId="50" fillId="0" borderId="22" xfId="16" applyNumberFormat="1" applyFont="1" applyFill="1" applyBorder="1" applyAlignment="1">
      <alignment vertical="center"/>
    </xf>
    <xf numFmtId="0" fontId="55" fillId="0" borderId="0" xfId="184" applyFont="1" applyAlignment="1">
      <alignment horizontal="center" vertical="center"/>
    </xf>
    <xf numFmtId="4" fontId="64" fillId="0" borderId="0" xfId="6" applyNumberFormat="1" applyFont="1" applyAlignment="1">
      <alignment vertical="center"/>
    </xf>
    <xf numFmtId="0" fontId="50" fillId="0" borderId="19" xfId="8" applyFont="1" applyBorder="1" applyAlignment="1">
      <alignment horizontal="center" vertical="center" wrapText="1"/>
    </xf>
    <xf numFmtId="0" fontId="57" fillId="0" borderId="0" xfId="23" applyFont="1" applyAlignment="1">
      <alignment vertical="center"/>
    </xf>
    <xf numFmtId="0" fontId="54" fillId="16" borderId="0" xfId="23" applyFont="1" applyFill="1" applyAlignment="1">
      <alignment horizontal="right" vertical="center" wrapText="1"/>
    </xf>
    <xf numFmtId="0" fontId="57" fillId="0" borderId="0" xfId="23" applyFont="1" applyAlignment="1">
      <alignment vertical="top"/>
    </xf>
    <xf numFmtId="4" fontId="54" fillId="16" borderId="0" xfId="23" applyNumberFormat="1" applyFont="1" applyFill="1" applyAlignment="1">
      <alignment vertical="top" wrapText="1"/>
    </xf>
    <xf numFmtId="10" fontId="54" fillId="16" borderId="0" xfId="23" applyNumberFormat="1" applyFont="1" applyFill="1" applyAlignment="1">
      <alignment vertical="top" wrapText="1"/>
    </xf>
    <xf numFmtId="0" fontId="54" fillId="16" borderId="0" xfId="23" applyFont="1" applyFill="1" applyAlignment="1">
      <alignment vertical="top" wrapText="1"/>
    </xf>
    <xf numFmtId="0" fontId="54" fillId="16" borderId="0" xfId="23" applyFont="1" applyFill="1" applyAlignment="1">
      <alignment horizontal="right" vertical="top" wrapText="1"/>
    </xf>
    <xf numFmtId="0" fontId="54" fillId="16" borderId="0" xfId="23" applyFont="1" applyFill="1" applyAlignment="1">
      <alignment horizontal="center" vertical="top" wrapText="1"/>
    </xf>
    <xf numFmtId="0" fontId="54" fillId="16" borderId="92" xfId="24" applyFont="1" applyFill="1" applyBorder="1" applyAlignment="1">
      <alignment horizontal="left" vertical="center" wrapText="1"/>
    </xf>
    <xf numFmtId="0" fontId="54" fillId="16" borderId="92" xfId="24" applyFont="1" applyFill="1" applyBorder="1" applyAlignment="1">
      <alignment horizontal="right" vertical="center" wrapText="1"/>
    </xf>
    <xf numFmtId="2" fontId="54" fillId="16" borderId="92" xfId="24" applyNumberFormat="1" applyFont="1" applyFill="1" applyBorder="1" applyAlignment="1">
      <alignment horizontal="center" vertical="center" wrapText="1"/>
    </xf>
    <xf numFmtId="0" fontId="54" fillId="16" borderId="92" xfId="24" applyFont="1" applyFill="1" applyBorder="1" applyAlignment="1">
      <alignment horizontal="center" vertical="center" wrapText="1"/>
    </xf>
    <xf numFmtId="0" fontId="54" fillId="16" borderId="96" xfId="24" applyFont="1" applyFill="1" applyBorder="1" applyAlignment="1">
      <alignment horizontal="right" vertical="center" wrapText="1"/>
    </xf>
    <xf numFmtId="0" fontId="54" fillId="16" borderId="97" xfId="24" applyFont="1" applyFill="1" applyBorder="1" applyAlignment="1">
      <alignment horizontal="right" vertical="center" wrapText="1"/>
    </xf>
    <xf numFmtId="10" fontId="54" fillId="16" borderId="92" xfId="24" applyNumberFormat="1" applyFont="1" applyFill="1" applyBorder="1" applyAlignment="1">
      <alignment horizontal="right" vertical="center" wrapText="1"/>
    </xf>
    <xf numFmtId="0" fontId="54" fillId="16" borderId="98" xfId="24" applyFont="1" applyFill="1" applyBorder="1" applyAlignment="1">
      <alignment horizontal="right" vertical="center" wrapText="1"/>
    </xf>
    <xf numFmtId="0" fontId="108" fillId="17" borderId="92" xfId="6" applyFont="1" applyFill="1" applyBorder="1" applyAlignment="1">
      <alignment horizontal="left" vertical="top" wrapText="1"/>
    </xf>
    <xf numFmtId="2" fontId="104" fillId="17" borderId="92" xfId="6" applyNumberFormat="1" applyFont="1" applyFill="1" applyBorder="1" applyAlignment="1">
      <alignment horizontal="center" vertical="top" wrapText="1"/>
    </xf>
    <xf numFmtId="0" fontId="108" fillId="17" borderId="97" xfId="6" applyFont="1" applyFill="1" applyBorder="1" applyAlignment="1">
      <alignment horizontal="left" vertical="top" wrapText="1"/>
    </xf>
    <xf numFmtId="10" fontId="108" fillId="17" borderId="92" xfId="6" applyNumberFormat="1" applyFont="1" applyFill="1" applyBorder="1" applyAlignment="1">
      <alignment horizontal="left" vertical="top" wrapText="1"/>
    </xf>
    <xf numFmtId="4" fontId="108" fillId="17" borderId="92" xfId="6" applyNumberFormat="1" applyFont="1" applyFill="1" applyBorder="1" applyAlignment="1">
      <alignment horizontal="right" vertical="top" wrapText="1"/>
    </xf>
    <xf numFmtId="2" fontId="57" fillId="0" borderId="0" xfId="23" applyNumberFormat="1" applyFont="1" applyAlignment="1">
      <alignment vertical="center"/>
    </xf>
    <xf numFmtId="0" fontId="104" fillId="0" borderId="0" xfId="6" applyFont="1"/>
    <xf numFmtId="10" fontId="57" fillId="0" borderId="0" xfId="23" applyNumberFormat="1" applyFont="1" applyAlignment="1">
      <alignment vertical="center"/>
    </xf>
    <xf numFmtId="0" fontId="57" fillId="0" borderId="0" xfId="23" applyFont="1" applyAlignment="1">
      <alignment horizontal="right" vertical="center"/>
    </xf>
    <xf numFmtId="0" fontId="91" fillId="0" borderId="3" xfId="0" applyFont="1" applyBorder="1" applyAlignment="1">
      <alignment vertical="top"/>
    </xf>
    <xf numFmtId="0" fontId="91" fillId="0" borderId="4" xfId="0" applyFont="1" applyBorder="1" applyAlignment="1">
      <alignment vertical="top"/>
    </xf>
    <xf numFmtId="0" fontId="75" fillId="0" borderId="13" xfId="184" applyFont="1" applyBorder="1" applyAlignment="1">
      <alignment horizontal="center" vertical="center"/>
    </xf>
    <xf numFmtId="4" fontId="75" fillId="0" borderId="13" xfId="184" applyNumberFormat="1" applyFont="1" applyBorder="1" applyAlignment="1">
      <alignment horizontal="center" vertical="center"/>
    </xf>
    <xf numFmtId="166" fontId="57" fillId="2" borderId="56" xfId="12" applyNumberFormat="1" applyFont="1" applyFill="1" applyBorder="1" applyAlignment="1">
      <alignment horizontal="center" vertical="center"/>
    </xf>
    <xf numFmtId="166" fontId="57" fillId="2" borderId="15" xfId="12" applyNumberFormat="1" applyFont="1" applyFill="1" applyBorder="1" applyAlignment="1">
      <alignment horizontal="center" vertical="center"/>
    </xf>
    <xf numFmtId="166" fontId="57" fillId="2" borderId="61" xfId="12" applyNumberFormat="1" applyFont="1" applyFill="1" applyBorder="1" applyAlignment="1">
      <alignment horizontal="center" vertical="center"/>
    </xf>
    <xf numFmtId="0" fontId="54" fillId="2" borderId="17" xfId="12" applyFont="1" applyFill="1" applyBorder="1" applyAlignment="1">
      <alignment horizontal="left" vertical="center"/>
    </xf>
    <xf numFmtId="0" fontId="54" fillId="2" borderId="27" xfId="12" applyFont="1" applyFill="1" applyBorder="1" applyAlignment="1">
      <alignment horizontal="left" vertical="center"/>
    </xf>
    <xf numFmtId="2" fontId="82" fillId="0" borderId="10" xfId="63" applyNumberFormat="1" applyFont="1" applyBorder="1" applyAlignment="1">
      <alignment horizontal="center"/>
    </xf>
    <xf numFmtId="2" fontId="82" fillId="0" borderId="27" xfId="103" applyNumberFormat="1" applyFont="1" applyBorder="1" applyAlignment="1">
      <alignment horizontal="center"/>
    </xf>
    <xf numFmtId="0" fontId="49" fillId="0" borderId="0" xfId="9" applyNumberFormat="1" applyFont="1" applyFill="1" applyAlignment="1">
      <alignment horizontal="right" vertical="center"/>
    </xf>
    <xf numFmtId="0" fontId="49" fillId="0" borderId="0" xfId="9" applyNumberFormat="1" applyFont="1" applyFill="1" applyAlignment="1">
      <alignment vertical="center"/>
    </xf>
    <xf numFmtId="0" fontId="49" fillId="0" borderId="0" xfId="9" applyNumberFormat="1" applyFont="1" applyFill="1" applyAlignment="1">
      <alignment horizontal="left" vertical="center"/>
    </xf>
    <xf numFmtId="0" fontId="49" fillId="2" borderId="0" xfId="12" applyFont="1" applyFill="1"/>
    <xf numFmtId="0" fontId="7" fillId="2" borderId="138" xfId="131" applyFont="1" applyFill="1" applyBorder="1" applyAlignment="1">
      <alignment horizontal="center" vertical="center"/>
    </xf>
    <xf numFmtId="2" fontId="108" fillId="19" borderId="92" xfId="6" applyNumberFormat="1" applyFont="1" applyFill="1" applyBorder="1" applyAlignment="1">
      <alignment horizontal="center" vertical="top" wrapText="1"/>
    </xf>
    <xf numFmtId="10" fontId="108" fillId="19" borderId="92" xfId="6" applyNumberFormat="1" applyFont="1" applyFill="1" applyBorder="1" applyAlignment="1">
      <alignment horizontal="right" vertical="top" wrapText="1"/>
    </xf>
    <xf numFmtId="4" fontId="108" fillId="19" borderId="92" xfId="6" applyNumberFormat="1" applyFont="1" applyFill="1" applyBorder="1" applyAlignment="1">
      <alignment horizontal="right" vertical="top" wrapText="1"/>
    </xf>
    <xf numFmtId="0" fontId="54" fillId="16" borderId="0" xfId="23" applyFont="1" applyFill="1" applyAlignment="1">
      <alignment horizontal="center" vertical="center" wrapText="1"/>
    </xf>
    <xf numFmtId="0" fontId="54" fillId="16" borderId="0" xfId="23" applyFont="1" applyFill="1" applyAlignment="1">
      <alignment horizontal="left" vertical="center" wrapText="1"/>
    </xf>
    <xf numFmtId="0" fontId="54" fillId="16" borderId="0" xfId="23" applyFont="1" applyFill="1" applyAlignment="1">
      <alignment horizontal="left" vertical="top" wrapText="1"/>
    </xf>
    <xf numFmtId="4" fontId="74" fillId="4" borderId="13" xfId="175" applyNumberFormat="1" applyFont="1" applyFill="1" applyBorder="1" applyAlignment="1">
      <alignment horizontal="center" vertical="center" wrapText="1"/>
    </xf>
    <xf numFmtId="3" fontId="74" fillId="4" borderId="13" xfId="175" applyNumberFormat="1" applyFont="1" applyFill="1" applyBorder="1" applyAlignment="1">
      <alignment horizontal="center" vertical="center" wrapText="1"/>
    </xf>
    <xf numFmtId="0" fontId="74" fillId="4" borderId="13" xfId="175" applyFont="1" applyFill="1" applyBorder="1" applyAlignment="1">
      <alignment horizontal="center" vertical="center" wrapText="1"/>
    </xf>
    <xf numFmtId="1" fontId="74" fillId="4" borderId="13" xfId="175" applyNumberFormat="1" applyFont="1" applyFill="1" applyBorder="1" applyAlignment="1">
      <alignment horizontal="center" vertical="center" wrapText="1"/>
    </xf>
    <xf numFmtId="9" fontId="74" fillId="4" borderId="13" xfId="19" applyFont="1" applyFill="1" applyBorder="1" applyAlignment="1">
      <alignment horizontal="center" vertical="center" wrapText="1"/>
    </xf>
    <xf numFmtId="9" fontId="74" fillId="4" borderId="13" xfId="176" applyFont="1" applyFill="1" applyBorder="1" applyAlignment="1">
      <alignment horizontal="center" vertical="center" wrapText="1"/>
    </xf>
    <xf numFmtId="37" fontId="69" fillId="6" borderId="13" xfId="175" applyNumberFormat="1" applyFont="1" applyFill="1" applyBorder="1" applyAlignment="1">
      <alignment horizontal="center" vertical="center" wrapText="1"/>
    </xf>
    <xf numFmtId="4" fontId="84" fillId="4" borderId="13" xfId="175" applyNumberFormat="1" applyFont="1" applyFill="1" applyBorder="1" applyAlignment="1">
      <alignment horizontal="center" vertical="center" wrapText="1"/>
    </xf>
    <xf numFmtId="3" fontId="84" fillId="4" borderId="13" xfId="175" applyNumberFormat="1" applyFont="1" applyFill="1" applyBorder="1" applyAlignment="1">
      <alignment horizontal="center" vertical="center" wrapText="1"/>
    </xf>
    <xf numFmtId="2" fontId="56" fillId="2" borderId="0" xfId="174" applyNumberFormat="1" applyFont="1" applyFill="1" applyAlignment="1">
      <alignment vertical="center"/>
    </xf>
    <xf numFmtId="0" fontId="108" fillId="20" borderId="92" xfId="0" applyFont="1" applyFill="1" applyBorder="1" applyAlignment="1">
      <alignment horizontal="left" vertical="top" wrapText="1"/>
    </xf>
    <xf numFmtId="0" fontId="108" fillId="20" borderId="92" xfId="0" applyFont="1" applyFill="1" applyBorder="1" applyAlignment="1">
      <alignment horizontal="center" vertical="top" wrapText="1"/>
    </xf>
    <xf numFmtId="0" fontId="104" fillId="0" borderId="92" xfId="0" applyFont="1" applyBorder="1" applyAlignment="1">
      <alignment horizontal="left" vertical="top" wrapText="1"/>
    </xf>
    <xf numFmtId="4" fontId="104" fillId="19" borderId="97" xfId="6" applyNumberFormat="1" applyFont="1" applyFill="1" applyBorder="1" applyAlignment="1">
      <alignment horizontal="right" vertical="top" wrapText="1"/>
    </xf>
    <xf numFmtId="10" fontId="104" fillId="19" borderId="92" xfId="6" applyNumberFormat="1" applyFont="1" applyFill="1" applyBorder="1" applyAlignment="1">
      <alignment horizontal="right" vertical="top" wrapText="1"/>
    </xf>
    <xf numFmtId="4" fontId="104" fillId="19" borderId="92" xfId="6" applyNumberFormat="1" applyFont="1" applyFill="1" applyBorder="1" applyAlignment="1">
      <alignment horizontal="right" vertical="top" wrapText="1"/>
    </xf>
    <xf numFmtId="10" fontId="108" fillId="17" borderId="98" xfId="202" applyNumberFormat="1" applyFont="1" applyFill="1" applyBorder="1" applyAlignment="1">
      <alignment horizontal="right" vertical="top" wrapText="1"/>
    </xf>
    <xf numFmtId="10" fontId="108" fillId="19" borderId="98" xfId="202" applyNumberFormat="1" applyFont="1" applyFill="1" applyBorder="1" applyAlignment="1">
      <alignment horizontal="right" vertical="top" wrapText="1"/>
    </xf>
    <xf numFmtId="0" fontId="110" fillId="0" borderId="0" xfId="184" applyFont="1" applyAlignment="1">
      <alignment horizontal="center" vertical="center"/>
    </xf>
    <xf numFmtId="0" fontId="111" fillId="0" borderId="0" xfId="24" applyFont="1" applyAlignment="1">
      <alignment vertical="center"/>
    </xf>
    <xf numFmtId="4" fontId="98" fillId="2" borderId="0" xfId="175" applyNumberFormat="1" applyFont="1" applyFill="1" applyAlignment="1">
      <alignment horizontal="center" vertical="center"/>
    </xf>
    <xf numFmtId="4" fontId="50" fillId="0" borderId="0" xfId="175" applyNumberFormat="1" applyFont="1" applyAlignment="1">
      <alignment horizontal="center" vertical="center"/>
    </xf>
    <xf numFmtId="4" fontId="49" fillId="2" borderId="0" xfId="175" applyNumberFormat="1" applyFont="1" applyFill="1" applyAlignment="1">
      <alignment horizontal="center" vertical="center"/>
    </xf>
    <xf numFmtId="4" fontId="49" fillId="2" borderId="0" xfId="16" applyNumberFormat="1" applyFont="1" applyFill="1" applyBorder="1" applyAlignment="1">
      <alignment horizontal="center" vertical="center"/>
    </xf>
    <xf numFmtId="49" fontId="49" fillId="0" borderId="0" xfId="175" applyNumberFormat="1" applyFont="1" applyAlignment="1">
      <alignment horizontal="center" vertical="center" wrapText="1"/>
    </xf>
    <xf numFmtId="2" fontId="112" fillId="0" borderId="22" xfId="175" applyNumberFormat="1" applyFont="1" applyBorder="1" applyAlignment="1">
      <alignment horizontal="center" vertical="center"/>
    </xf>
    <xf numFmtId="37" fontId="56" fillId="0" borderId="13" xfId="174" applyNumberFormat="1" applyFont="1" applyBorder="1" applyAlignment="1">
      <alignment horizontal="left" vertical="center" wrapText="1"/>
    </xf>
    <xf numFmtId="4" fontId="55" fillId="0" borderId="13" xfId="174" applyNumberFormat="1" applyFont="1" applyBorder="1" applyAlignment="1">
      <alignment horizontal="center" vertical="center" wrapText="1"/>
    </xf>
    <xf numFmtId="4" fontId="50" fillId="0" borderId="25" xfId="175" applyNumberFormat="1" applyFont="1" applyBorder="1" applyAlignment="1">
      <alignment horizontal="center" vertical="center"/>
    </xf>
    <xf numFmtId="4" fontId="50" fillId="0" borderId="22" xfId="175" applyNumberFormat="1" applyFont="1" applyBorder="1" applyAlignment="1">
      <alignment horizontal="center" vertical="center"/>
    </xf>
    <xf numFmtId="169" fontId="50" fillId="0" borderId="25" xfId="175" applyNumberFormat="1" applyFont="1" applyBorder="1" applyAlignment="1">
      <alignment horizontal="right" vertical="center"/>
    </xf>
    <xf numFmtId="169" fontId="50" fillId="0" borderId="13" xfId="175" applyNumberFormat="1" applyFont="1" applyBorder="1" applyAlignment="1">
      <alignment horizontal="right" vertical="center"/>
    </xf>
    <xf numFmtId="169" fontId="50" fillId="0" borderId="22" xfId="175" applyNumberFormat="1" applyFont="1" applyBorder="1" applyAlignment="1">
      <alignment horizontal="right" vertical="center"/>
    </xf>
    <xf numFmtId="4" fontId="82" fillId="0" borderId="64" xfId="199" applyNumberFormat="1" applyFont="1" applyBorder="1" applyAlignment="1">
      <alignment horizontal="center" vertical="center" wrapText="1"/>
    </xf>
    <xf numFmtId="4" fontId="49" fillId="0" borderId="10" xfId="175" applyNumberFormat="1" applyFont="1" applyBorder="1" applyAlignment="1">
      <alignment vertical="center"/>
    </xf>
    <xf numFmtId="4" fontId="49" fillId="0" borderId="27" xfId="175" applyNumberFormat="1" applyFont="1" applyBorder="1" applyAlignment="1">
      <alignment vertical="center"/>
    </xf>
    <xf numFmtId="0" fontId="6" fillId="2" borderId="137" xfId="12" applyFont="1" applyFill="1" applyBorder="1" applyAlignment="1">
      <alignment horizontal="left" vertical="center" wrapText="1"/>
    </xf>
    <xf numFmtId="0" fontId="78" fillId="0" borderId="0" xfId="203" applyFont="1"/>
    <xf numFmtId="0" fontId="5" fillId="0" borderId="0" xfId="203"/>
    <xf numFmtId="0" fontId="78" fillId="0" borderId="148" xfId="203" applyFont="1" applyBorder="1"/>
    <xf numFmtId="0" fontId="63" fillId="0" borderId="47" xfId="203" applyFont="1" applyBorder="1"/>
    <xf numFmtId="0" fontId="78" fillId="0" borderId="1" xfId="203" applyFont="1" applyBorder="1"/>
    <xf numFmtId="0" fontId="63" fillId="0" borderId="48" xfId="203" applyFont="1" applyBorder="1"/>
    <xf numFmtId="0" fontId="78" fillId="0" borderId="57" xfId="203" applyFont="1" applyBorder="1"/>
    <xf numFmtId="0" fontId="78" fillId="0" borderId="65" xfId="203" applyFont="1" applyBorder="1"/>
    <xf numFmtId="0" fontId="63" fillId="0" borderId="57" xfId="203" applyFont="1" applyBorder="1"/>
    <xf numFmtId="0" fontId="78" fillId="0" borderId="49" xfId="203" applyFont="1" applyBorder="1"/>
    <xf numFmtId="0" fontId="78" fillId="0" borderId="50" xfId="203" applyFont="1" applyBorder="1"/>
    <xf numFmtId="0" fontId="105" fillId="0" borderId="0" xfId="184" applyFont="1" applyAlignment="1">
      <alignment horizontal="center" vertical="center"/>
    </xf>
    <xf numFmtId="17" fontId="50" fillId="0" borderId="155" xfId="184" applyNumberFormat="1" applyFont="1" applyBorder="1" applyAlignment="1">
      <alignment horizontal="center" vertical="center"/>
    </xf>
    <xf numFmtId="0" fontId="50" fillId="0" borderId="155" xfId="184" applyFont="1" applyBorder="1" applyAlignment="1">
      <alignment horizontal="center" vertical="center"/>
    </xf>
    <xf numFmtId="4" fontId="50" fillId="0" borderId="155" xfId="184" applyNumberFormat="1" applyFont="1" applyBorder="1" applyAlignment="1">
      <alignment horizontal="center" vertical="center"/>
    </xf>
    <xf numFmtId="17" fontId="78" fillId="0" borderId="91" xfId="184" applyNumberFormat="1" applyFont="1" applyBorder="1" applyAlignment="1">
      <alignment horizontal="center" vertical="center"/>
    </xf>
    <xf numFmtId="17" fontId="50" fillId="0" borderId="91" xfId="184" applyNumberFormat="1" applyFont="1" applyBorder="1" applyAlignment="1">
      <alignment horizontal="center" vertical="center"/>
    </xf>
    <xf numFmtId="0" fontId="50" fillId="0" borderId="91" xfId="184" applyFont="1" applyBorder="1" applyAlignment="1">
      <alignment horizontal="center" vertical="center"/>
    </xf>
    <xf numFmtId="4" fontId="50" fillId="0" borderId="91" xfId="184" applyNumberFormat="1" applyFont="1" applyBorder="1" applyAlignment="1">
      <alignment horizontal="center" vertical="center"/>
    </xf>
    <xf numFmtId="4" fontId="78" fillId="0" borderId="91" xfId="184" applyNumberFormat="1" applyFont="1" applyBorder="1" applyAlignment="1">
      <alignment horizontal="center" vertical="center"/>
    </xf>
    <xf numFmtId="4" fontId="50" fillId="0" borderId="154" xfId="184" applyNumberFormat="1" applyFont="1" applyBorder="1" applyAlignment="1">
      <alignment horizontal="center" vertical="center"/>
    </xf>
    <xf numFmtId="0" fontId="4" fillId="0" borderId="0" xfId="206" applyAlignment="1">
      <alignment horizontal="center" vertical="center"/>
    </xf>
    <xf numFmtId="0" fontId="85" fillId="4" borderId="91" xfId="206" applyFont="1" applyFill="1" applyBorder="1" applyAlignment="1">
      <alignment horizontal="center" vertical="center"/>
    </xf>
    <xf numFmtId="0" fontId="85" fillId="4" borderId="91" xfId="206" applyFont="1" applyFill="1" applyBorder="1" applyAlignment="1">
      <alignment horizontal="center" vertical="center" wrapText="1"/>
    </xf>
    <xf numFmtId="17" fontId="50" fillId="0" borderId="34" xfId="206" applyNumberFormat="1" applyFont="1" applyBorder="1" applyAlignment="1">
      <alignment horizontal="center" vertical="center"/>
    </xf>
    <xf numFmtId="0" fontId="50" fillId="0" borderId="34" xfId="206" applyFont="1" applyBorder="1" applyAlignment="1">
      <alignment horizontal="center" vertical="center"/>
    </xf>
    <xf numFmtId="4" fontId="50" fillId="0" borderId="34" xfId="206" applyNumberFormat="1" applyFont="1" applyBorder="1" applyAlignment="1">
      <alignment horizontal="center" vertical="center"/>
    </xf>
    <xf numFmtId="0" fontId="80" fillId="0" borderId="13" xfId="206" applyFont="1" applyBorder="1" applyAlignment="1">
      <alignment horizontal="center" vertical="center"/>
    </xf>
    <xf numFmtId="17" fontId="75" fillId="0" borderId="34" xfId="206" applyNumberFormat="1" applyFont="1" applyBorder="1" applyAlignment="1">
      <alignment horizontal="center" vertical="center"/>
    </xf>
    <xf numFmtId="17" fontId="75" fillId="0" borderId="13" xfId="206" applyNumberFormat="1" applyFont="1" applyBorder="1" applyAlignment="1">
      <alignment horizontal="center" vertical="center"/>
    </xf>
    <xf numFmtId="0" fontId="75" fillId="0" borderId="13" xfId="206" applyFont="1" applyBorder="1" applyAlignment="1">
      <alignment horizontal="center" vertical="center"/>
    </xf>
    <xf numFmtId="4" fontId="75" fillId="0" borderId="34" xfId="206" applyNumberFormat="1" applyFont="1" applyBorder="1" applyAlignment="1">
      <alignment horizontal="center" vertical="center"/>
    </xf>
    <xf numFmtId="4" fontId="75" fillId="0" borderId="13" xfId="206" applyNumberFormat="1" applyFont="1" applyBorder="1" applyAlignment="1">
      <alignment horizontal="center" vertical="center"/>
    </xf>
    <xf numFmtId="1" fontId="4" fillId="0" borderId="13" xfId="206" applyNumberFormat="1" applyBorder="1" applyAlignment="1">
      <alignment horizontal="center" vertical="center"/>
    </xf>
    <xf numFmtId="0" fontId="4" fillId="0" borderId="13" xfId="206" applyBorder="1" applyAlignment="1">
      <alignment horizontal="left" vertical="center"/>
    </xf>
    <xf numFmtId="17" fontId="50" fillId="0" borderId="91" xfId="206" applyNumberFormat="1" applyFont="1" applyBorder="1" applyAlignment="1">
      <alignment horizontal="center" vertical="center"/>
    </xf>
    <xf numFmtId="0" fontId="50" fillId="0" borderId="91" xfId="206" applyFont="1" applyBorder="1" applyAlignment="1">
      <alignment horizontal="center" vertical="center"/>
    </xf>
    <xf numFmtId="4" fontId="50" fillId="0" borderId="91" xfId="206" applyNumberFormat="1" applyFont="1" applyBorder="1" applyAlignment="1">
      <alignment horizontal="center" vertical="center"/>
    </xf>
    <xf numFmtId="0" fontId="56" fillId="0" borderId="0" xfId="206" applyFont="1" applyAlignment="1">
      <alignment horizontal="center" vertical="center"/>
    </xf>
    <xf numFmtId="1" fontId="55" fillId="0" borderId="13" xfId="206" applyNumberFormat="1" applyFont="1" applyBorder="1" applyAlignment="1">
      <alignment horizontal="center" vertical="center"/>
    </xf>
    <xf numFmtId="0" fontId="4" fillId="0" borderId="25" xfId="206" applyBorder="1" applyAlignment="1">
      <alignment horizontal="center" vertical="center"/>
    </xf>
    <xf numFmtId="0" fontId="4" fillId="0" borderId="26" xfId="206" applyBorder="1" applyAlignment="1">
      <alignment horizontal="left" vertical="center"/>
    </xf>
    <xf numFmtId="0" fontId="4" fillId="0" borderId="13" xfId="206" applyBorder="1" applyAlignment="1">
      <alignment horizontal="center" vertical="center"/>
    </xf>
    <xf numFmtId="0" fontId="4" fillId="0" borderId="14" xfId="206" applyBorder="1" applyAlignment="1">
      <alignment horizontal="left" vertical="center"/>
    </xf>
    <xf numFmtId="0" fontId="56" fillId="4" borderId="22" xfId="206" applyFont="1" applyFill="1" applyBorder="1" applyAlignment="1">
      <alignment horizontal="center" vertical="center"/>
    </xf>
    <xf numFmtId="0" fontId="56" fillId="4" borderId="23" xfId="206" applyFont="1" applyFill="1" applyBorder="1" applyAlignment="1">
      <alignment horizontal="left" vertical="center"/>
    </xf>
    <xf numFmtId="43" fontId="50" fillId="0" borderId="13" xfId="207" applyFont="1" applyBorder="1" applyAlignment="1">
      <alignment horizontal="center" vertical="center"/>
    </xf>
    <xf numFmtId="43" fontId="49" fillId="4" borderId="13" xfId="207" applyFont="1" applyFill="1" applyBorder="1" applyAlignment="1">
      <alignment horizontal="center" vertical="center"/>
    </xf>
    <xf numFmtId="0" fontId="4" fillId="0" borderId="0" xfId="206" applyAlignment="1">
      <alignment horizontal="right" vertical="center"/>
    </xf>
    <xf numFmtId="0" fontId="78" fillId="0" borderId="0" xfId="206" applyFont="1" applyAlignment="1">
      <alignment horizontal="left" vertical="center"/>
    </xf>
    <xf numFmtId="2" fontId="19" fillId="0" borderId="144" xfId="12" applyNumberFormat="1" applyFont="1" applyBorder="1" applyAlignment="1">
      <alignment horizontal="center" vertical="center"/>
    </xf>
    <xf numFmtId="0" fontId="108" fillId="20" borderId="96" xfId="0" applyFont="1" applyFill="1" applyBorder="1" applyAlignment="1">
      <alignment horizontal="right" vertical="top" wrapText="1"/>
    </xf>
    <xf numFmtId="0" fontId="57" fillId="0" borderId="54" xfId="23" applyFont="1" applyBorder="1" applyAlignment="1">
      <alignment vertical="center"/>
    </xf>
    <xf numFmtId="0" fontId="57" fillId="0" borderId="52" xfId="23" applyFont="1" applyBorder="1" applyAlignment="1">
      <alignment vertical="center"/>
    </xf>
    <xf numFmtId="0" fontId="98" fillId="2" borderId="0" xfId="175" applyFont="1" applyFill="1" applyAlignment="1">
      <alignment vertical="center" wrapText="1"/>
    </xf>
    <xf numFmtId="4" fontId="98" fillId="2" borderId="0" xfId="175" applyNumberFormat="1" applyFont="1" applyFill="1" applyAlignment="1">
      <alignment vertical="center" wrapText="1"/>
    </xf>
    <xf numFmtId="0" fontId="3" fillId="0" borderId="19" xfId="183" applyFont="1" applyBorder="1" applyAlignment="1">
      <alignment horizontal="center" vertical="center"/>
    </xf>
    <xf numFmtId="39" fontId="56" fillId="4" borderId="13" xfId="174" applyNumberFormat="1" applyFont="1" applyFill="1" applyBorder="1" applyAlignment="1">
      <alignment horizontal="center" vertical="center" wrapText="1"/>
    </xf>
    <xf numFmtId="2" fontId="49" fillId="0" borderId="13" xfId="7" applyNumberFormat="1" applyFont="1" applyBorder="1" applyAlignment="1">
      <alignment horizontal="center" vertical="center" wrapText="1"/>
    </xf>
    <xf numFmtId="37" fontId="56" fillId="0" borderId="13" xfId="174" applyNumberFormat="1" applyFont="1" applyBorder="1" applyAlignment="1">
      <alignment horizontal="center" vertical="center" wrapText="1"/>
    </xf>
    <xf numFmtId="4" fontId="56" fillId="0" borderId="13" xfId="174" applyNumberFormat="1" applyFont="1" applyBorder="1" applyAlignment="1">
      <alignment vertical="center" wrapText="1"/>
    </xf>
    <xf numFmtId="4" fontId="56" fillId="0" borderId="13" xfId="174" applyNumberFormat="1" applyFont="1" applyBorder="1" applyAlignment="1">
      <alignment horizontal="center" vertical="center" wrapText="1"/>
    </xf>
    <xf numFmtId="0" fontId="49" fillId="21" borderId="0" xfId="0" applyFont="1" applyFill="1" applyAlignment="1">
      <alignment vertical="top" wrapText="1"/>
    </xf>
    <xf numFmtId="44" fontId="54" fillId="0" borderId="0" xfId="201" applyFont="1" applyBorder="1" applyAlignment="1">
      <alignment horizontal="center" vertical="center"/>
    </xf>
    <xf numFmtId="44" fontId="54" fillId="0" borderId="55" xfId="201" applyFont="1" applyBorder="1" applyAlignment="1">
      <alignment horizontal="center" vertical="center"/>
    </xf>
    <xf numFmtId="4" fontId="50" fillId="0" borderId="34" xfId="184" applyNumberFormat="1" applyFont="1" applyBorder="1" applyAlignment="1">
      <alignment horizontal="center" vertical="center"/>
    </xf>
    <xf numFmtId="17" fontId="75" fillId="0" borderId="13" xfId="184" applyNumberFormat="1" applyFont="1" applyBorder="1" applyAlignment="1">
      <alignment horizontal="center" vertical="center"/>
    </xf>
    <xf numFmtId="0" fontId="2" fillId="2" borderId="142" xfId="131" applyFont="1" applyFill="1" applyBorder="1" applyAlignment="1">
      <alignment horizontal="center" vertical="center"/>
    </xf>
    <xf numFmtId="0" fontId="114" fillId="24" borderId="0" xfId="208" applyFont="1" applyFill="1" applyAlignment="1">
      <alignment horizontal="right" vertical="center"/>
    </xf>
    <xf numFmtId="0" fontId="114" fillId="24" borderId="0" xfId="208" applyFont="1" applyFill="1" applyAlignment="1">
      <alignment vertical="center"/>
    </xf>
    <xf numFmtId="4" fontId="56" fillId="23" borderId="13" xfId="174" applyNumberFormat="1" applyFont="1" applyFill="1" applyBorder="1" applyAlignment="1">
      <alignment horizontal="center" vertical="center" wrapText="1"/>
    </xf>
    <xf numFmtId="2" fontId="80" fillId="0" borderId="0" xfId="49" applyNumberFormat="1" applyFont="1" applyAlignment="1">
      <alignment horizontal="center" vertical="center"/>
    </xf>
    <xf numFmtId="0" fontId="49" fillId="0" borderId="0" xfId="7" applyFont="1" applyAlignment="1">
      <alignment vertical="center" wrapText="1"/>
    </xf>
    <xf numFmtId="2" fontId="82" fillId="0" borderId="0" xfId="194" applyNumberFormat="1" applyFont="1" applyAlignment="1">
      <alignment horizontal="center" vertical="center"/>
    </xf>
    <xf numFmtId="0" fontId="104" fillId="0" borderId="92" xfId="0" applyFont="1" applyBorder="1" applyAlignment="1">
      <alignment horizontal="center" vertical="top" wrapText="1"/>
    </xf>
    <xf numFmtId="0" fontId="108" fillId="19" borderId="92" xfId="0" applyFont="1" applyFill="1" applyBorder="1" applyAlignment="1">
      <alignment horizontal="left" vertical="top" wrapText="1"/>
    </xf>
    <xf numFmtId="2" fontId="108" fillId="19" borderId="92" xfId="6" applyNumberFormat="1" applyFont="1" applyFill="1" applyBorder="1" applyAlignment="1">
      <alignment horizontal="left" vertical="top" wrapText="1"/>
    </xf>
    <xf numFmtId="43" fontId="108" fillId="19" borderId="96" xfId="0" applyNumberFormat="1" applyFont="1" applyFill="1" applyBorder="1" applyAlignment="1">
      <alignment horizontal="right" vertical="top" wrapText="1"/>
    </xf>
    <xf numFmtId="4" fontId="108" fillId="19" borderId="96" xfId="0" applyNumberFormat="1" applyFont="1" applyFill="1" applyBorder="1" applyAlignment="1">
      <alignment horizontal="right" vertical="top" wrapText="1"/>
    </xf>
    <xf numFmtId="0" fontId="54" fillId="19" borderId="158" xfId="23" applyFont="1" applyFill="1" applyBorder="1" applyAlignment="1">
      <alignment vertical="center"/>
    </xf>
    <xf numFmtId="2" fontId="54" fillId="19" borderId="158" xfId="23" applyNumberFormat="1" applyFont="1" applyFill="1" applyBorder="1" applyAlignment="1">
      <alignment vertical="center"/>
    </xf>
    <xf numFmtId="2" fontId="104" fillId="17" borderId="92" xfId="6" applyNumberFormat="1" applyFont="1" applyFill="1" applyBorder="1" applyAlignment="1">
      <alignment horizontal="center" vertical="center" wrapText="1"/>
    </xf>
    <xf numFmtId="2" fontId="108" fillId="19" borderId="92" xfId="6" applyNumberFormat="1" applyFont="1" applyFill="1" applyBorder="1" applyAlignment="1">
      <alignment horizontal="center" vertical="center" wrapText="1"/>
    </xf>
    <xf numFmtId="0" fontId="106" fillId="0" borderId="55" xfId="24" applyFont="1" applyBorder="1"/>
    <xf numFmtId="0" fontId="106" fillId="0" borderId="0" xfId="190" applyFont="1"/>
    <xf numFmtId="0" fontId="57" fillId="0" borderId="0" xfId="190" applyFont="1"/>
    <xf numFmtId="4" fontId="108" fillId="19" borderId="106" xfId="0" applyNumberFormat="1" applyFont="1" applyFill="1" applyBorder="1" applyAlignment="1">
      <alignment horizontal="right" vertical="top" wrapText="1"/>
    </xf>
    <xf numFmtId="10" fontId="108" fillId="19" borderId="159" xfId="202" applyNumberFormat="1" applyFont="1" applyFill="1" applyBorder="1" applyAlignment="1">
      <alignment horizontal="right" vertical="top" wrapText="1"/>
    </xf>
    <xf numFmtId="0" fontId="54" fillId="16" borderId="102" xfId="24" applyFont="1" applyFill="1" applyBorder="1" applyAlignment="1">
      <alignment horizontal="right" vertical="center" wrapText="1"/>
    </xf>
    <xf numFmtId="0" fontId="108" fillId="17" borderId="102" xfId="6" applyFont="1" applyFill="1" applyBorder="1" applyAlignment="1">
      <alignment horizontal="left" vertical="top" wrapText="1"/>
    </xf>
    <xf numFmtId="0" fontId="57" fillId="0" borderId="38" xfId="23" applyFont="1" applyBorder="1" applyAlignment="1">
      <alignment vertical="center"/>
    </xf>
    <xf numFmtId="0" fontId="54" fillId="21" borderId="92" xfId="0" applyFont="1" applyFill="1" applyBorder="1" applyAlignment="1">
      <alignment horizontal="left" vertical="top" wrapText="1"/>
    </xf>
    <xf numFmtId="0" fontId="54" fillId="21" borderId="92" xfId="0" applyFont="1" applyFill="1" applyBorder="1" applyAlignment="1">
      <alignment horizontal="right" vertical="top" wrapText="1"/>
    </xf>
    <xf numFmtId="0" fontId="54" fillId="21" borderId="92" xfId="0" applyFont="1" applyFill="1" applyBorder="1" applyAlignment="1">
      <alignment vertical="top" wrapText="1"/>
    </xf>
    <xf numFmtId="0" fontId="54" fillId="21" borderId="92" xfId="0" applyFont="1" applyFill="1" applyBorder="1" applyAlignment="1">
      <alignment horizontal="center" vertical="top" wrapText="1"/>
    </xf>
    <xf numFmtId="0" fontId="104" fillId="22" borderId="92" xfId="0" applyFont="1" applyFill="1" applyBorder="1" applyAlignment="1">
      <alignment horizontal="left" vertical="top" wrapText="1"/>
    </xf>
    <xf numFmtId="0" fontId="104" fillId="22" borderId="92" xfId="0" applyFont="1" applyFill="1" applyBorder="1" applyAlignment="1">
      <alignment horizontal="right" vertical="top" wrapText="1"/>
    </xf>
    <xf numFmtId="0" fontId="104" fillId="22" borderId="92" xfId="0" applyFont="1" applyFill="1" applyBorder="1" applyAlignment="1">
      <alignment vertical="top" wrapText="1"/>
    </xf>
    <xf numFmtId="0" fontId="104" fillId="22" borderId="92" xfId="0" applyFont="1" applyFill="1" applyBorder="1" applyAlignment="1">
      <alignment horizontal="center" vertical="top" wrapText="1"/>
    </xf>
    <xf numFmtId="4" fontId="104" fillId="22" borderId="92" xfId="0" applyNumberFormat="1" applyFont="1" applyFill="1" applyBorder="1" applyAlignment="1">
      <alignment horizontal="right" vertical="top" wrapText="1"/>
    </xf>
    <xf numFmtId="0" fontId="57" fillId="21" borderId="0" xfId="0" applyFont="1" applyFill="1" applyAlignment="1">
      <alignment horizontal="right" vertical="top" wrapText="1"/>
    </xf>
    <xf numFmtId="4" fontId="57" fillId="21" borderId="0" xfId="0" applyNumberFormat="1" applyFont="1" applyFill="1" applyAlignment="1">
      <alignment horizontal="right" vertical="top" wrapText="1"/>
    </xf>
    <xf numFmtId="0" fontId="57" fillId="21" borderId="0" xfId="0" applyFont="1" applyFill="1" applyAlignment="1">
      <alignment vertical="top" wrapText="1"/>
    </xf>
    <xf numFmtId="0" fontId="54" fillId="21" borderId="0" xfId="0" applyFont="1" applyFill="1" applyAlignment="1">
      <alignment horizontal="right" vertical="top" wrapText="1"/>
    </xf>
    <xf numFmtId="4" fontId="54" fillId="21" borderId="0" xfId="0" applyNumberFormat="1" applyFont="1" applyFill="1" applyAlignment="1">
      <alignment horizontal="right" vertical="top" wrapText="1"/>
    </xf>
    <xf numFmtId="0" fontId="57" fillId="0" borderId="92" xfId="0" applyFont="1" applyBorder="1" applyAlignment="1">
      <alignment horizontal="left" vertical="top" wrapText="1"/>
    </xf>
    <xf numFmtId="0" fontId="57" fillId="0" borderId="92" xfId="0" applyFont="1" applyBorder="1" applyAlignment="1">
      <alignment horizontal="right" vertical="top" wrapText="1"/>
    </xf>
    <xf numFmtId="0" fontId="57" fillId="0" borderId="92" xfId="0" applyFont="1" applyBorder="1" applyAlignment="1">
      <alignment horizontal="center" vertical="top" wrapText="1"/>
    </xf>
    <xf numFmtId="173" fontId="57" fillId="0" borderId="92" xfId="0" applyNumberFormat="1" applyFont="1" applyBorder="1" applyAlignment="1">
      <alignment horizontal="right" vertical="top" wrapText="1"/>
    </xf>
    <xf numFmtId="4" fontId="57" fillId="0" borderId="92" xfId="0" applyNumberFormat="1" applyFont="1" applyBorder="1" applyAlignment="1">
      <alignment horizontal="right" vertical="top" wrapText="1"/>
    </xf>
    <xf numFmtId="0" fontId="54" fillId="21" borderId="0" xfId="0" applyFont="1" applyFill="1" applyAlignment="1">
      <alignment vertical="top" wrapText="1"/>
    </xf>
    <xf numFmtId="0" fontId="108" fillId="20" borderId="92" xfId="0" applyFont="1" applyFill="1" applyBorder="1" applyAlignment="1">
      <alignment vertical="top" wrapText="1"/>
    </xf>
    <xf numFmtId="4" fontId="108" fillId="20" borderId="92" xfId="0" applyNumberFormat="1" applyFont="1" applyFill="1" applyBorder="1" applyAlignment="1">
      <alignment horizontal="right" vertical="top" wrapText="1"/>
    </xf>
    <xf numFmtId="0" fontId="104" fillId="22" borderId="99" xfId="0" applyFont="1" applyFill="1" applyBorder="1" applyAlignment="1">
      <alignment horizontal="left" vertical="top" wrapText="1"/>
    </xf>
    <xf numFmtId="0" fontId="104" fillId="0" borderId="92" xfId="0" applyFont="1" applyBorder="1" applyAlignment="1">
      <alignment horizontal="right" vertical="top" wrapText="1"/>
    </xf>
    <xf numFmtId="0" fontId="104" fillId="0" borderId="92" xfId="0" applyFont="1" applyBorder="1" applyAlignment="1">
      <alignment vertical="top" wrapText="1"/>
    </xf>
    <xf numFmtId="4" fontId="104" fillId="0" borderId="92" xfId="0" applyNumberFormat="1" applyFont="1" applyBorder="1" applyAlignment="1">
      <alignment horizontal="right" vertical="top" wrapText="1"/>
    </xf>
    <xf numFmtId="0" fontId="54" fillId="0" borderId="0" xfId="190" applyFont="1"/>
    <xf numFmtId="174" fontId="54" fillId="21" borderId="0" xfId="0" applyNumberFormat="1" applyFont="1" applyFill="1" applyAlignment="1">
      <alignment horizontal="right" vertical="top" wrapText="1"/>
    </xf>
    <xf numFmtId="174" fontId="57" fillId="0" borderId="92" xfId="0" applyNumberFormat="1" applyFont="1" applyBorder="1" applyAlignment="1">
      <alignment horizontal="right" vertical="top" wrapText="1"/>
    </xf>
    <xf numFmtId="174" fontId="57" fillId="0" borderId="98" xfId="0" applyNumberFormat="1" applyFont="1" applyBorder="1" applyAlignment="1">
      <alignment horizontal="right" vertical="top" wrapText="1"/>
    </xf>
    <xf numFmtId="0" fontId="57" fillId="0" borderId="97" xfId="0" applyFont="1" applyBorder="1" applyAlignment="1">
      <alignment horizontal="left" vertical="top" wrapText="1"/>
    </xf>
    <xf numFmtId="0" fontId="104" fillId="22" borderId="153" xfId="0" applyFont="1" applyFill="1" applyBorder="1" applyAlignment="1">
      <alignment horizontal="left" vertical="top" wrapText="1"/>
    </xf>
    <xf numFmtId="0" fontId="54" fillId="21" borderId="98" xfId="0" applyFont="1" applyFill="1" applyBorder="1" applyAlignment="1">
      <alignment horizontal="right" vertical="top" wrapText="1"/>
    </xf>
    <xf numFmtId="0" fontId="104" fillId="22" borderId="152" xfId="0" applyFont="1" applyFill="1" applyBorder="1" applyAlignment="1">
      <alignment horizontal="left" vertical="top" wrapText="1"/>
    </xf>
    <xf numFmtId="0" fontId="57" fillId="0" borderId="97" xfId="0" applyFont="1" applyBorder="1" applyAlignment="1">
      <alignment vertical="top" wrapText="1"/>
    </xf>
    <xf numFmtId="4" fontId="104" fillId="0" borderId="97" xfId="0" applyNumberFormat="1" applyFont="1" applyBorder="1" applyAlignment="1">
      <alignment horizontal="right" vertical="top" wrapText="1"/>
    </xf>
    <xf numFmtId="0" fontId="108" fillId="20" borderId="97" xfId="0" applyFont="1" applyFill="1" applyBorder="1" applyAlignment="1">
      <alignment horizontal="left" vertical="top" wrapText="1"/>
    </xf>
    <xf numFmtId="0" fontId="57" fillId="0" borderId="102" xfId="0" applyFont="1" applyBorder="1" applyAlignment="1">
      <alignment vertical="top" wrapText="1"/>
    </xf>
    <xf numFmtId="0" fontId="54" fillId="21" borderId="97" xfId="0" applyFont="1" applyFill="1" applyBorder="1" applyAlignment="1">
      <alignment horizontal="center" vertical="top" wrapText="1"/>
    </xf>
    <xf numFmtId="4" fontId="104" fillId="0" borderId="98" xfId="0" applyNumberFormat="1" applyFont="1" applyBorder="1" applyAlignment="1">
      <alignment horizontal="right" vertical="top" wrapText="1"/>
    </xf>
    <xf numFmtId="0" fontId="54" fillId="21" borderId="102" xfId="0" applyFont="1" applyFill="1" applyBorder="1" applyAlignment="1">
      <alignment vertical="top" wrapText="1"/>
    </xf>
    <xf numFmtId="0" fontId="54" fillId="21" borderId="54" xfId="0" applyFont="1" applyFill="1" applyBorder="1" applyAlignment="1">
      <alignment horizontal="right" vertical="top" wrapText="1"/>
    </xf>
    <xf numFmtId="0" fontId="104" fillId="0" borderId="55" xfId="0" applyFont="1" applyBorder="1"/>
    <xf numFmtId="4" fontId="104" fillId="22" borderId="102" xfId="0" applyNumberFormat="1" applyFont="1" applyFill="1" applyBorder="1" applyAlignment="1">
      <alignment horizontal="right" vertical="top" wrapText="1"/>
    </xf>
    <xf numFmtId="4" fontId="57" fillId="0" borderId="98" xfId="0" applyNumberFormat="1" applyFont="1" applyBorder="1" applyAlignment="1">
      <alignment horizontal="right" vertical="top" wrapText="1"/>
    </xf>
    <xf numFmtId="0" fontId="54" fillId="16" borderId="0" xfId="24" applyFont="1" applyFill="1" applyAlignment="1">
      <alignment vertical="top" wrapText="1"/>
    </xf>
    <xf numFmtId="0" fontId="104" fillId="0" borderId="54" xfId="0" applyFont="1" applyBorder="1"/>
    <xf numFmtId="0" fontId="54" fillId="21" borderId="102" xfId="0" applyFont="1" applyFill="1" applyBorder="1" applyAlignment="1">
      <alignment horizontal="right" vertical="top" wrapText="1"/>
    </xf>
    <xf numFmtId="0" fontId="54" fillId="21" borderId="55" xfId="0" applyFont="1" applyFill="1" applyBorder="1" applyAlignment="1">
      <alignment horizontal="right" vertical="top" wrapText="1"/>
    </xf>
    <xf numFmtId="0" fontId="54" fillId="21" borderId="55" xfId="0" applyFont="1" applyFill="1" applyBorder="1" applyAlignment="1">
      <alignment vertical="top" wrapText="1"/>
    </xf>
    <xf numFmtId="173" fontId="54" fillId="21" borderId="53" xfId="0" applyNumberFormat="1" applyFont="1" applyFill="1" applyBorder="1" applyAlignment="1">
      <alignment horizontal="right" vertical="top" wrapText="1"/>
    </xf>
    <xf numFmtId="173" fontId="104" fillId="0" borderId="98" xfId="0" applyNumberFormat="1" applyFont="1" applyBorder="1" applyAlignment="1">
      <alignment horizontal="right" vertical="top" wrapText="1"/>
    </xf>
    <xf numFmtId="4" fontId="57" fillId="21" borderId="55" xfId="0" applyNumberFormat="1" applyFont="1" applyFill="1" applyBorder="1" applyAlignment="1">
      <alignment horizontal="right" vertical="top" wrapText="1"/>
    </xf>
    <xf numFmtId="174" fontId="54" fillId="21" borderId="55" xfId="0" applyNumberFormat="1" applyFont="1" applyFill="1" applyBorder="1" applyAlignment="1">
      <alignment horizontal="right" vertical="top" wrapText="1"/>
    </xf>
    <xf numFmtId="0" fontId="104" fillId="22" borderId="97" xfId="0" applyFont="1" applyFill="1" applyBorder="1" applyAlignment="1">
      <alignment horizontal="left" vertical="top" wrapText="1"/>
    </xf>
    <xf numFmtId="0" fontId="54" fillId="21" borderId="97" xfId="0" applyFont="1" applyFill="1" applyBorder="1" applyAlignment="1">
      <alignment vertical="top" wrapText="1"/>
    </xf>
    <xf numFmtId="173" fontId="57" fillId="0" borderId="98" xfId="0" applyNumberFormat="1" applyFont="1" applyBorder="1" applyAlignment="1">
      <alignment horizontal="right" vertical="top" wrapText="1"/>
    </xf>
    <xf numFmtId="0" fontId="108" fillId="20" borderId="98" xfId="0" applyFont="1" applyFill="1" applyBorder="1" applyAlignment="1">
      <alignment horizontal="right" vertical="top" wrapText="1"/>
    </xf>
    <xf numFmtId="0" fontId="57" fillId="21" borderId="54" xfId="0" applyFont="1" applyFill="1" applyBorder="1" applyAlignment="1">
      <alignment vertical="top" wrapText="1"/>
    </xf>
    <xf numFmtId="0" fontId="57" fillId="0" borderId="8" xfId="24" applyFont="1" applyBorder="1"/>
    <xf numFmtId="4" fontId="54" fillId="21" borderId="53" xfId="0" applyNumberFormat="1" applyFont="1" applyFill="1" applyBorder="1" applyAlignment="1">
      <alignment horizontal="right" vertical="top" wrapText="1"/>
    </xf>
    <xf numFmtId="4" fontId="108" fillId="20" borderId="98" xfId="0" applyNumberFormat="1" applyFont="1" applyFill="1" applyBorder="1" applyAlignment="1">
      <alignment horizontal="right" vertical="top" wrapText="1"/>
    </xf>
    <xf numFmtId="0" fontId="104" fillId="0" borderId="97" xfId="0" applyFont="1" applyBorder="1" applyAlignment="1">
      <alignment horizontal="left" vertical="top" wrapText="1"/>
    </xf>
    <xf numFmtId="0" fontId="54" fillId="21" borderId="98" xfId="0" applyFont="1" applyFill="1" applyBorder="1" applyAlignment="1">
      <alignment horizontal="center" vertical="top" wrapText="1"/>
    </xf>
    <xf numFmtId="4" fontId="104" fillId="22" borderId="97" xfId="0" applyNumberFormat="1" applyFont="1" applyFill="1" applyBorder="1" applyAlignment="1">
      <alignment horizontal="right" vertical="top" wrapText="1"/>
    </xf>
    <xf numFmtId="0" fontId="54" fillId="16" borderId="0" xfId="24" applyFont="1" applyFill="1" applyAlignment="1">
      <alignment horizontal="left" vertical="top" wrapText="1"/>
    </xf>
    <xf numFmtId="0" fontId="54" fillId="21" borderId="52" xfId="0" applyFont="1" applyFill="1" applyBorder="1" applyAlignment="1">
      <alignment horizontal="right" vertical="top" wrapText="1"/>
    </xf>
    <xf numFmtId="4" fontId="57" fillId="0" borderId="97" xfId="0" applyNumberFormat="1" applyFont="1" applyBorder="1" applyAlignment="1">
      <alignment horizontal="right" vertical="top" wrapText="1"/>
    </xf>
    <xf numFmtId="173" fontId="104" fillId="22" borderId="98" xfId="0" applyNumberFormat="1" applyFont="1" applyFill="1" applyBorder="1" applyAlignment="1">
      <alignment horizontal="right" vertical="top" wrapText="1"/>
    </xf>
    <xf numFmtId="0" fontId="54" fillId="21" borderId="98" xfId="0" applyFont="1" applyFill="1" applyBorder="1" applyAlignment="1">
      <alignment vertical="top" wrapText="1"/>
    </xf>
    <xf numFmtId="0" fontId="54" fillId="21" borderId="97" xfId="0" applyFont="1" applyFill="1" applyBorder="1" applyAlignment="1">
      <alignment horizontal="left" vertical="top" wrapText="1"/>
    </xf>
    <xf numFmtId="173" fontId="54" fillId="21" borderId="55" xfId="0" applyNumberFormat="1" applyFont="1" applyFill="1" applyBorder="1" applyAlignment="1">
      <alignment horizontal="right" vertical="top" wrapText="1"/>
    </xf>
    <xf numFmtId="4" fontId="54" fillId="21" borderId="55" xfId="0" applyNumberFormat="1" applyFont="1" applyFill="1" applyBorder="1" applyAlignment="1">
      <alignment horizontal="right" vertical="top" wrapText="1"/>
    </xf>
    <xf numFmtId="0" fontId="54" fillId="21" borderId="97" xfId="0" applyFont="1" applyFill="1" applyBorder="1" applyAlignment="1">
      <alignment horizontal="right" vertical="top" wrapText="1"/>
    </xf>
    <xf numFmtId="0" fontId="54" fillId="16" borderId="8" xfId="24" applyFont="1" applyFill="1" applyBorder="1" applyAlignment="1">
      <alignment vertical="top" wrapText="1"/>
    </xf>
    <xf numFmtId="174" fontId="57" fillId="0" borderId="98" xfId="0" applyNumberFormat="1" applyFont="1" applyBorder="1" applyAlignment="1">
      <alignment vertical="top" wrapText="1"/>
    </xf>
    <xf numFmtId="4" fontId="104" fillId="0" borderId="102" xfId="0" applyNumberFormat="1" applyFont="1" applyBorder="1" applyAlignment="1">
      <alignment horizontal="right" vertical="top" wrapText="1"/>
    </xf>
    <xf numFmtId="0" fontId="57" fillId="21" borderId="55" xfId="0" applyFont="1" applyFill="1" applyBorder="1" applyAlignment="1">
      <alignment vertical="top" wrapText="1"/>
    </xf>
    <xf numFmtId="0" fontId="57" fillId="0" borderId="98" xfId="0" applyFont="1" applyBorder="1" applyAlignment="1">
      <alignment horizontal="right" vertical="top" wrapText="1"/>
    </xf>
    <xf numFmtId="4" fontId="104" fillId="22" borderId="98" xfId="0" applyNumberFormat="1" applyFont="1" applyFill="1" applyBorder="1" applyAlignment="1">
      <alignment horizontal="right" vertical="top" wrapText="1"/>
    </xf>
    <xf numFmtId="0" fontId="108" fillId="20" borderId="102" xfId="0" applyFont="1" applyFill="1" applyBorder="1" applyAlignment="1">
      <alignment horizontal="left" vertical="top" wrapText="1"/>
    </xf>
    <xf numFmtId="0" fontId="91" fillId="16" borderId="0" xfId="24" applyFont="1" applyFill="1" applyAlignment="1">
      <alignment horizontal="left" vertical="top" wrapText="1"/>
    </xf>
    <xf numFmtId="0" fontId="54" fillId="21" borderId="54" xfId="0" applyFont="1" applyFill="1" applyBorder="1" applyAlignment="1">
      <alignment vertical="top" wrapText="1"/>
    </xf>
    <xf numFmtId="0" fontId="54" fillId="21" borderId="38" xfId="0" applyFont="1" applyFill="1" applyBorder="1" applyAlignment="1">
      <alignment horizontal="right" vertical="top" wrapText="1"/>
    </xf>
    <xf numFmtId="0" fontId="57" fillId="0" borderId="102" xfId="0" applyFont="1" applyBorder="1" applyAlignment="1">
      <alignment horizontal="right" vertical="top" wrapText="1"/>
    </xf>
    <xf numFmtId="0" fontId="54" fillId="21" borderId="102" xfId="0" applyFont="1" applyFill="1" applyBorder="1" applyAlignment="1">
      <alignment horizontal="center" vertical="top" wrapText="1"/>
    </xf>
    <xf numFmtId="0" fontId="57" fillId="0" borderId="97" xfId="0" applyFont="1" applyBorder="1" applyAlignment="1">
      <alignment horizontal="right" vertical="top" wrapText="1"/>
    </xf>
    <xf numFmtId="4" fontId="57" fillId="0" borderId="102" xfId="0" applyNumberFormat="1" applyFont="1" applyBorder="1" applyAlignment="1">
      <alignment horizontal="right" vertical="top" wrapText="1"/>
    </xf>
    <xf numFmtId="0" fontId="57" fillId="21" borderId="54" xfId="0" applyFont="1" applyFill="1" applyBorder="1" applyAlignment="1">
      <alignment horizontal="right" vertical="top" wrapText="1"/>
    </xf>
    <xf numFmtId="0" fontId="54" fillId="16" borderId="6" xfId="24" applyFont="1" applyFill="1" applyBorder="1" applyAlignment="1">
      <alignment vertical="top" wrapText="1"/>
    </xf>
    <xf numFmtId="0" fontId="54" fillId="16" borderId="9" xfId="24" applyFont="1" applyFill="1" applyBorder="1" applyAlignment="1">
      <alignment vertical="top" wrapText="1"/>
    </xf>
    <xf numFmtId="0" fontId="57" fillId="0" borderId="9" xfId="24" applyFont="1" applyBorder="1"/>
    <xf numFmtId="0" fontId="54" fillId="16" borderId="54" xfId="24" applyFont="1" applyFill="1" applyBorder="1" applyAlignment="1">
      <alignment vertical="top" wrapText="1"/>
    </xf>
    <xf numFmtId="0" fontId="54" fillId="16" borderId="55" xfId="24" applyFont="1" applyFill="1" applyBorder="1" applyAlignment="1">
      <alignment vertical="top" wrapText="1"/>
    </xf>
    <xf numFmtId="0" fontId="57" fillId="0" borderId="55" xfId="24" applyFont="1" applyBorder="1"/>
    <xf numFmtId="0" fontId="54" fillId="16" borderId="54" xfId="24" applyFont="1" applyFill="1" applyBorder="1" applyAlignment="1">
      <alignment horizontal="left" vertical="top" wrapText="1"/>
    </xf>
    <xf numFmtId="0" fontId="54" fillId="16" borderId="55" xfId="24" applyFont="1" applyFill="1" applyBorder="1" applyAlignment="1">
      <alignment horizontal="left" vertical="top" wrapText="1"/>
    </xf>
    <xf numFmtId="10" fontId="54" fillId="16" borderId="55" xfId="23" applyNumberFormat="1" applyFont="1" applyFill="1" applyBorder="1" applyAlignment="1">
      <alignment vertical="top" wrapText="1"/>
    </xf>
    <xf numFmtId="174" fontId="57" fillId="0" borderId="97" xfId="0" applyNumberFormat="1" applyFont="1" applyBorder="1" applyAlignment="1">
      <alignment horizontal="right" vertical="top" wrapText="1"/>
    </xf>
    <xf numFmtId="174" fontId="57" fillId="0" borderId="102" xfId="0" applyNumberFormat="1" applyFont="1" applyBorder="1" applyAlignment="1">
      <alignment horizontal="right" vertical="top" wrapText="1"/>
    </xf>
    <xf numFmtId="0" fontId="57" fillId="0" borderId="98" xfId="0" applyFont="1" applyBorder="1" applyAlignment="1">
      <alignment horizontal="left" vertical="top" wrapText="1"/>
    </xf>
    <xf numFmtId="174" fontId="57" fillId="0" borderId="92" xfId="0" applyNumberFormat="1" applyFont="1" applyBorder="1" applyAlignment="1">
      <alignment vertical="top" wrapText="1"/>
    </xf>
    <xf numFmtId="173" fontId="104" fillId="22" borderId="92" xfId="0" applyNumberFormat="1" applyFont="1" applyFill="1" applyBorder="1" applyAlignment="1">
      <alignment horizontal="right" vertical="top" wrapText="1"/>
    </xf>
    <xf numFmtId="0" fontId="54" fillId="21" borderId="0" xfId="0" applyFont="1" applyFill="1" applyAlignment="1">
      <alignment wrapText="1"/>
    </xf>
    <xf numFmtId="0" fontId="104" fillId="0" borderId="0" xfId="0" applyFont="1"/>
    <xf numFmtId="2" fontId="104" fillId="19" borderId="92" xfId="6" applyNumberFormat="1" applyFont="1" applyFill="1" applyBorder="1" applyAlignment="1">
      <alignment horizontal="left" vertical="top" wrapText="1"/>
    </xf>
    <xf numFmtId="2" fontId="104" fillId="19" borderId="92" xfId="6" applyNumberFormat="1" applyFont="1" applyFill="1" applyBorder="1" applyAlignment="1">
      <alignment horizontal="center" vertical="top" wrapText="1"/>
    </xf>
    <xf numFmtId="4" fontId="104" fillId="19" borderId="102" xfId="6" applyNumberFormat="1" applyFont="1" applyFill="1" applyBorder="1" applyAlignment="1">
      <alignment horizontal="right" vertical="top" wrapText="1"/>
    </xf>
    <xf numFmtId="2" fontId="104" fillId="19" borderId="92" xfId="6" applyNumberFormat="1" applyFont="1" applyFill="1" applyBorder="1" applyAlignment="1">
      <alignment horizontal="center" vertical="center" wrapText="1"/>
    </xf>
    <xf numFmtId="2" fontId="19" fillId="0" borderId="133" xfId="12" applyNumberFormat="1" applyFont="1" applyBorder="1" applyAlignment="1">
      <alignment horizontal="center" vertical="center"/>
    </xf>
    <xf numFmtId="2" fontId="19" fillId="0" borderId="137" xfId="12" applyNumberFormat="1" applyFont="1" applyBorder="1" applyAlignment="1">
      <alignment horizontal="center" vertical="center"/>
    </xf>
    <xf numFmtId="2" fontId="19" fillId="0" borderId="141" xfId="12" applyNumberFormat="1" applyFont="1" applyBorder="1" applyAlignment="1">
      <alignment horizontal="center" vertical="center"/>
    </xf>
    <xf numFmtId="0" fontId="57" fillId="0" borderId="0" xfId="24" applyFont="1"/>
    <xf numFmtId="10" fontId="54" fillId="16" borderId="0" xfId="24" applyNumberFormat="1" applyFont="1" applyFill="1" applyAlignment="1">
      <alignment vertical="top" wrapText="1"/>
    </xf>
    <xf numFmtId="0" fontId="57" fillId="0" borderId="0" xfId="24" applyFont="1" applyAlignment="1">
      <alignment vertical="top"/>
    </xf>
    <xf numFmtId="0" fontId="54" fillId="16" borderId="92" xfId="6" applyFont="1" applyFill="1" applyBorder="1" applyAlignment="1">
      <alignment horizontal="left" vertical="top" wrapText="1"/>
    </xf>
    <xf numFmtId="0" fontId="54" fillId="16" borderId="92" xfId="6" applyFont="1" applyFill="1" applyBorder="1" applyAlignment="1">
      <alignment horizontal="right" vertical="top" wrapText="1"/>
    </xf>
    <xf numFmtId="0" fontId="54" fillId="16" borderId="92" xfId="6" applyFont="1" applyFill="1" applyBorder="1" applyAlignment="1">
      <alignment vertical="top" wrapText="1"/>
    </xf>
    <xf numFmtId="0" fontId="54" fillId="16" borderId="92" xfId="6" applyFont="1" applyFill="1" applyBorder="1" applyAlignment="1">
      <alignment horizontal="center" vertical="top" wrapText="1"/>
    </xf>
    <xf numFmtId="0" fontId="57" fillId="0" borderId="0" xfId="0" applyFont="1" applyAlignment="1">
      <alignment horizontal="left" vertical="top" wrapText="1"/>
    </xf>
    <xf numFmtId="0" fontId="57" fillId="0" borderId="0" xfId="0" applyFont="1" applyAlignment="1">
      <alignment horizontal="right" vertical="top" wrapText="1"/>
    </xf>
    <xf numFmtId="0" fontId="57" fillId="0" borderId="0" xfId="0" applyFont="1" applyAlignment="1">
      <alignment vertical="top" wrapText="1"/>
    </xf>
    <xf numFmtId="0" fontId="57" fillId="0" borderId="0" xfId="0" applyFont="1" applyAlignment="1">
      <alignment horizontal="center" vertical="top" wrapText="1"/>
    </xf>
    <xf numFmtId="173" fontId="57" fillId="0" borderId="0" xfId="0" applyNumberFormat="1" applyFont="1" applyAlignment="1">
      <alignment horizontal="right" vertical="top" wrapText="1"/>
    </xf>
    <xf numFmtId="4" fontId="57" fillId="0" borderId="0" xfId="0" applyNumberFormat="1" applyFont="1" applyAlignment="1">
      <alignment horizontal="right" vertical="top" wrapText="1"/>
    </xf>
    <xf numFmtId="0" fontId="104" fillId="0" borderId="0" xfId="0" applyFont="1" applyAlignment="1">
      <alignment horizontal="left" vertical="top" wrapText="1"/>
    </xf>
    <xf numFmtId="0" fontId="54" fillId="0" borderId="0" xfId="0" applyFont="1" applyAlignment="1">
      <alignment horizontal="left" vertical="top" wrapText="1"/>
    </xf>
    <xf numFmtId="0" fontId="54" fillId="0" borderId="0" xfId="0" applyFont="1" applyAlignment="1">
      <alignment horizontal="right" vertical="top" wrapText="1"/>
    </xf>
    <xf numFmtId="0" fontId="54" fillId="0" borderId="0" xfId="0" applyFont="1" applyAlignment="1">
      <alignment vertical="top" wrapText="1"/>
    </xf>
    <xf numFmtId="0" fontId="54" fillId="0" borderId="0" xfId="0" applyFont="1" applyAlignment="1">
      <alignment horizontal="center" vertical="top" wrapText="1"/>
    </xf>
    <xf numFmtId="0" fontId="104" fillId="0" borderId="0" xfId="0" applyFont="1" applyAlignment="1">
      <alignment horizontal="right" vertical="top" wrapText="1"/>
    </xf>
    <xf numFmtId="0" fontId="104" fillId="0" borderId="0" xfId="0" applyFont="1" applyAlignment="1">
      <alignment vertical="top" wrapText="1"/>
    </xf>
    <xf numFmtId="0" fontId="104" fillId="0" borderId="0" xfId="0" applyFont="1" applyAlignment="1">
      <alignment horizontal="center" vertical="top" wrapText="1"/>
    </xf>
    <xf numFmtId="173" fontId="104" fillId="0" borderId="0" xfId="0" applyNumberFormat="1" applyFont="1" applyAlignment="1">
      <alignment horizontal="right" vertical="top" wrapText="1"/>
    </xf>
    <xf numFmtId="4" fontId="104" fillId="0" borderId="0" xfId="0" applyNumberFormat="1" applyFont="1" applyAlignment="1">
      <alignment horizontal="right" vertical="top" wrapText="1"/>
    </xf>
    <xf numFmtId="0" fontId="57" fillId="0" borderId="92" xfId="0" applyFont="1" applyBorder="1" applyAlignment="1">
      <alignment vertical="top" wrapText="1"/>
    </xf>
    <xf numFmtId="0" fontId="53" fillId="0" borderId="13" xfId="206" applyFont="1" applyBorder="1" applyAlignment="1">
      <alignment horizontal="center" vertical="center"/>
    </xf>
    <xf numFmtId="0" fontId="8" fillId="0" borderId="19" xfId="49" applyFont="1" applyBorder="1" applyAlignment="1">
      <alignment vertical="center"/>
    </xf>
    <xf numFmtId="2" fontId="64" fillId="0" borderId="14" xfId="0" applyNumberFormat="1" applyFont="1" applyBorder="1" applyAlignment="1">
      <alignment horizontal="center" vertical="center"/>
    </xf>
    <xf numFmtId="2" fontId="64" fillId="0" borderId="13" xfId="0" applyNumberFormat="1" applyFont="1" applyBorder="1" applyAlignment="1">
      <alignment vertical="center"/>
    </xf>
    <xf numFmtId="0" fontId="64" fillId="0" borderId="58" xfId="0" applyFont="1" applyBorder="1" applyAlignment="1">
      <alignment horizontal="left" vertical="top"/>
    </xf>
    <xf numFmtId="0" fontId="64" fillId="0" borderId="51" xfId="0" applyFont="1" applyBorder="1" applyAlignment="1">
      <alignment horizontal="center" vertical="center"/>
    </xf>
    <xf numFmtId="0" fontId="64" fillId="0" borderId="51" xfId="0" applyFont="1" applyBorder="1" applyAlignment="1">
      <alignment horizontal="center" vertical="top"/>
    </xf>
    <xf numFmtId="2" fontId="64" fillId="0" borderId="51" xfId="0" applyNumberFormat="1" applyFont="1" applyBorder="1" applyAlignment="1">
      <alignment vertical="center"/>
    </xf>
    <xf numFmtId="2" fontId="64" fillId="0" borderId="51" xfId="0" applyNumberFormat="1" applyFont="1" applyBorder="1" applyAlignment="1">
      <alignment horizontal="center" vertical="center"/>
    </xf>
    <xf numFmtId="0" fontId="64" fillId="0" borderId="66" xfId="0" applyFont="1" applyBorder="1" applyAlignment="1">
      <alignment horizontal="center" vertical="center"/>
    </xf>
    <xf numFmtId="2" fontId="64" fillId="0" borderId="72" xfId="0" applyNumberFormat="1" applyFont="1" applyBorder="1" applyAlignment="1">
      <alignment horizontal="center" vertical="top"/>
    </xf>
    <xf numFmtId="2" fontId="64" fillId="0" borderId="30" xfId="0" applyNumberFormat="1" applyFont="1" applyBorder="1" applyAlignment="1">
      <alignment horizontal="center" vertical="top"/>
    </xf>
    <xf numFmtId="0" fontId="56" fillId="0" borderId="0" xfId="200" applyFont="1" applyAlignment="1">
      <alignment horizontal="right" vertical="center"/>
    </xf>
    <xf numFmtId="0" fontId="60" fillId="0" borderId="0" xfId="0" applyFont="1" applyAlignment="1">
      <alignment horizontal="center" vertical="center"/>
    </xf>
    <xf numFmtId="0" fontId="60" fillId="0" borderId="0" xfId="0" applyFont="1" applyAlignment="1">
      <alignment horizontal="left" vertical="top"/>
    </xf>
    <xf numFmtId="0" fontId="56" fillId="0" borderId="0" xfId="7" applyFont="1" applyAlignment="1">
      <alignment horizontal="right" vertical="center"/>
    </xf>
    <xf numFmtId="0" fontId="56" fillId="0" borderId="0" xfId="9" applyNumberFormat="1" applyFont="1" applyFill="1" applyAlignment="1">
      <alignment horizontal="center" vertical="center"/>
    </xf>
    <xf numFmtId="0" fontId="56" fillId="0" borderId="0" xfId="7" applyFont="1" applyAlignment="1">
      <alignment horizontal="left" vertical="center"/>
    </xf>
    <xf numFmtId="0" fontId="80" fillId="0" borderId="0" xfId="49" applyFont="1" applyAlignment="1">
      <alignment horizontal="right" vertical="center"/>
    </xf>
    <xf numFmtId="0" fontId="80" fillId="0" borderId="0" xfId="49" applyFont="1" applyAlignment="1">
      <alignment horizontal="left" vertical="center"/>
    </xf>
    <xf numFmtId="4" fontId="78" fillId="0" borderId="1" xfId="203" applyNumberFormat="1" applyFont="1" applyBorder="1" applyAlignment="1">
      <alignment horizontal="center" vertical="center"/>
    </xf>
    <xf numFmtId="4" fontId="78" fillId="0" borderId="0" xfId="203" applyNumberFormat="1" applyFont="1" applyAlignment="1">
      <alignment horizontal="center" vertical="center"/>
    </xf>
    <xf numFmtId="2" fontId="78" fillId="0" borderId="148" xfId="203" applyNumberFormat="1" applyFont="1" applyBorder="1" applyAlignment="1">
      <alignment horizontal="center" vertical="center"/>
    </xf>
    <xf numFmtId="2" fontId="114" fillId="0" borderId="0" xfId="208" applyNumberFormat="1" applyFont="1" applyAlignment="1">
      <alignment vertical="center"/>
    </xf>
    <xf numFmtId="4" fontId="49" fillId="0" borderId="60" xfId="9" applyNumberFormat="1" applyFont="1" applyFill="1" applyBorder="1" applyAlignment="1">
      <alignment horizontal="center" vertical="center"/>
    </xf>
    <xf numFmtId="0" fontId="49" fillId="0" borderId="0" xfId="7" applyFont="1" applyAlignment="1">
      <alignment vertical="center"/>
    </xf>
    <xf numFmtId="4" fontId="49" fillId="0" borderId="0" xfId="7" applyNumberFormat="1" applyFont="1" applyAlignment="1">
      <alignment horizontal="right" vertical="center"/>
    </xf>
    <xf numFmtId="4" fontId="49" fillId="0" borderId="0" xfId="7" applyNumberFormat="1" applyFont="1" applyAlignment="1">
      <alignment vertical="center"/>
    </xf>
    <xf numFmtId="0" fontId="89" fillId="0" borderId="0" xfId="7" applyFont="1" applyAlignment="1">
      <alignment vertical="center"/>
    </xf>
    <xf numFmtId="2" fontId="49" fillId="0" borderId="0" xfId="7" applyNumberFormat="1" applyFont="1" applyAlignment="1">
      <alignment vertical="center" wrapText="1"/>
    </xf>
    <xf numFmtId="4" fontId="82" fillId="0" borderId="0" xfId="196" applyNumberFormat="1" applyFont="1" applyFill="1" applyBorder="1" applyAlignment="1">
      <alignment horizontal="right" vertical="center"/>
    </xf>
    <xf numFmtId="0" fontId="82" fillId="0" borderId="8" xfId="194" applyFont="1" applyBorder="1" applyAlignment="1">
      <alignment horizontal="right" vertical="center"/>
    </xf>
    <xf numFmtId="0" fontId="82" fillId="0" borderId="0" xfId="194" applyFont="1" applyAlignment="1">
      <alignment horizontal="center" vertical="center"/>
    </xf>
    <xf numFmtId="4" fontId="54" fillId="0" borderId="0" xfId="194" applyNumberFormat="1" applyFont="1" applyAlignment="1">
      <alignment horizontal="right" vertical="center"/>
    </xf>
    <xf numFmtId="3" fontId="54" fillId="0" borderId="0" xfId="194" applyNumberFormat="1" applyFont="1" applyAlignment="1">
      <alignment horizontal="left" vertical="center"/>
    </xf>
    <xf numFmtId="0" fontId="54" fillId="0" borderId="0" xfId="194" applyFont="1" applyAlignment="1">
      <alignment vertical="center"/>
    </xf>
    <xf numFmtId="2" fontId="54" fillId="0" borderId="0" xfId="194" applyNumberFormat="1" applyFont="1" applyAlignment="1">
      <alignment horizontal="center" vertical="center"/>
    </xf>
    <xf numFmtId="4" fontId="82" fillId="0" borderId="0" xfId="196" applyNumberFormat="1" applyFont="1" applyFill="1" applyAlignment="1">
      <alignment horizontal="right" vertical="center"/>
    </xf>
    <xf numFmtId="0" fontId="83" fillId="0" borderId="0" xfId="194" applyFont="1" applyAlignment="1">
      <alignment horizontal="right" vertical="center"/>
    </xf>
    <xf numFmtId="43" fontId="54" fillId="0" borderId="0" xfId="9" applyFont="1" applyFill="1" applyAlignment="1">
      <alignment horizontal="right" vertical="center"/>
    </xf>
    <xf numFmtId="4" fontId="82" fillId="0" borderId="0" xfId="194" applyNumberFormat="1" applyFont="1" applyAlignment="1">
      <alignment horizontal="right" vertical="center"/>
    </xf>
    <xf numFmtId="2" fontId="91" fillId="0" borderId="0" xfId="194" applyNumberFormat="1" applyFont="1" applyAlignment="1">
      <alignment horizontal="center" vertical="center"/>
    </xf>
    <xf numFmtId="4" fontId="107" fillId="19" borderId="8" xfId="199" applyNumberFormat="1" applyFont="1" applyFill="1" applyBorder="1" applyAlignment="1">
      <alignment horizontal="right" vertical="center" wrapText="1"/>
    </xf>
    <xf numFmtId="4" fontId="107" fillId="19" borderId="0" xfId="199" applyNumberFormat="1" applyFont="1" applyFill="1" applyAlignment="1">
      <alignment horizontal="right" vertical="center" wrapText="1"/>
    </xf>
    <xf numFmtId="4" fontId="107" fillId="19" borderId="38" xfId="199" applyNumberFormat="1" applyFont="1" applyFill="1" applyBorder="1" applyAlignment="1">
      <alignment horizontal="right" vertical="center" wrapText="1"/>
    </xf>
    <xf numFmtId="4" fontId="107" fillId="19" borderId="8" xfId="199" applyNumberFormat="1" applyFont="1" applyFill="1" applyBorder="1" applyAlignment="1">
      <alignment vertical="center" wrapText="1"/>
    </xf>
    <xf numFmtId="4" fontId="107" fillId="19" borderId="38" xfId="199" applyNumberFormat="1" applyFont="1" applyFill="1" applyBorder="1" applyAlignment="1">
      <alignment vertical="center" wrapText="1"/>
    </xf>
    <xf numFmtId="4" fontId="49" fillId="0" borderId="7" xfId="175" applyNumberFormat="1" applyFont="1" applyBorder="1" applyAlignment="1">
      <alignment vertical="center"/>
    </xf>
    <xf numFmtId="0" fontId="104" fillId="0" borderId="92" xfId="0" quotePrefix="1" applyFont="1" applyBorder="1" applyAlignment="1">
      <alignment horizontal="right" vertical="top" wrapText="1"/>
    </xf>
    <xf numFmtId="0" fontId="106" fillId="0" borderId="92" xfId="0" applyFont="1" applyBorder="1" applyAlignment="1">
      <alignment horizontal="left" vertical="top" wrapText="1"/>
    </xf>
    <xf numFmtId="2" fontId="106" fillId="0" borderId="92" xfId="6" applyNumberFormat="1" applyFont="1" applyBorder="1" applyAlignment="1">
      <alignment horizontal="left" vertical="top" wrapText="1"/>
    </xf>
    <xf numFmtId="2" fontId="106" fillId="0" borderId="92" xfId="6" applyNumberFormat="1" applyFont="1" applyBorder="1" applyAlignment="1">
      <alignment horizontal="center" vertical="top" wrapText="1"/>
    </xf>
    <xf numFmtId="2" fontId="106" fillId="0" borderId="92" xfId="6" applyNumberFormat="1" applyFont="1" applyBorder="1" applyAlignment="1">
      <alignment horizontal="center" vertical="center" wrapText="1"/>
    </xf>
    <xf numFmtId="0" fontId="106" fillId="0" borderId="96" xfId="0" applyFont="1" applyBorder="1" applyAlignment="1">
      <alignment horizontal="right" vertical="top" wrapText="1"/>
    </xf>
    <xf numFmtId="4" fontId="106" fillId="0" borderId="97" xfId="6" applyNumberFormat="1" applyFont="1" applyBorder="1" applyAlignment="1">
      <alignment horizontal="right" vertical="top" wrapText="1"/>
    </xf>
    <xf numFmtId="10" fontId="106" fillId="0" borderId="92" xfId="6" applyNumberFormat="1" applyFont="1" applyBorder="1" applyAlignment="1">
      <alignment horizontal="right" vertical="top" wrapText="1"/>
    </xf>
    <xf numFmtId="4" fontId="106" fillId="0" borderId="92" xfId="6" applyNumberFormat="1" applyFont="1" applyBorder="1" applyAlignment="1">
      <alignment horizontal="right" vertical="top" wrapText="1"/>
    </xf>
    <xf numFmtId="10" fontId="91" fillId="0" borderId="98" xfId="202" applyNumberFormat="1" applyFont="1" applyFill="1" applyBorder="1" applyAlignment="1">
      <alignment horizontal="right" vertical="top" wrapText="1"/>
    </xf>
    <xf numFmtId="4" fontId="106" fillId="0" borderId="102" xfId="6" applyNumberFormat="1" applyFont="1" applyBorder="1" applyAlignment="1">
      <alignment horizontal="right" vertical="top" wrapText="1"/>
    </xf>
    <xf numFmtId="0" fontId="106" fillId="0" borderId="0" xfId="23" applyFont="1" applyAlignment="1">
      <alignment vertical="center"/>
    </xf>
    <xf numFmtId="4" fontId="106" fillId="0" borderId="96" xfId="0" applyNumberFormat="1" applyFont="1" applyBorder="1" applyAlignment="1">
      <alignment horizontal="right" vertical="top" wrapText="1"/>
    </xf>
    <xf numFmtId="0" fontId="106" fillId="0" borderId="92" xfId="0" applyFont="1" applyFill="1" applyBorder="1" applyAlignment="1">
      <alignment horizontal="left" vertical="top" wrapText="1"/>
    </xf>
    <xf numFmtId="2" fontId="106" fillId="0" borderId="92" xfId="6" applyNumberFormat="1" applyFont="1" applyFill="1" applyBorder="1" applyAlignment="1">
      <alignment horizontal="left" vertical="top" wrapText="1"/>
    </xf>
    <xf numFmtId="2" fontId="106" fillId="0" borderId="92" xfId="6" applyNumberFormat="1" applyFont="1" applyFill="1" applyBorder="1" applyAlignment="1">
      <alignment horizontal="center" vertical="top" wrapText="1"/>
    </xf>
    <xf numFmtId="2" fontId="106" fillId="0" borderId="92" xfId="6" applyNumberFormat="1" applyFont="1" applyFill="1" applyBorder="1" applyAlignment="1">
      <alignment horizontal="center" vertical="center" wrapText="1"/>
    </xf>
    <xf numFmtId="4" fontId="106" fillId="0" borderId="96" xfId="0" applyNumberFormat="1" applyFont="1" applyFill="1" applyBorder="1" applyAlignment="1">
      <alignment horizontal="right" vertical="top" wrapText="1"/>
    </xf>
    <xf numFmtId="4" fontId="106" fillId="0" borderId="97" xfId="6" applyNumberFormat="1" applyFont="1" applyFill="1" applyBorder="1" applyAlignment="1">
      <alignment horizontal="right" vertical="top" wrapText="1"/>
    </xf>
    <xf numFmtId="10" fontId="106" fillId="0" borderId="92" xfId="6" applyNumberFormat="1" applyFont="1" applyFill="1" applyBorder="1" applyAlignment="1">
      <alignment horizontal="right" vertical="top" wrapText="1"/>
    </xf>
    <xf numFmtId="4" fontId="106" fillId="0" borderId="92" xfId="6" applyNumberFormat="1" applyFont="1" applyFill="1" applyBorder="1" applyAlignment="1">
      <alignment horizontal="right" vertical="top" wrapText="1"/>
    </xf>
    <xf numFmtId="4" fontId="106" fillId="0" borderId="102" xfId="6" applyNumberFormat="1" applyFont="1" applyFill="1" applyBorder="1" applyAlignment="1">
      <alignment horizontal="right" vertical="top" wrapText="1"/>
    </xf>
    <xf numFmtId="0" fontId="106" fillId="0" borderId="0" xfId="23" applyFont="1" applyFill="1" applyAlignment="1">
      <alignment vertical="center"/>
    </xf>
    <xf numFmtId="0" fontId="106" fillId="0" borderId="96" xfId="0" applyFont="1" applyFill="1" applyBorder="1" applyAlignment="1">
      <alignment horizontal="right" vertical="top" wrapText="1"/>
    </xf>
    <xf numFmtId="10" fontId="106" fillId="0" borderId="98" xfId="202" applyNumberFormat="1" applyFont="1" applyFill="1" applyBorder="1" applyAlignment="1">
      <alignment horizontal="right" vertical="top" wrapText="1"/>
    </xf>
    <xf numFmtId="43" fontId="106" fillId="0" borderId="96" xfId="0" applyNumberFormat="1" applyFont="1" applyFill="1" applyBorder="1" applyAlignment="1">
      <alignment horizontal="right" vertical="top" wrapText="1"/>
    </xf>
    <xf numFmtId="0" fontId="104" fillId="8" borderId="92" xfId="0" applyFont="1" applyFill="1" applyBorder="1" applyAlignment="1">
      <alignment horizontal="left" vertical="top" wrapText="1"/>
    </xf>
    <xf numFmtId="2" fontId="104" fillId="8" borderId="92" xfId="6" applyNumberFormat="1" applyFont="1" applyFill="1" applyBorder="1" applyAlignment="1">
      <alignment horizontal="left" vertical="top" wrapText="1"/>
    </xf>
    <xf numFmtId="2" fontId="104" fillId="8" borderId="92" xfId="6" applyNumberFormat="1" applyFont="1" applyFill="1" applyBorder="1" applyAlignment="1">
      <alignment horizontal="center" vertical="top" wrapText="1"/>
    </xf>
    <xf numFmtId="2" fontId="104" fillId="8" borderId="92" xfId="6" applyNumberFormat="1" applyFont="1" applyFill="1" applyBorder="1" applyAlignment="1">
      <alignment horizontal="center" vertical="center" wrapText="1"/>
    </xf>
    <xf numFmtId="0" fontId="104" fillId="8" borderId="96" xfId="0" applyFont="1" applyFill="1" applyBorder="1" applyAlignment="1">
      <alignment horizontal="right" vertical="top" wrapText="1"/>
    </xf>
    <xf numFmtId="4" fontId="104" fillId="8" borderId="97" xfId="6" applyNumberFormat="1" applyFont="1" applyFill="1" applyBorder="1" applyAlignment="1">
      <alignment horizontal="right" vertical="top" wrapText="1"/>
    </xf>
    <xf numFmtId="10" fontId="104" fillId="8" borderId="92" xfId="6" applyNumberFormat="1" applyFont="1" applyFill="1" applyBorder="1" applyAlignment="1">
      <alignment horizontal="right" vertical="top" wrapText="1"/>
    </xf>
    <xf numFmtId="4" fontId="104" fillId="8" borderId="92" xfId="6" applyNumberFormat="1" applyFont="1" applyFill="1" applyBorder="1" applyAlignment="1">
      <alignment horizontal="right" vertical="top" wrapText="1"/>
    </xf>
    <xf numFmtId="9" fontId="108" fillId="8" borderId="98" xfId="202" applyFont="1" applyFill="1" applyBorder="1" applyAlignment="1">
      <alignment horizontal="right" vertical="top" wrapText="1"/>
    </xf>
    <xf numFmtId="4" fontId="104" fillId="8" borderId="102" xfId="6" applyNumberFormat="1" applyFont="1" applyFill="1" applyBorder="1" applyAlignment="1">
      <alignment horizontal="right" vertical="top" wrapText="1"/>
    </xf>
    <xf numFmtId="10" fontId="108" fillId="8" borderId="98" xfId="202" applyNumberFormat="1" applyFont="1" applyFill="1" applyBorder="1" applyAlignment="1">
      <alignment horizontal="right" vertical="top" wrapText="1"/>
    </xf>
    <xf numFmtId="0" fontId="57" fillId="8" borderId="0" xfId="23" applyFont="1" applyFill="1" applyAlignment="1">
      <alignment vertical="center"/>
    </xf>
    <xf numFmtId="2" fontId="104" fillId="8" borderId="96" xfId="0" applyNumberFormat="1" applyFont="1" applyFill="1" applyBorder="1" applyAlignment="1">
      <alignment horizontal="right" vertical="top" wrapText="1"/>
    </xf>
    <xf numFmtId="0" fontId="106" fillId="8" borderId="96" xfId="0" applyFont="1" applyFill="1" applyBorder="1" applyAlignment="1">
      <alignment horizontal="right" vertical="top" wrapText="1"/>
    </xf>
    <xf numFmtId="4" fontId="104" fillId="8" borderId="96" xfId="0" applyNumberFormat="1" applyFont="1" applyFill="1" applyBorder="1" applyAlignment="1">
      <alignment horizontal="right" vertical="top" wrapText="1"/>
    </xf>
    <xf numFmtId="39" fontId="104" fillId="8" borderId="96" xfId="0" applyNumberFormat="1" applyFont="1" applyFill="1" applyBorder="1" applyAlignment="1">
      <alignment horizontal="right" vertical="top" wrapText="1"/>
    </xf>
    <xf numFmtId="10" fontId="104" fillId="8" borderId="98" xfId="202" applyNumberFormat="1" applyFont="1" applyFill="1" applyBorder="1" applyAlignment="1">
      <alignment horizontal="right" vertical="top" wrapText="1"/>
    </xf>
    <xf numFmtId="43" fontId="104" fillId="8" borderId="96" xfId="0" applyNumberFormat="1" applyFont="1" applyFill="1" applyBorder="1" applyAlignment="1">
      <alignment horizontal="right" vertical="top" wrapText="1"/>
    </xf>
    <xf numFmtId="2" fontId="106" fillId="0" borderId="96" xfId="0" applyNumberFormat="1" applyFont="1" applyBorder="1" applyAlignment="1">
      <alignment horizontal="right" vertical="top" wrapText="1"/>
    </xf>
    <xf numFmtId="0" fontId="104" fillId="8" borderId="0" xfId="6" applyFont="1" applyFill="1"/>
    <xf numFmtId="0" fontId="104" fillId="8" borderId="105" xfId="0" applyFont="1" applyFill="1" applyBorder="1" applyAlignment="1">
      <alignment horizontal="left" vertical="top" wrapText="1"/>
    </xf>
    <xf numFmtId="2" fontId="104" fillId="8" borderId="105" xfId="6" applyNumberFormat="1" applyFont="1" applyFill="1" applyBorder="1" applyAlignment="1">
      <alignment horizontal="left" vertical="top" wrapText="1"/>
    </xf>
    <xf numFmtId="2" fontId="104" fillId="8" borderId="105" xfId="6" applyNumberFormat="1" applyFont="1" applyFill="1" applyBorder="1" applyAlignment="1">
      <alignment horizontal="center" vertical="top" wrapText="1"/>
    </xf>
    <xf numFmtId="4" fontId="104" fillId="8" borderId="106" xfId="0" applyNumberFormat="1" applyFont="1" applyFill="1" applyBorder="1" applyAlignment="1">
      <alignment horizontal="right" vertical="top" wrapText="1"/>
    </xf>
    <xf numFmtId="10" fontId="108" fillId="8" borderId="159" xfId="202" applyNumberFormat="1" applyFont="1" applyFill="1" applyBorder="1" applyAlignment="1">
      <alignment horizontal="right" vertical="top" wrapText="1"/>
    </xf>
    <xf numFmtId="10" fontId="104" fillId="8" borderId="105" xfId="6" applyNumberFormat="1" applyFont="1" applyFill="1" applyBorder="1" applyAlignment="1">
      <alignment horizontal="right" vertical="top" wrapText="1"/>
    </xf>
    <xf numFmtId="44" fontId="104" fillId="8" borderId="0" xfId="6" applyNumberFormat="1" applyFont="1" applyFill="1"/>
    <xf numFmtId="0" fontId="57" fillId="8" borderId="158" xfId="23" applyFont="1" applyFill="1" applyBorder="1" applyAlignment="1">
      <alignment vertical="center"/>
    </xf>
    <xf numFmtId="0" fontId="57" fillId="8" borderId="158" xfId="23" applyFont="1" applyFill="1" applyBorder="1" applyAlignment="1">
      <alignment vertical="center" wrapText="1"/>
    </xf>
    <xf numFmtId="2" fontId="57" fillId="8" borderId="160" xfId="23" applyNumberFormat="1" applyFont="1" applyFill="1" applyBorder="1" applyAlignment="1">
      <alignment vertical="center"/>
    </xf>
    <xf numFmtId="0" fontId="57" fillId="8" borderId="160" xfId="23" applyFont="1" applyFill="1" applyBorder="1" applyAlignment="1">
      <alignment vertical="center"/>
    </xf>
    <xf numFmtId="10" fontId="104" fillId="8" borderId="102" xfId="6" applyNumberFormat="1" applyFont="1" applyFill="1" applyBorder="1" applyAlignment="1">
      <alignment horizontal="right" vertical="top" wrapText="1"/>
    </xf>
    <xf numFmtId="4" fontId="104" fillId="8" borderId="96" xfId="6" applyNumberFormat="1" applyFont="1" applyFill="1" applyBorder="1" applyAlignment="1">
      <alignment horizontal="right" vertical="top" wrapText="1"/>
    </xf>
    <xf numFmtId="10" fontId="108" fillId="8" borderId="161" xfId="202" applyNumberFormat="1" applyFont="1" applyFill="1" applyBorder="1" applyAlignment="1">
      <alignment horizontal="right" vertical="top" wrapText="1"/>
    </xf>
    <xf numFmtId="0" fontId="56" fillId="16" borderId="0" xfId="6" applyFont="1" applyFill="1" applyAlignment="1">
      <alignment horizontal="center" vertical="center" wrapText="1"/>
    </xf>
    <xf numFmtId="0" fontId="64" fillId="0" borderId="0" xfId="6" applyFont="1" applyAlignment="1">
      <alignment vertical="center"/>
    </xf>
    <xf numFmtId="0" fontId="56" fillId="16" borderId="0" xfId="6" applyFont="1" applyFill="1" applyAlignment="1">
      <alignment horizontal="left" vertical="center" wrapText="1"/>
    </xf>
    <xf numFmtId="0" fontId="56" fillId="16" borderId="0" xfId="6" applyFont="1" applyFill="1" applyAlignment="1">
      <alignment horizontal="left" vertical="top" wrapText="1"/>
    </xf>
    <xf numFmtId="10" fontId="99" fillId="16" borderId="0" xfId="6" applyNumberFormat="1" applyFont="1" applyFill="1" applyAlignment="1">
      <alignment horizontal="left" vertical="top" wrapText="1"/>
    </xf>
    <xf numFmtId="0" fontId="99" fillId="16" borderId="0" xfId="6" applyFont="1" applyFill="1" applyAlignment="1">
      <alignment horizontal="left" vertical="top" wrapText="1"/>
    </xf>
    <xf numFmtId="44" fontId="56" fillId="16" borderId="0" xfId="6" applyNumberFormat="1" applyFont="1" applyFill="1" applyAlignment="1">
      <alignment horizontal="right" vertical="top" wrapText="1"/>
    </xf>
    <xf numFmtId="0" fontId="56" fillId="16" borderId="92" xfId="6" applyFont="1" applyFill="1" applyBorder="1" applyAlignment="1">
      <alignment horizontal="left" vertical="center" wrapText="1"/>
    </xf>
    <xf numFmtId="0" fontId="60" fillId="17" borderId="92" xfId="6" applyFont="1" applyFill="1" applyBorder="1" applyAlignment="1">
      <alignment horizontal="left" vertical="top" wrapText="1"/>
    </xf>
    <xf numFmtId="10" fontId="56" fillId="16" borderId="0" xfId="6" applyNumberFormat="1" applyFont="1" applyFill="1" applyAlignment="1">
      <alignment horizontal="left" vertical="top" wrapText="1"/>
    </xf>
    <xf numFmtId="44" fontId="56" fillId="16" borderId="0" xfId="6" applyNumberFormat="1" applyFont="1" applyFill="1" applyAlignment="1">
      <alignment horizontal="right" wrapText="1"/>
    </xf>
    <xf numFmtId="44" fontId="56" fillId="0" borderId="0" xfId="201" applyFont="1" applyAlignment="1">
      <alignment horizontal="right"/>
    </xf>
    <xf numFmtId="0" fontId="56" fillId="16" borderId="0" xfId="6" applyFont="1" applyFill="1" applyAlignment="1">
      <alignment horizontal="right" wrapText="1"/>
    </xf>
    <xf numFmtId="0" fontId="54" fillId="16" borderId="0" xfId="23" applyFont="1" applyFill="1" applyAlignment="1">
      <alignment horizontal="center" vertical="center" wrapText="1"/>
    </xf>
    <xf numFmtId="0" fontId="54" fillId="0" borderId="93" xfId="23" applyFont="1" applyBorder="1" applyAlignment="1">
      <alignment horizontal="center" vertical="center"/>
    </xf>
    <xf numFmtId="0" fontId="54" fillId="0" borderId="94" xfId="23" applyFont="1" applyBorder="1" applyAlignment="1">
      <alignment horizontal="center" vertical="center"/>
    </xf>
    <xf numFmtId="0" fontId="54" fillId="0" borderId="95" xfId="23" applyFont="1" applyBorder="1" applyAlignment="1">
      <alignment horizontal="center" vertical="center"/>
    </xf>
    <xf numFmtId="0" fontId="54" fillId="16" borderId="0" xfId="23" applyFont="1" applyFill="1" applyAlignment="1">
      <alignment horizontal="left" vertical="center" wrapText="1"/>
    </xf>
    <xf numFmtId="0" fontId="54" fillId="16" borderId="0" xfId="23" applyFont="1" applyFill="1" applyAlignment="1">
      <alignment horizontal="left" vertical="top" wrapText="1"/>
    </xf>
    <xf numFmtId="0" fontId="49" fillId="21" borderId="0" xfId="0" applyFont="1" applyFill="1" applyAlignment="1">
      <alignment vertical="top" wrapText="1"/>
    </xf>
    <xf numFmtId="0" fontId="49" fillId="21" borderId="38" xfId="0" applyFont="1" applyFill="1" applyBorder="1" applyAlignment="1">
      <alignment vertical="top" wrapText="1"/>
    </xf>
    <xf numFmtId="44" fontId="54" fillId="0" borderId="0" xfId="201" applyFont="1" applyBorder="1" applyAlignment="1">
      <alignment horizontal="center" vertical="center"/>
    </xf>
    <xf numFmtId="44" fontId="54" fillId="0" borderId="55" xfId="201" applyFont="1" applyBorder="1" applyAlignment="1">
      <alignment horizontal="center" vertical="center"/>
    </xf>
    <xf numFmtId="44" fontId="54" fillId="0" borderId="38" xfId="201" applyFont="1" applyBorder="1" applyAlignment="1">
      <alignment horizontal="center" vertical="center"/>
    </xf>
    <xf numFmtId="44" fontId="54" fillId="0" borderId="53" xfId="201" applyFont="1" applyBorder="1" applyAlignment="1">
      <alignment horizontal="center" vertical="center"/>
    </xf>
    <xf numFmtId="0" fontId="54" fillId="21" borderId="96" xfId="0" applyFont="1" applyFill="1" applyBorder="1" applyAlignment="1">
      <alignment vertical="top" wrapText="1"/>
    </xf>
    <xf numFmtId="0" fontId="54" fillId="21" borderId="102" xfId="0" applyFont="1" applyFill="1" applyBorder="1" applyAlignment="1">
      <alignment vertical="top" wrapText="1"/>
    </xf>
    <xf numFmtId="0" fontId="104" fillId="0" borderId="96" xfId="0" applyFont="1" applyBorder="1" applyAlignment="1">
      <alignment vertical="top" wrapText="1"/>
    </xf>
    <xf numFmtId="0" fontId="104" fillId="0" borderId="102" xfId="0" applyFont="1" applyBorder="1" applyAlignment="1">
      <alignment vertical="top" wrapText="1"/>
    </xf>
    <xf numFmtId="0" fontId="57" fillId="0" borderId="96" xfId="0" applyFont="1" applyBorder="1" applyAlignment="1">
      <alignment vertical="top" wrapText="1"/>
    </xf>
    <xf numFmtId="0" fontId="57" fillId="0" borderId="102" xfId="0" applyFont="1" applyBorder="1" applyAlignment="1">
      <alignment vertical="top" wrapText="1"/>
    </xf>
    <xf numFmtId="0" fontId="104" fillId="22" borderId="96" xfId="0" applyFont="1" applyFill="1" applyBorder="1" applyAlignment="1">
      <alignment vertical="top" wrapText="1"/>
    </xf>
    <xf numFmtId="0" fontId="104" fillId="22" borderId="102" xfId="0" applyFont="1" applyFill="1" applyBorder="1" applyAlignment="1">
      <alignment vertical="top" wrapText="1"/>
    </xf>
    <xf numFmtId="0" fontId="108" fillId="20" borderId="96" xfId="0" applyFont="1" applyFill="1" applyBorder="1" applyAlignment="1">
      <alignment horizontal="left" vertical="top" wrapText="1"/>
    </xf>
    <xf numFmtId="0" fontId="108" fillId="20" borderId="102" xfId="0" applyFont="1" applyFill="1" applyBorder="1" applyAlignment="1">
      <alignment horizontal="left" vertical="top" wrapText="1"/>
    </xf>
    <xf numFmtId="0" fontId="54" fillId="21" borderId="162" xfId="0" applyFont="1" applyFill="1" applyBorder="1" applyAlignment="1">
      <alignment horizontal="center" wrapText="1"/>
    </xf>
    <xf numFmtId="0" fontId="54" fillId="21" borderId="100" xfId="0" applyFont="1" applyFill="1" applyBorder="1" applyAlignment="1">
      <alignment horizontal="center" wrapText="1"/>
    </xf>
    <xf numFmtId="0" fontId="54" fillId="21" borderId="157" xfId="0" applyFont="1" applyFill="1" applyBorder="1" applyAlignment="1">
      <alignment horizontal="center" wrapText="1"/>
    </xf>
    <xf numFmtId="0" fontId="54" fillId="16" borderId="0" xfId="24" applyFont="1" applyFill="1" applyAlignment="1">
      <alignment horizontal="left" vertical="top" wrapText="1"/>
    </xf>
    <xf numFmtId="0" fontId="54" fillId="16" borderId="54" xfId="24" applyFont="1" applyFill="1" applyBorder="1" applyAlignment="1">
      <alignment horizontal="left" vertical="top" wrapText="1"/>
    </xf>
    <xf numFmtId="0" fontId="56" fillId="16" borderId="0" xfId="24" applyFont="1" applyFill="1" applyAlignment="1">
      <alignment horizontal="left" vertical="top" wrapText="1"/>
    </xf>
    <xf numFmtId="0" fontId="56" fillId="16" borderId="100" xfId="24" applyFont="1" applyFill="1" applyBorder="1" applyAlignment="1">
      <alignment horizontal="center" vertical="center" wrapText="1"/>
    </xf>
    <xf numFmtId="0" fontId="60" fillId="17" borderId="104" xfId="6" applyFont="1" applyFill="1" applyBorder="1" applyAlignment="1">
      <alignment horizontal="left" vertical="top" wrapText="1"/>
    </xf>
    <xf numFmtId="0" fontId="60" fillId="17" borderId="108" xfId="6" applyFont="1" applyFill="1" applyBorder="1" applyAlignment="1">
      <alignment horizontal="left" vertical="top" wrapText="1"/>
    </xf>
    <xf numFmtId="0" fontId="60" fillId="17" borderId="105" xfId="6" applyFont="1" applyFill="1" applyBorder="1" applyAlignment="1">
      <alignment horizontal="left" vertical="top" wrapText="1"/>
    </xf>
    <xf numFmtId="0" fontId="60" fillId="17" borderId="109" xfId="6" applyFont="1" applyFill="1" applyBorder="1" applyAlignment="1">
      <alignment horizontal="left" vertical="top" wrapText="1"/>
    </xf>
    <xf numFmtId="0" fontId="56" fillId="16" borderId="0" xfId="6" applyFont="1" applyFill="1" applyAlignment="1">
      <alignment horizontal="right" vertical="top" wrapText="1"/>
    </xf>
    <xf numFmtId="0" fontId="60" fillId="17" borderId="130" xfId="6" applyFont="1" applyFill="1" applyBorder="1" applyAlignment="1">
      <alignment horizontal="left" vertical="top" wrapText="1"/>
    </xf>
    <xf numFmtId="0" fontId="60" fillId="17" borderId="131" xfId="6" applyFont="1" applyFill="1" applyBorder="1" applyAlignment="1">
      <alignment horizontal="left" vertical="top" wrapText="1"/>
    </xf>
    <xf numFmtId="0" fontId="56" fillId="16" borderId="132" xfId="6" applyFont="1" applyFill="1" applyBorder="1" applyAlignment="1">
      <alignment horizontal="right" vertical="top" wrapText="1"/>
    </xf>
    <xf numFmtId="0" fontId="54" fillId="16" borderId="0" xfId="24" applyFont="1" applyFill="1" applyAlignment="1">
      <alignment horizontal="center" wrapText="1"/>
    </xf>
    <xf numFmtId="0" fontId="54" fillId="16" borderId="100" xfId="24" applyFont="1" applyFill="1" applyBorder="1" applyAlignment="1">
      <alignment horizontal="center" wrapText="1"/>
    </xf>
    <xf numFmtId="0" fontId="54" fillId="16" borderId="0" xfId="24" applyFont="1" applyFill="1" applyAlignment="1">
      <alignment vertical="top" wrapText="1"/>
    </xf>
    <xf numFmtId="0" fontId="91" fillId="0" borderId="3" xfId="12" applyFont="1" applyBorder="1" applyAlignment="1">
      <alignment horizontal="center" vertical="center"/>
    </xf>
    <xf numFmtId="0" fontId="91" fillId="0" borderId="4" xfId="12" applyFont="1" applyBorder="1" applyAlignment="1">
      <alignment horizontal="center" vertical="center"/>
    </xf>
    <xf numFmtId="0" fontId="91" fillId="0" borderId="5" xfId="12" applyFont="1" applyBorder="1" applyAlignment="1">
      <alignment horizontal="center" vertical="center"/>
    </xf>
    <xf numFmtId="0" fontId="56" fillId="4" borderId="3" xfId="12" applyFont="1" applyFill="1" applyBorder="1" applyAlignment="1">
      <alignment horizontal="center" vertical="center"/>
    </xf>
    <xf numFmtId="0" fontId="56" fillId="4" borderId="4" xfId="12" applyFont="1" applyFill="1" applyBorder="1" applyAlignment="1">
      <alignment horizontal="center" vertical="center"/>
    </xf>
    <xf numFmtId="0" fontId="56" fillId="4" borderId="5" xfId="12" applyFont="1" applyFill="1" applyBorder="1" applyAlignment="1">
      <alignment horizontal="center" vertical="center"/>
    </xf>
    <xf numFmtId="0" fontId="56" fillId="4" borderId="42" xfId="12" applyFont="1" applyFill="1" applyBorder="1" applyAlignment="1">
      <alignment horizontal="center" vertical="center" wrapText="1"/>
    </xf>
    <xf numFmtId="0" fontId="56" fillId="4" borderId="18" xfId="12" applyFont="1" applyFill="1" applyBorder="1" applyAlignment="1">
      <alignment horizontal="center" vertical="center" wrapText="1"/>
    </xf>
    <xf numFmtId="0" fontId="56" fillId="4" borderId="7" xfId="12" applyFont="1" applyFill="1" applyBorder="1" applyAlignment="1">
      <alignment horizontal="left" vertical="center"/>
    </xf>
    <xf numFmtId="0" fontId="56" fillId="4" borderId="27" xfId="12" applyFont="1" applyFill="1" applyBorder="1" applyAlignment="1">
      <alignment horizontal="left" vertical="center"/>
    </xf>
    <xf numFmtId="0" fontId="56" fillId="4" borderId="7" xfId="12" applyFont="1" applyFill="1" applyBorder="1" applyAlignment="1">
      <alignment horizontal="center" vertical="center" wrapText="1"/>
    </xf>
    <xf numFmtId="0" fontId="56" fillId="4" borderId="27" xfId="12" applyFont="1" applyFill="1" applyBorder="1" applyAlignment="1">
      <alignment horizontal="center" vertical="center" wrapText="1"/>
    </xf>
    <xf numFmtId="0" fontId="85" fillId="4" borderId="15" xfId="184" applyFont="1" applyFill="1" applyBorder="1" applyAlignment="1">
      <alignment horizontal="center" vertical="center"/>
    </xf>
    <xf numFmtId="0" fontId="85" fillId="4" borderId="2" xfId="184" applyFont="1" applyFill="1" applyBorder="1" applyAlignment="1">
      <alignment horizontal="center" vertical="center"/>
    </xf>
    <xf numFmtId="0" fontId="85" fillId="4" borderId="12" xfId="184" applyFont="1" applyFill="1" applyBorder="1" applyAlignment="1">
      <alignment horizontal="center" vertical="center"/>
    </xf>
    <xf numFmtId="0" fontId="85" fillId="4" borderId="15" xfId="0" applyFont="1" applyFill="1" applyBorder="1" applyAlignment="1">
      <alignment horizontal="center" vertical="center"/>
    </xf>
    <xf numFmtId="0" fontId="85" fillId="4" borderId="12" xfId="0" applyFont="1" applyFill="1" applyBorder="1" applyAlignment="1">
      <alignment horizontal="center" vertical="center"/>
    </xf>
    <xf numFmtId="0" fontId="50" fillId="0" borderId="36" xfId="59" applyFont="1" applyBorder="1" applyAlignment="1">
      <alignment horizontal="center" vertical="center" wrapText="1"/>
    </xf>
    <xf numFmtId="0" fontId="50" fillId="0" borderId="51" xfId="59" applyFont="1" applyBorder="1" applyAlignment="1">
      <alignment horizontal="center" vertical="center" wrapText="1"/>
    </xf>
    <xf numFmtId="0" fontId="50" fillId="0" borderId="34" xfId="59" applyFont="1" applyBorder="1" applyAlignment="1">
      <alignment horizontal="center" vertical="center" wrapText="1"/>
    </xf>
    <xf numFmtId="0" fontId="50" fillId="0" borderId="15" xfId="59" applyFont="1" applyBorder="1" applyAlignment="1">
      <alignment horizontal="center" vertical="center"/>
    </xf>
    <xf numFmtId="0" fontId="50" fillId="0" borderId="12" xfId="59" applyFont="1" applyBorder="1" applyAlignment="1">
      <alignment horizontal="center" vertical="center"/>
    </xf>
    <xf numFmtId="43" fontId="49" fillId="4" borderId="13" xfId="186" applyFont="1" applyFill="1" applyBorder="1" applyAlignment="1">
      <alignment horizontal="center" vertical="center"/>
    </xf>
    <xf numFmtId="0" fontId="78" fillId="0" borderId="154" xfId="184" applyFont="1" applyBorder="1" applyAlignment="1">
      <alignment horizontal="center" vertical="center"/>
    </xf>
    <xf numFmtId="0" fontId="78" fillId="0" borderId="51" xfId="184" applyFont="1" applyBorder="1" applyAlignment="1">
      <alignment horizontal="center" vertical="center"/>
    </xf>
    <xf numFmtId="0" fontId="78" fillId="0" borderId="156" xfId="184" applyFont="1" applyBorder="1" applyAlignment="1">
      <alignment horizontal="center" vertical="center"/>
    </xf>
    <xf numFmtId="0" fontId="16" fillId="0" borderId="0" xfId="184" applyAlignment="1">
      <alignment horizontal="center" vertical="center"/>
    </xf>
    <xf numFmtId="0" fontId="4" fillId="0" borderId="0" xfId="184" applyFont="1" applyAlignment="1">
      <alignment horizontal="center" vertical="center"/>
    </xf>
    <xf numFmtId="0" fontId="85" fillId="4" borderId="2" xfId="0" applyFont="1" applyFill="1" applyBorder="1" applyAlignment="1">
      <alignment horizontal="center" vertical="center"/>
    </xf>
    <xf numFmtId="0" fontId="105" fillId="0" borderId="0" xfId="184" applyFont="1" applyAlignment="1">
      <alignment horizontal="center" vertical="center"/>
    </xf>
    <xf numFmtId="0" fontId="4" fillId="0" borderId="0" xfId="206" applyAlignment="1">
      <alignment horizontal="center" vertical="center"/>
    </xf>
    <xf numFmtId="0" fontId="85" fillId="4" borderId="15" xfId="206" applyFont="1" applyFill="1" applyBorder="1" applyAlignment="1">
      <alignment horizontal="center" vertical="center"/>
    </xf>
    <xf numFmtId="0" fontId="85" fillId="4" borderId="2" xfId="206" applyFont="1" applyFill="1" applyBorder="1" applyAlignment="1">
      <alignment horizontal="center" vertical="center"/>
    </xf>
    <xf numFmtId="0" fontId="85" fillId="4" borderId="12" xfId="206" applyFont="1" applyFill="1" applyBorder="1" applyAlignment="1">
      <alignment horizontal="center" vertical="center"/>
    </xf>
    <xf numFmtId="0" fontId="78" fillId="0" borderId="51" xfId="206" applyFont="1" applyBorder="1" applyAlignment="1">
      <alignment horizontal="center" vertical="center"/>
    </xf>
    <xf numFmtId="0" fontId="78" fillId="0" borderId="156" xfId="206" applyFont="1" applyBorder="1" applyAlignment="1">
      <alignment horizontal="center" vertical="center"/>
    </xf>
    <xf numFmtId="0" fontId="4" fillId="0" borderId="24" xfId="206" applyBorder="1" applyAlignment="1">
      <alignment horizontal="right" vertical="center"/>
    </xf>
    <xf numFmtId="0" fontId="4" fillId="0" borderId="25" xfId="206" applyBorder="1" applyAlignment="1">
      <alignment horizontal="right" vertical="center"/>
    </xf>
    <xf numFmtId="0" fontId="4" fillId="0" borderId="19" xfId="206" applyBorder="1" applyAlignment="1">
      <alignment horizontal="right" vertical="center"/>
    </xf>
    <xf numFmtId="0" fontId="4" fillId="0" borderId="13" xfId="206" applyBorder="1" applyAlignment="1">
      <alignment horizontal="right" vertical="center"/>
    </xf>
    <xf numFmtId="0" fontId="56" fillId="4" borderId="21" xfId="206" applyFont="1" applyFill="1" applyBorder="1" applyAlignment="1">
      <alignment horizontal="right" vertical="center"/>
    </xf>
    <xf numFmtId="0" fontId="56" fillId="4" borderId="22" xfId="206" applyFont="1" applyFill="1" applyBorder="1" applyAlignment="1">
      <alignment horizontal="right" vertical="center"/>
    </xf>
    <xf numFmtId="43" fontId="49" fillId="4" borderId="13" xfId="207" applyFont="1" applyFill="1" applyBorder="1" applyAlignment="1">
      <alignment horizontal="center" vertical="center"/>
    </xf>
    <xf numFmtId="0" fontId="91" fillId="2" borderId="3" xfId="12" applyFont="1" applyFill="1" applyBorder="1" applyAlignment="1">
      <alignment horizontal="center" vertical="center"/>
    </xf>
    <xf numFmtId="0" fontId="91" fillId="2" borderId="4" xfId="12" applyFont="1" applyFill="1" applyBorder="1" applyAlignment="1">
      <alignment horizontal="center" vertical="center"/>
    </xf>
    <xf numFmtId="0" fontId="91" fillId="2" borderId="5" xfId="12" applyFont="1" applyFill="1" applyBorder="1" applyAlignment="1">
      <alignment horizontal="center" vertical="center"/>
    </xf>
    <xf numFmtId="0" fontId="54" fillId="4" borderId="3" xfId="12" applyFont="1" applyFill="1" applyBorder="1" applyAlignment="1">
      <alignment horizontal="center" vertical="center"/>
    </xf>
    <xf numFmtId="0" fontId="54" fillId="4" borderId="4" xfId="12" applyFont="1" applyFill="1" applyBorder="1" applyAlignment="1">
      <alignment horizontal="center" vertical="center"/>
    </xf>
    <xf numFmtId="0" fontId="54" fillId="4" borderId="5" xfId="12" applyFont="1" applyFill="1" applyBorder="1" applyAlignment="1">
      <alignment horizontal="center" vertical="center"/>
    </xf>
    <xf numFmtId="0" fontId="57" fillId="2" borderId="4" xfId="12" applyFont="1" applyFill="1" applyBorder="1" applyAlignment="1">
      <alignment horizontal="left" vertical="center" wrapText="1"/>
    </xf>
    <xf numFmtId="0" fontId="54" fillId="2" borderId="3" xfId="12" applyFont="1" applyFill="1" applyBorder="1" applyAlignment="1">
      <alignment horizontal="left" vertical="center"/>
    </xf>
    <xf numFmtId="0" fontId="54" fillId="2" borderId="5" xfId="12" applyFont="1" applyFill="1" applyBorder="1" applyAlignment="1">
      <alignment horizontal="left" vertical="center"/>
    </xf>
    <xf numFmtId="0" fontId="54" fillId="3" borderId="3" xfId="12" applyFont="1" applyFill="1" applyBorder="1" applyAlignment="1">
      <alignment horizontal="center" vertical="center"/>
    </xf>
    <xf numFmtId="0" fontId="54" fillId="3" borderId="4" xfId="12" applyFont="1" applyFill="1" applyBorder="1" applyAlignment="1">
      <alignment horizontal="center" vertical="center"/>
    </xf>
    <xf numFmtId="0" fontId="54" fillId="3" borderId="5" xfId="12" applyFont="1" applyFill="1" applyBorder="1" applyAlignment="1">
      <alignment horizontal="center" vertical="center"/>
    </xf>
    <xf numFmtId="0" fontId="54" fillId="2" borderId="31" xfId="12" applyFont="1" applyFill="1" applyBorder="1" applyAlignment="1">
      <alignment horizontal="left" vertical="center"/>
    </xf>
    <xf numFmtId="0" fontId="54" fillId="2" borderId="11" xfId="12" applyFont="1" applyFill="1" applyBorder="1" applyAlignment="1">
      <alignment horizontal="left" vertical="center"/>
    </xf>
    <xf numFmtId="0" fontId="54" fillId="2" borderId="78" xfId="12" applyFont="1" applyFill="1" applyBorder="1" applyAlignment="1">
      <alignment horizontal="left" vertical="center"/>
    </xf>
    <xf numFmtId="0" fontId="54" fillId="2" borderId="40" xfId="12" applyFont="1" applyFill="1" applyBorder="1" applyAlignment="1">
      <alignment horizontal="left" vertical="center"/>
    </xf>
    <xf numFmtId="0" fontId="57" fillId="2" borderId="43" xfId="12" applyFont="1" applyFill="1" applyBorder="1" applyAlignment="1">
      <alignment horizontal="left" vertical="center" wrapText="1"/>
    </xf>
    <xf numFmtId="0" fontId="57" fillId="2" borderId="25" xfId="12" applyFont="1" applyFill="1" applyBorder="1" applyAlignment="1">
      <alignment horizontal="left" vertical="center" wrapText="1"/>
    </xf>
    <xf numFmtId="0" fontId="57" fillId="2" borderId="12" xfId="12" applyFont="1" applyFill="1" applyBorder="1" applyAlignment="1">
      <alignment horizontal="left" vertical="center" wrapText="1"/>
    </xf>
    <xf numFmtId="0" fontId="57" fillId="2" borderId="13" xfId="12" applyFont="1" applyFill="1" applyBorder="1" applyAlignment="1">
      <alignment horizontal="left" vertical="center" wrapText="1"/>
    </xf>
    <xf numFmtId="0" fontId="57" fillId="2" borderId="39" xfId="12" applyFont="1" applyFill="1" applyBorder="1" applyAlignment="1">
      <alignment horizontal="left" vertical="center" wrapText="1"/>
    </xf>
    <xf numFmtId="0" fontId="57" fillId="2" borderId="22" xfId="12" applyFont="1" applyFill="1" applyBorder="1" applyAlignment="1">
      <alignment horizontal="left" vertical="center" wrapText="1"/>
    </xf>
    <xf numFmtId="165" fontId="57" fillId="2" borderId="7" xfId="12" applyNumberFormat="1" applyFont="1" applyFill="1" applyBorder="1" applyAlignment="1">
      <alignment horizontal="center" vertical="center"/>
    </xf>
    <xf numFmtId="165" fontId="57" fillId="2" borderId="10" xfId="12" applyNumberFormat="1" applyFont="1" applyFill="1" applyBorder="1" applyAlignment="1">
      <alignment horizontal="center" vertical="center"/>
    </xf>
    <xf numFmtId="165" fontId="57" fillId="2" borderId="27" xfId="12" applyNumberFormat="1" applyFont="1" applyFill="1" applyBorder="1" applyAlignment="1">
      <alignment horizontal="center" vertical="center"/>
    </xf>
    <xf numFmtId="166" fontId="54" fillId="2" borderId="7" xfId="12" applyNumberFormat="1" applyFont="1" applyFill="1" applyBorder="1" applyAlignment="1">
      <alignment horizontal="center" vertical="center"/>
    </xf>
    <xf numFmtId="166" fontId="54" fillId="2" borderId="10" xfId="12" applyNumberFormat="1" applyFont="1" applyFill="1" applyBorder="1" applyAlignment="1">
      <alignment horizontal="center" vertical="center"/>
    </xf>
    <xf numFmtId="0" fontId="57" fillId="2" borderId="0" xfId="12" applyFont="1" applyFill="1" applyAlignment="1">
      <alignment horizontal="left" vertical="center" wrapText="1"/>
    </xf>
    <xf numFmtId="0" fontId="57" fillId="2" borderId="55" xfId="12" applyFont="1" applyFill="1" applyBorder="1" applyAlignment="1">
      <alignment horizontal="left" vertical="center" wrapText="1"/>
    </xf>
    <xf numFmtId="0" fontId="57" fillId="2" borderId="41" xfId="12" applyFont="1" applyFill="1" applyBorder="1" applyAlignment="1">
      <alignment horizontal="left" vertical="center" wrapText="1"/>
    </xf>
    <xf numFmtId="0" fontId="57" fillId="2" borderId="150" xfId="12" applyFont="1" applyFill="1" applyBorder="1" applyAlignment="1">
      <alignment horizontal="left" vertical="center" wrapText="1"/>
    </xf>
    <xf numFmtId="0" fontId="49" fillId="2" borderId="0" xfId="12" applyFont="1" applyFill="1" applyAlignment="1">
      <alignment horizontal="right"/>
    </xf>
    <xf numFmtId="0" fontId="80" fillId="4" borderId="42" xfId="49" applyFont="1" applyFill="1" applyBorder="1" applyAlignment="1">
      <alignment horizontal="center" vertical="center"/>
    </xf>
    <xf numFmtId="0" fontId="80" fillId="4" borderId="45" xfId="49" applyFont="1" applyFill="1" applyBorder="1" applyAlignment="1">
      <alignment horizontal="center" vertical="center"/>
    </xf>
    <xf numFmtId="0" fontId="80" fillId="4" borderId="18" xfId="49" applyFont="1" applyFill="1" applyBorder="1" applyAlignment="1">
      <alignment horizontal="center" vertical="center"/>
    </xf>
    <xf numFmtId="0" fontId="60" fillId="0" borderId="28" xfId="0" applyFont="1" applyBorder="1" applyAlignment="1">
      <alignment horizontal="center" vertical="top"/>
    </xf>
    <xf numFmtId="0" fontId="60" fillId="0" borderId="72" xfId="0" applyFont="1" applyBorder="1" applyAlignment="1">
      <alignment horizontal="center" vertical="top"/>
    </xf>
    <xf numFmtId="0" fontId="80" fillId="4" borderId="3" xfId="183" applyFont="1" applyFill="1" applyBorder="1" applyAlignment="1">
      <alignment horizontal="center" vertical="center"/>
    </xf>
    <xf numFmtId="0" fontId="80" fillId="4" borderId="4" xfId="183" applyFont="1" applyFill="1" applyBorder="1" applyAlignment="1">
      <alignment horizontal="center" vertical="center"/>
    </xf>
    <xf numFmtId="0" fontId="80" fillId="4" borderId="5" xfId="183" applyFont="1" applyFill="1" applyBorder="1" applyAlignment="1">
      <alignment horizontal="center" vertical="center"/>
    </xf>
    <xf numFmtId="0" fontId="91" fillId="0" borderId="3" xfId="0" applyFont="1" applyBorder="1" applyAlignment="1">
      <alignment horizontal="center" vertical="top"/>
    </xf>
    <xf numFmtId="0" fontId="91" fillId="0" borderId="4" xfId="0" applyFont="1" applyBorder="1" applyAlignment="1">
      <alignment horizontal="center" vertical="top"/>
    </xf>
    <xf numFmtId="0" fontId="91" fillId="0" borderId="5" xfId="0" applyFont="1" applyBorder="1" applyAlignment="1">
      <alignment horizontal="center" vertical="top"/>
    </xf>
    <xf numFmtId="39" fontId="69" fillId="4" borderId="13" xfId="175" applyNumberFormat="1" applyFont="1" applyFill="1" applyBorder="1" applyAlignment="1">
      <alignment horizontal="center" vertical="center" textRotation="90" wrapText="1"/>
    </xf>
    <xf numFmtId="0" fontId="70" fillId="6" borderId="13" xfId="175" applyFont="1" applyFill="1" applyBorder="1" applyAlignment="1">
      <alignment horizontal="center" vertical="center" wrapText="1"/>
    </xf>
    <xf numFmtId="49" fontId="69" fillId="6" borderId="7" xfId="175" applyNumberFormat="1" applyFont="1" applyFill="1" applyBorder="1" applyAlignment="1">
      <alignment horizontal="center" vertical="center" textRotation="90" wrapText="1"/>
    </xf>
    <xf numFmtId="49" fontId="69" fillId="6" borderId="27" xfId="175" applyNumberFormat="1" applyFont="1" applyFill="1" applyBorder="1" applyAlignment="1">
      <alignment horizontal="center" vertical="center" textRotation="90" wrapText="1"/>
    </xf>
    <xf numFmtId="0" fontId="75" fillId="0" borderId="0" xfId="175" applyFont="1" applyAlignment="1">
      <alignment horizontal="center" vertical="center"/>
    </xf>
    <xf numFmtId="0" fontId="69" fillId="4" borderId="25" xfId="175" applyFont="1" applyFill="1" applyBorder="1" applyAlignment="1">
      <alignment horizontal="center" vertical="center" wrapText="1"/>
    </xf>
    <xf numFmtId="0" fontId="69" fillId="4" borderId="22" xfId="175" applyFont="1" applyFill="1" applyBorder="1" applyAlignment="1">
      <alignment vertical="center"/>
    </xf>
    <xf numFmtId="0" fontId="69" fillId="4" borderId="25" xfId="175" applyFont="1" applyFill="1" applyBorder="1" applyAlignment="1">
      <alignment vertical="center"/>
    </xf>
    <xf numFmtId="0" fontId="69" fillId="4" borderId="56" xfId="175" applyFont="1" applyFill="1" applyBorder="1" applyAlignment="1">
      <alignment horizontal="center" vertical="center" wrapText="1"/>
    </xf>
    <xf numFmtId="0" fontId="69" fillId="4" borderId="45" xfId="175" applyFont="1" applyFill="1" applyBorder="1" applyAlignment="1">
      <alignment horizontal="center" vertical="center" wrapText="1"/>
    </xf>
    <xf numFmtId="0" fontId="69" fillId="4" borderId="43" xfId="175" applyFont="1" applyFill="1" applyBorder="1" applyAlignment="1">
      <alignment horizontal="center" vertical="center" wrapText="1"/>
    </xf>
    <xf numFmtId="0" fontId="72" fillId="10" borderId="25" xfId="175" applyFont="1" applyFill="1" applyBorder="1" applyAlignment="1">
      <alignment horizontal="center" vertical="center" wrapText="1"/>
    </xf>
    <xf numFmtId="0" fontId="72" fillId="10" borderId="25" xfId="175" applyFont="1" applyFill="1" applyBorder="1" applyAlignment="1">
      <alignment horizontal="center" vertical="center"/>
    </xf>
    <xf numFmtId="0" fontId="69" fillId="4" borderId="26" xfId="175" applyFont="1" applyFill="1" applyBorder="1" applyAlignment="1">
      <alignment vertical="center"/>
    </xf>
    <xf numFmtId="10" fontId="69" fillId="4" borderId="25" xfId="176" applyNumberFormat="1" applyFont="1" applyFill="1" applyBorder="1" applyAlignment="1">
      <alignment horizontal="center" vertical="center" wrapText="1"/>
    </xf>
    <xf numFmtId="10" fontId="69" fillId="4" borderId="22" xfId="176" applyNumberFormat="1" applyFont="1" applyFill="1" applyBorder="1" applyAlignment="1">
      <alignment vertical="center"/>
    </xf>
    <xf numFmtId="0" fontId="69" fillId="4" borderId="74" xfId="175" applyFont="1" applyFill="1" applyBorder="1" applyAlignment="1">
      <alignment horizontal="center" vertical="center" wrapText="1"/>
    </xf>
    <xf numFmtId="0" fontId="69" fillId="4" borderId="59" xfId="175" applyFont="1" applyFill="1" applyBorder="1" applyAlignment="1">
      <alignment horizontal="center" vertical="center" wrapText="1"/>
    </xf>
    <xf numFmtId="0" fontId="70" fillId="6" borderId="15" xfId="175" applyFont="1" applyFill="1" applyBorder="1" applyAlignment="1">
      <alignment horizontal="center" vertical="center"/>
    </xf>
    <xf numFmtId="0" fontId="70" fillId="6" borderId="2" xfId="175" applyFont="1" applyFill="1" applyBorder="1" applyAlignment="1">
      <alignment horizontal="center" vertical="center"/>
    </xf>
    <xf numFmtId="0" fontId="70" fillId="6" borderId="12" xfId="175" applyFont="1" applyFill="1" applyBorder="1" applyAlignment="1">
      <alignment horizontal="center" vertical="center"/>
    </xf>
    <xf numFmtId="49" fontId="49" fillId="6" borderId="47" xfId="175" applyNumberFormat="1" applyFont="1" applyFill="1" applyBorder="1" applyAlignment="1">
      <alignment horizontal="center" vertical="center" wrapText="1"/>
    </xf>
    <xf numFmtId="49" fontId="49" fillId="6" borderId="48" xfId="175" applyNumberFormat="1" applyFont="1" applyFill="1" applyBorder="1" applyAlignment="1">
      <alignment horizontal="center" vertical="center" wrapText="1"/>
    </xf>
    <xf numFmtId="49" fontId="49" fillId="6" borderId="49" xfId="175" applyNumberFormat="1" applyFont="1" applyFill="1" applyBorder="1" applyAlignment="1">
      <alignment horizontal="center" vertical="center" wrapText="1"/>
    </xf>
    <xf numFmtId="49" fontId="49" fillId="6" borderId="50" xfId="175" applyNumberFormat="1" applyFont="1" applyFill="1" applyBorder="1" applyAlignment="1">
      <alignment horizontal="center" vertical="center" wrapText="1"/>
    </xf>
    <xf numFmtId="49" fontId="49" fillId="2" borderId="0" xfId="177" applyNumberFormat="1" applyFont="1" applyFill="1" applyAlignment="1">
      <alignment horizontal="left" vertical="center"/>
    </xf>
    <xf numFmtId="37" fontId="49" fillId="2" borderId="13" xfId="175" applyNumberFormat="1" applyFont="1" applyFill="1" applyBorder="1" applyAlignment="1">
      <alignment horizontal="left" vertical="center" wrapText="1"/>
    </xf>
    <xf numFmtId="49" fontId="49" fillId="2" borderId="0" xfId="175" applyNumberFormat="1" applyFont="1" applyFill="1" applyAlignment="1">
      <alignment horizontal="left" vertical="center" wrapText="1"/>
    </xf>
    <xf numFmtId="0" fontId="75" fillId="2" borderId="13" xfId="8" applyFont="1" applyFill="1" applyBorder="1" applyAlignment="1">
      <alignment horizontal="center" vertical="center" wrapText="1"/>
    </xf>
    <xf numFmtId="0" fontId="49" fillId="2" borderId="13" xfId="8" applyFont="1" applyFill="1" applyBorder="1" applyAlignment="1">
      <alignment horizontal="center" vertical="center" wrapText="1"/>
    </xf>
    <xf numFmtId="0" fontId="49" fillId="9" borderId="13" xfId="175" applyFont="1" applyFill="1" applyBorder="1" applyAlignment="1">
      <alignment horizontal="center" vertical="center" wrapText="1"/>
    </xf>
    <xf numFmtId="0" fontId="69" fillId="2" borderId="0" xfId="175" applyFont="1" applyFill="1" applyAlignment="1">
      <alignment horizontal="center" vertical="center" wrapText="1"/>
    </xf>
    <xf numFmtId="0" fontId="69" fillId="2" borderId="0" xfId="175" applyFont="1" applyFill="1" applyAlignment="1">
      <alignment vertical="center"/>
    </xf>
    <xf numFmtId="0" fontId="69" fillId="6" borderId="13" xfId="175" applyFont="1" applyFill="1" applyBorder="1" applyAlignment="1">
      <alignment horizontal="center" vertical="center"/>
    </xf>
    <xf numFmtId="39" fontId="69" fillId="4" borderId="13" xfId="175" applyNumberFormat="1" applyFont="1" applyFill="1" applyBorder="1" applyAlignment="1">
      <alignment horizontal="center" vertical="center" wrapText="1"/>
    </xf>
    <xf numFmtId="49" fontId="49" fillId="2" borderId="0" xfId="178" applyNumberFormat="1" applyFont="1" applyFill="1" applyAlignment="1">
      <alignment horizontal="left" vertical="center"/>
    </xf>
    <xf numFmtId="4" fontId="49" fillId="2" borderId="0" xfId="177" applyNumberFormat="1" applyFont="1" applyFill="1" applyAlignment="1">
      <alignment horizontal="center" vertical="center"/>
    </xf>
    <xf numFmtId="0" fontId="67" fillId="4" borderId="25" xfId="175" applyFont="1" applyFill="1" applyBorder="1" applyAlignment="1">
      <alignment horizontal="center" vertical="center" wrapText="1"/>
    </xf>
    <xf numFmtId="0" fontId="67" fillId="4" borderId="22" xfId="175" applyFont="1" applyFill="1" applyBorder="1" applyAlignment="1">
      <alignment vertical="center"/>
    </xf>
    <xf numFmtId="37" fontId="69" fillId="4" borderId="13" xfId="175" applyNumberFormat="1" applyFont="1" applyFill="1" applyBorder="1" applyAlignment="1">
      <alignment horizontal="center" vertical="center" wrapText="1"/>
    </xf>
    <xf numFmtId="37" fontId="69" fillId="4" borderId="13" xfId="175" applyNumberFormat="1" applyFont="1" applyFill="1" applyBorder="1" applyAlignment="1">
      <alignment horizontal="center" vertical="center" textRotation="90" wrapText="1"/>
    </xf>
    <xf numFmtId="39" fontId="93" fillId="12" borderId="0" xfId="175" applyNumberFormat="1" applyFont="1" applyFill="1" applyAlignment="1">
      <alignment horizontal="center" vertical="center" wrapText="1"/>
    </xf>
    <xf numFmtId="39" fontId="75" fillId="13" borderId="0" xfId="175" applyNumberFormat="1" applyFont="1" applyFill="1" applyAlignment="1">
      <alignment horizontal="center" vertical="center" wrapText="1"/>
    </xf>
    <xf numFmtId="0" fontId="56" fillId="0" borderId="38" xfId="175" applyFont="1" applyBorder="1" applyAlignment="1">
      <alignment horizontal="center" vertical="center"/>
    </xf>
    <xf numFmtId="0" fontId="57" fillId="0" borderId="6" xfId="175" applyFont="1" applyBorder="1" applyAlignment="1">
      <alignment horizontal="center" vertical="center"/>
    </xf>
    <xf numFmtId="0" fontId="57" fillId="0" borderId="8" xfId="175" applyFont="1" applyBorder="1" applyAlignment="1">
      <alignment horizontal="center" vertical="center"/>
    </xf>
    <xf numFmtId="0" fontId="57" fillId="0" borderId="9" xfId="175" applyFont="1" applyBorder="1" applyAlignment="1">
      <alignment horizontal="center" vertical="center"/>
    </xf>
    <xf numFmtId="0" fontId="50" fillId="0" borderId="54" xfId="177" applyFont="1" applyBorder="1" applyAlignment="1">
      <alignment horizontal="left" vertical="center" wrapText="1"/>
    </xf>
    <xf numFmtId="0" fontId="50" fillId="0" borderId="0" xfId="177" applyFont="1" applyAlignment="1">
      <alignment horizontal="left" vertical="center" wrapText="1"/>
    </xf>
    <xf numFmtId="0" fontId="70" fillId="6" borderId="6" xfId="175" applyFont="1" applyFill="1" applyBorder="1" applyAlignment="1">
      <alignment horizontal="center" vertical="center" wrapText="1"/>
    </xf>
    <xf numFmtId="0" fontId="70" fillId="6" borderId="8" xfId="175" applyFont="1" applyFill="1" applyBorder="1" applyAlignment="1">
      <alignment horizontal="center" vertical="center" wrapText="1"/>
    </xf>
    <xf numFmtId="0" fontId="70" fillId="6" borderId="9" xfId="175" applyFont="1" applyFill="1" applyBorder="1" applyAlignment="1">
      <alignment horizontal="center" vertical="center" wrapText="1"/>
    </xf>
    <xf numFmtId="0" fontId="69" fillId="4" borderId="22" xfId="175" applyFont="1" applyFill="1" applyBorder="1" applyAlignment="1">
      <alignment horizontal="center" vertical="center" wrapText="1"/>
    </xf>
    <xf numFmtId="0" fontId="69" fillId="4" borderId="43" xfId="175" applyFont="1" applyFill="1" applyBorder="1" applyAlignment="1">
      <alignment horizontal="center" vertical="center" textRotation="90" wrapText="1"/>
    </xf>
    <xf numFmtId="0" fontId="69" fillId="4" borderId="39" xfId="175" applyFont="1" applyFill="1" applyBorder="1" applyAlignment="1">
      <alignment vertical="center"/>
    </xf>
    <xf numFmtId="0" fontId="72" fillId="7" borderId="25" xfId="175" applyFont="1" applyFill="1" applyBorder="1" applyAlignment="1">
      <alignment horizontal="center" vertical="center" wrapText="1"/>
    </xf>
    <xf numFmtId="0" fontId="72" fillId="7" borderId="25" xfId="175" applyFont="1" applyFill="1" applyBorder="1" applyAlignment="1">
      <alignment horizontal="center" vertical="center"/>
    </xf>
    <xf numFmtId="2" fontId="69" fillId="8" borderId="74" xfId="175" applyNumberFormat="1" applyFont="1" applyFill="1" applyBorder="1" applyAlignment="1">
      <alignment horizontal="center" vertical="center" wrapText="1"/>
    </xf>
    <xf numFmtId="2" fontId="69" fillId="8" borderId="59" xfId="175" applyNumberFormat="1" applyFont="1" applyFill="1" applyBorder="1" applyAlignment="1">
      <alignment horizontal="center" vertical="center" wrapText="1"/>
    </xf>
    <xf numFmtId="4" fontId="78" fillId="0" borderId="13" xfId="205" applyNumberFormat="1" applyFont="1" applyBorder="1" applyAlignment="1">
      <alignment horizontal="center" vertical="center"/>
    </xf>
    <xf numFmtId="0" fontId="78" fillId="4" borderId="13" xfId="203" applyFont="1" applyFill="1" applyBorder="1" applyAlignment="1">
      <alignment horizontal="center" vertical="center"/>
    </xf>
    <xf numFmtId="4" fontId="50" fillId="4" borderId="13" xfId="203" applyNumberFormat="1" applyFont="1" applyFill="1" applyBorder="1" applyAlignment="1">
      <alignment horizontal="center" vertical="center" wrapText="1"/>
    </xf>
    <xf numFmtId="4" fontId="50" fillId="4" borderId="13" xfId="203" applyNumberFormat="1" applyFont="1" applyFill="1" applyBorder="1" applyAlignment="1">
      <alignment horizontal="center" vertical="center"/>
    </xf>
    <xf numFmtId="4" fontId="78" fillId="0" borderId="13" xfId="204" applyNumberFormat="1" applyFont="1" applyFill="1" applyBorder="1" applyAlignment="1">
      <alignment horizontal="center" vertical="center"/>
    </xf>
    <xf numFmtId="0" fontId="78" fillId="4" borderId="13" xfId="205" applyFont="1" applyFill="1" applyBorder="1" applyAlignment="1">
      <alignment horizontal="center" vertical="center" wrapText="1"/>
    </xf>
    <xf numFmtId="176" fontId="78" fillId="0" borderId="13" xfId="205" applyNumberFormat="1" applyFont="1" applyBorder="1" applyAlignment="1">
      <alignment horizontal="center"/>
    </xf>
    <xf numFmtId="0" fontId="78" fillId="4" borderId="13" xfId="205" applyFont="1" applyFill="1" applyBorder="1" applyAlignment="1">
      <alignment horizontal="center"/>
    </xf>
    <xf numFmtId="0" fontId="56" fillId="4" borderId="13" xfId="174" applyFont="1" applyFill="1" applyBorder="1" applyAlignment="1">
      <alignment horizontal="center" vertical="center" wrapText="1"/>
    </xf>
    <xf numFmtId="0" fontId="55" fillId="2" borderId="57" xfId="174" applyFont="1" applyFill="1" applyBorder="1" applyAlignment="1">
      <alignment horizontal="center" vertical="center" textRotation="90"/>
    </xf>
    <xf numFmtId="0" fontId="49" fillId="4" borderId="14" xfId="7" applyFont="1" applyFill="1" applyBorder="1" applyAlignment="1">
      <alignment horizontal="center" vertical="center" wrapText="1"/>
    </xf>
    <xf numFmtId="43" fontId="49" fillId="0" borderId="32" xfId="9" applyFont="1" applyFill="1" applyBorder="1" applyAlignment="1">
      <alignment horizontal="center" vertical="center"/>
    </xf>
    <xf numFmtId="43" fontId="49" fillId="0" borderId="59" xfId="9" applyFont="1" applyFill="1" applyBorder="1" applyAlignment="1">
      <alignment horizontal="center" vertical="center"/>
    </xf>
    <xf numFmtId="43" fontId="49" fillId="0" borderId="63" xfId="9" applyFont="1" applyFill="1" applyBorder="1" applyAlignment="1">
      <alignment horizontal="center" vertical="center"/>
    </xf>
    <xf numFmtId="4" fontId="49" fillId="0" borderId="61" xfId="9" applyNumberFormat="1" applyFont="1" applyFill="1" applyBorder="1" applyAlignment="1">
      <alignment horizontal="center" vertical="center"/>
    </xf>
    <xf numFmtId="4" fontId="49" fillId="0" borderId="150" xfId="9" applyNumberFormat="1" applyFont="1" applyFill="1" applyBorder="1" applyAlignment="1">
      <alignment horizontal="center" vertical="center"/>
    </xf>
    <xf numFmtId="4" fontId="49" fillId="0" borderId="44" xfId="9" applyNumberFormat="1" applyFont="1" applyFill="1" applyBorder="1" applyAlignment="1">
      <alignment horizontal="center" vertical="center"/>
    </xf>
    <xf numFmtId="4" fontId="49" fillId="0" borderId="39" xfId="9" applyNumberFormat="1" applyFont="1" applyFill="1" applyBorder="1" applyAlignment="1">
      <alignment horizontal="center" vertical="center"/>
    </xf>
    <xf numFmtId="0" fontId="49" fillId="4" borderId="19" xfId="7" applyFont="1" applyFill="1" applyBorder="1" applyAlignment="1">
      <alignment horizontal="center" vertical="center" wrapText="1"/>
    </xf>
    <xf numFmtId="0" fontId="49" fillId="4" borderId="13" xfId="7" applyFont="1" applyFill="1" applyBorder="1" applyAlignment="1">
      <alignment horizontal="center" vertical="center" wrapText="1"/>
    </xf>
    <xf numFmtId="0" fontId="49" fillId="4" borderId="12" xfId="7" applyFont="1" applyFill="1" applyBorder="1" applyAlignment="1">
      <alignment horizontal="center" vertical="center" wrapText="1"/>
    </xf>
    <xf numFmtId="0" fontId="49" fillId="4" borderId="36" xfId="7" applyFont="1" applyFill="1" applyBorder="1" applyAlignment="1">
      <alignment horizontal="center" vertical="center" wrapText="1"/>
    </xf>
    <xf numFmtId="0" fontId="49" fillId="4" borderId="34" xfId="7" applyFont="1" applyFill="1" applyBorder="1" applyAlignment="1">
      <alignment horizontal="center" vertical="center" wrapText="1"/>
    </xf>
    <xf numFmtId="0" fontId="49" fillId="4" borderId="42" xfId="7" applyFont="1" applyFill="1" applyBorder="1" applyAlignment="1">
      <alignment horizontal="center" vertical="center" wrapText="1"/>
    </xf>
    <xf numFmtId="0" fontId="49" fillId="4" borderId="18" xfId="7" applyFont="1" applyFill="1" applyBorder="1" applyAlignment="1">
      <alignment horizontal="center" vertical="center" wrapText="1"/>
    </xf>
    <xf numFmtId="0" fontId="49" fillId="4" borderId="45" xfId="7" applyFont="1" applyFill="1" applyBorder="1" applyAlignment="1">
      <alignment horizontal="center" vertical="center" wrapText="1"/>
    </xf>
    <xf numFmtId="0" fontId="49" fillId="4" borderId="15" xfId="7" applyFont="1" applyFill="1" applyBorder="1" applyAlignment="1">
      <alignment horizontal="center" vertical="center" wrapText="1"/>
    </xf>
    <xf numFmtId="0" fontId="49" fillId="0" borderId="0" xfId="7" applyFont="1" applyAlignment="1">
      <alignment horizontal="right" vertical="center"/>
    </xf>
    <xf numFmtId="0" fontId="56" fillId="4" borderId="3" xfId="7" applyFont="1" applyFill="1" applyBorder="1" applyAlignment="1">
      <alignment horizontal="center" vertical="center"/>
    </xf>
    <xf numFmtId="0" fontId="56" fillId="4" borderId="4" xfId="7" applyFont="1" applyFill="1" applyBorder="1" applyAlignment="1">
      <alignment horizontal="center" vertical="center"/>
    </xf>
    <xf numFmtId="0" fontId="56" fillId="4" borderId="5" xfId="7" applyFont="1" applyFill="1" applyBorder="1" applyAlignment="1">
      <alignment horizontal="center" vertical="center"/>
    </xf>
    <xf numFmtId="0" fontId="49" fillId="4" borderId="73" xfId="7" applyFont="1" applyFill="1" applyBorder="1" applyAlignment="1">
      <alignment horizontal="center" vertical="center" wrapText="1"/>
    </xf>
    <xf numFmtId="0" fontId="49" fillId="4" borderId="58" xfId="7" applyFont="1" applyFill="1" applyBorder="1" applyAlignment="1">
      <alignment horizontal="center" vertical="center" wrapText="1"/>
    </xf>
    <xf numFmtId="0" fontId="49" fillId="4" borderId="46" xfId="7" applyFont="1" applyFill="1" applyBorder="1" applyAlignment="1">
      <alignment horizontal="center" vertical="center" wrapText="1"/>
    </xf>
    <xf numFmtId="0" fontId="49" fillId="4" borderId="34" xfId="8" applyFont="1" applyFill="1" applyBorder="1" applyAlignment="1">
      <alignment horizontal="center" vertical="center" wrapText="1"/>
    </xf>
    <xf numFmtId="0" fontId="49" fillId="4" borderId="49" xfId="8" applyFont="1" applyFill="1" applyBorder="1" applyAlignment="1">
      <alignment horizontal="center" vertical="center" wrapText="1"/>
    </xf>
    <xf numFmtId="2" fontId="49" fillId="4" borderId="73" xfId="8" applyNumberFormat="1" applyFont="1" applyFill="1" applyBorder="1" applyAlignment="1">
      <alignment horizontal="center" vertical="center" wrapText="1"/>
    </xf>
    <xf numFmtId="2" fontId="49" fillId="4" borderId="58" xfId="8" applyNumberFormat="1" applyFont="1" applyFill="1" applyBorder="1" applyAlignment="1">
      <alignment horizontal="center" vertical="center" wrapText="1"/>
    </xf>
    <xf numFmtId="2" fontId="49" fillId="4" borderId="46" xfId="8" applyNumberFormat="1" applyFont="1" applyFill="1" applyBorder="1" applyAlignment="1">
      <alignment horizontal="center" vertical="center" wrapText="1"/>
    </xf>
    <xf numFmtId="0" fontId="49" fillId="4" borderId="75" xfId="8" applyFont="1" applyFill="1" applyBorder="1" applyAlignment="1">
      <alignment horizontal="center" vertical="center" wrapText="1"/>
    </xf>
    <xf numFmtId="0" fontId="49" fillId="4" borderId="9" xfId="8" applyFont="1" applyFill="1" applyBorder="1" applyAlignment="1">
      <alignment horizontal="center" vertical="center" wrapText="1"/>
    </xf>
    <xf numFmtId="0" fontId="49" fillId="4" borderId="64" xfId="8" applyFont="1" applyFill="1" applyBorder="1" applyAlignment="1">
      <alignment horizontal="center" vertical="center" wrapText="1"/>
    </xf>
    <xf numFmtId="0" fontId="49" fillId="4" borderId="6" xfId="8" applyFont="1" applyFill="1" applyBorder="1" applyAlignment="1">
      <alignment horizontal="center" vertical="center" wrapText="1"/>
    </xf>
    <xf numFmtId="0" fontId="49" fillId="4" borderId="8" xfId="8" applyFont="1" applyFill="1" applyBorder="1" applyAlignment="1">
      <alignment horizontal="center" vertical="center" wrapText="1"/>
    </xf>
    <xf numFmtId="0" fontId="49" fillId="4" borderId="149" xfId="8" applyFont="1" applyFill="1" applyBorder="1" applyAlignment="1">
      <alignment horizontal="center" vertical="center" wrapText="1"/>
    </xf>
    <xf numFmtId="0" fontId="49" fillId="4" borderId="148" xfId="8" applyFont="1" applyFill="1" applyBorder="1" applyAlignment="1">
      <alignment horizontal="center" vertical="center" wrapText="1"/>
    </xf>
    <xf numFmtId="0" fontId="49" fillId="4" borderId="24" xfId="7" applyFont="1" applyFill="1" applyBorder="1" applyAlignment="1">
      <alignment horizontal="center" vertical="center" wrapText="1"/>
    </xf>
    <xf numFmtId="0" fontId="49" fillId="4" borderId="26" xfId="7" applyFont="1" applyFill="1" applyBorder="1" applyAlignment="1">
      <alignment horizontal="center" vertical="center" wrapText="1"/>
    </xf>
    <xf numFmtId="0" fontId="49" fillId="4" borderId="25" xfId="7" applyFont="1" applyFill="1" applyBorder="1" applyAlignment="1">
      <alignment horizontal="center" vertical="center" wrapText="1"/>
    </xf>
    <xf numFmtId="0" fontId="50" fillId="4" borderId="148" xfId="7" applyFont="1" applyFill="1" applyBorder="1" applyAlignment="1">
      <alignment horizontal="center" vertical="center" wrapText="1"/>
    </xf>
    <xf numFmtId="0" fontId="50" fillId="4" borderId="64" xfId="7" applyFont="1" applyFill="1" applyBorder="1" applyAlignment="1">
      <alignment horizontal="center" vertical="center" wrapText="1"/>
    </xf>
    <xf numFmtId="0" fontId="84" fillId="4" borderId="13" xfId="8" applyFont="1" applyFill="1" applyBorder="1" applyAlignment="1">
      <alignment horizontal="center" vertical="center" wrapText="1"/>
    </xf>
    <xf numFmtId="0" fontId="84" fillId="4" borderId="15" xfId="8" applyFont="1" applyFill="1" applyBorder="1" applyAlignment="1">
      <alignment horizontal="center" vertical="center" wrapText="1"/>
    </xf>
    <xf numFmtId="3" fontId="57" fillId="14" borderId="74" xfId="8" applyNumberFormat="1" applyFont="1" applyFill="1" applyBorder="1" applyAlignment="1">
      <alignment horizontal="center" vertical="center"/>
    </xf>
    <xf numFmtId="3" fontId="57" fillId="14" borderId="59" xfId="8" applyNumberFormat="1" applyFont="1" applyFill="1" applyBorder="1" applyAlignment="1">
      <alignment horizontal="center" vertical="center"/>
    </xf>
    <xf numFmtId="4" fontId="57" fillId="0" borderId="74" xfId="196" applyNumberFormat="1" applyFont="1" applyFill="1" applyBorder="1" applyAlignment="1">
      <alignment horizontal="center" vertical="center"/>
    </xf>
    <xf numFmtId="4" fontId="57" fillId="0" borderId="59" xfId="196" applyNumberFormat="1" applyFont="1" applyFill="1" applyBorder="1" applyAlignment="1">
      <alignment horizontal="center" vertical="center"/>
    </xf>
    <xf numFmtId="4" fontId="57" fillId="0" borderId="75" xfId="196" applyNumberFormat="1" applyFont="1" applyFill="1" applyBorder="1" applyAlignment="1">
      <alignment horizontal="center" vertical="center"/>
    </xf>
    <xf numFmtId="4" fontId="57" fillId="0" borderId="63" xfId="196" applyNumberFormat="1" applyFont="1" applyFill="1" applyBorder="1" applyAlignment="1">
      <alignment horizontal="center" vertical="center"/>
    </xf>
    <xf numFmtId="4" fontId="57" fillId="13" borderId="7" xfId="196" applyNumberFormat="1" applyFont="1" applyFill="1" applyBorder="1" applyAlignment="1">
      <alignment horizontal="center" vertical="center"/>
    </xf>
    <xf numFmtId="4" fontId="57" fillId="13" borderId="27" xfId="196" applyNumberFormat="1" applyFont="1" applyFill="1" applyBorder="1" applyAlignment="1">
      <alignment horizontal="center" vertical="center"/>
    </xf>
    <xf numFmtId="4" fontId="57" fillId="13" borderId="6" xfId="196" applyNumberFormat="1" applyFont="1" applyFill="1" applyBorder="1" applyAlignment="1">
      <alignment horizontal="center" vertical="center"/>
    </xf>
    <xf numFmtId="4" fontId="57" fillId="13" borderId="52" xfId="196" applyNumberFormat="1" applyFont="1" applyFill="1" applyBorder="1" applyAlignment="1">
      <alignment horizontal="center" vertical="center"/>
    </xf>
    <xf numFmtId="4" fontId="57" fillId="0" borderId="76" xfId="196" applyNumberFormat="1" applyFont="1" applyFill="1" applyBorder="1" applyAlignment="1">
      <alignment horizontal="center" vertical="center"/>
    </xf>
    <xf numFmtId="4" fontId="57" fillId="0" borderId="62" xfId="196" applyNumberFormat="1" applyFont="1" applyFill="1" applyBorder="1" applyAlignment="1">
      <alignment horizontal="center" vertical="center"/>
    </xf>
    <xf numFmtId="0" fontId="54" fillId="0" borderId="73" xfId="194" applyFont="1" applyBorder="1" applyAlignment="1">
      <alignment horizontal="left" vertical="center"/>
    </xf>
    <xf numFmtId="0" fontId="54" fillId="0" borderId="32" xfId="194" applyFont="1" applyBorder="1" applyAlignment="1">
      <alignment horizontal="left" vertical="center"/>
    </xf>
    <xf numFmtId="4" fontId="57" fillId="0" borderId="6" xfId="196" applyNumberFormat="1" applyFont="1" applyFill="1" applyBorder="1" applyAlignment="1">
      <alignment horizontal="center" vertical="center"/>
    </xf>
    <xf numFmtId="4" fontId="57" fillId="0" borderId="52" xfId="196" applyNumberFormat="1" applyFont="1" applyFill="1" applyBorder="1" applyAlignment="1">
      <alignment horizontal="center" vertical="center"/>
    </xf>
    <xf numFmtId="0" fontId="103" fillId="0" borderId="3" xfId="194" applyFont="1" applyBorder="1" applyAlignment="1">
      <alignment horizontal="center" vertical="center"/>
    </xf>
    <xf numFmtId="0" fontId="103" fillId="0" borderId="4" xfId="194" applyFont="1" applyBorder="1" applyAlignment="1">
      <alignment horizontal="center" vertical="center"/>
    </xf>
    <xf numFmtId="0" fontId="103" fillId="0" borderId="5" xfId="194" applyFont="1" applyBorder="1" applyAlignment="1">
      <alignment horizontal="center" vertical="center"/>
    </xf>
    <xf numFmtId="0" fontId="82" fillId="4" borderId="3" xfId="194" applyFont="1" applyFill="1" applyBorder="1" applyAlignment="1">
      <alignment horizontal="center" vertical="center"/>
    </xf>
    <xf numFmtId="0" fontId="82" fillId="4" borderId="4" xfId="194" applyFont="1" applyFill="1" applyBorder="1" applyAlignment="1">
      <alignment horizontal="center" vertical="center"/>
    </xf>
    <xf numFmtId="0" fontId="82" fillId="4" borderId="5" xfId="194" applyFont="1" applyFill="1" applyBorder="1" applyAlignment="1">
      <alignment horizontal="center" vertical="center"/>
    </xf>
    <xf numFmtId="0" fontId="54" fillId="4" borderId="73" xfId="194" applyFont="1" applyFill="1" applyBorder="1" applyAlignment="1">
      <alignment horizontal="center" vertical="center"/>
    </xf>
    <xf numFmtId="0" fontId="54" fillId="4" borderId="58" xfId="194" applyFont="1" applyFill="1" applyBorder="1" applyAlignment="1">
      <alignment horizontal="center" vertical="center"/>
    </xf>
    <xf numFmtId="0" fontId="54" fillId="4" borderId="32" xfId="194" applyFont="1" applyFill="1" applyBorder="1" applyAlignment="1">
      <alignment horizontal="center" vertical="center"/>
    </xf>
    <xf numFmtId="0" fontId="54" fillId="4" borderId="30" xfId="194" applyFont="1" applyFill="1" applyBorder="1" applyAlignment="1">
      <alignment horizontal="center" vertical="center"/>
    </xf>
    <xf numFmtId="0" fontId="54" fillId="4" borderId="17" xfId="194" applyFont="1" applyFill="1" applyBorder="1" applyAlignment="1">
      <alignment horizontal="center" vertical="center"/>
    </xf>
    <xf numFmtId="0" fontId="54" fillId="4" borderId="3" xfId="194" applyFont="1" applyFill="1" applyBorder="1" applyAlignment="1">
      <alignment horizontal="center" vertical="center"/>
    </xf>
    <xf numFmtId="0" fontId="54" fillId="4" borderId="76" xfId="194" applyFont="1" applyFill="1" applyBorder="1" applyAlignment="1">
      <alignment horizontal="center" vertical="center"/>
    </xf>
    <xf numFmtId="0" fontId="54" fillId="4" borderId="7" xfId="194" applyFont="1" applyFill="1" applyBorder="1" applyAlignment="1">
      <alignment horizontal="center" vertical="center"/>
    </xf>
    <xf numFmtId="0" fontId="54" fillId="4" borderId="6" xfId="194" applyFont="1" applyFill="1" applyBorder="1" applyAlignment="1">
      <alignment horizontal="center" vertical="center"/>
    </xf>
    <xf numFmtId="0" fontId="54" fillId="4" borderId="28" xfId="194" applyFont="1" applyFill="1" applyBorder="1" applyAlignment="1">
      <alignment horizontal="center" vertical="center" wrapText="1"/>
    </xf>
    <xf numFmtId="0" fontId="54" fillId="4" borderId="73" xfId="194" applyFont="1" applyFill="1" applyBorder="1" applyAlignment="1">
      <alignment horizontal="center" vertical="center" wrapText="1"/>
    </xf>
    <xf numFmtId="0" fontId="54" fillId="4" borderId="25" xfId="194" applyFont="1" applyFill="1" applyBorder="1" applyAlignment="1">
      <alignment horizontal="center" vertical="center" wrapText="1"/>
    </xf>
    <xf numFmtId="0" fontId="54" fillId="4" borderId="51" xfId="194" applyFont="1" applyFill="1" applyBorder="1" applyAlignment="1">
      <alignment horizontal="center" vertical="center" wrapText="1"/>
    </xf>
    <xf numFmtId="0" fontId="54" fillId="4" borderId="36" xfId="194" applyFont="1" applyFill="1" applyBorder="1" applyAlignment="1">
      <alignment horizontal="center" vertical="center" wrapText="1"/>
    </xf>
    <xf numFmtId="0" fontId="54" fillId="4" borderId="72" xfId="194" applyFont="1" applyFill="1" applyBorder="1" applyAlignment="1">
      <alignment horizontal="center" vertical="center" wrapText="1"/>
    </xf>
    <xf numFmtId="0" fontId="54" fillId="4" borderId="74" xfId="194" applyFont="1" applyFill="1" applyBorder="1" applyAlignment="1">
      <alignment horizontal="center" vertical="center" wrapText="1"/>
    </xf>
    <xf numFmtId="0" fontId="56" fillId="13" borderId="76" xfId="195" applyFont="1" applyFill="1" applyBorder="1" applyAlignment="1">
      <alignment horizontal="center" vertical="center" wrapText="1"/>
    </xf>
    <xf numFmtId="0" fontId="56" fillId="13" borderId="66" xfId="195" applyFont="1" applyFill="1" applyBorder="1" applyAlignment="1">
      <alignment horizontal="center" vertical="center" wrapText="1"/>
    </xf>
    <xf numFmtId="0" fontId="54" fillId="4" borderId="4" xfId="194" applyFont="1" applyFill="1" applyBorder="1" applyAlignment="1">
      <alignment horizontal="center" vertical="center"/>
    </xf>
    <xf numFmtId="0" fontId="54" fillId="4" borderId="5" xfId="194" applyFont="1" applyFill="1" applyBorder="1" applyAlignment="1">
      <alignment horizontal="center" vertical="center"/>
    </xf>
    <xf numFmtId="0" fontId="54" fillId="4" borderId="58" xfId="194" applyFont="1" applyFill="1" applyBorder="1" applyAlignment="1">
      <alignment horizontal="center" vertical="center" wrapText="1"/>
    </xf>
    <xf numFmtId="0" fontId="54" fillId="4" borderId="76" xfId="194" applyFont="1" applyFill="1" applyBorder="1" applyAlignment="1">
      <alignment horizontal="center" vertical="center" wrapText="1"/>
    </xf>
    <xf numFmtId="0" fontId="54" fillId="4" borderId="66" xfId="194" applyFont="1" applyFill="1" applyBorder="1" applyAlignment="1">
      <alignment horizontal="center" vertical="center" wrapText="1"/>
    </xf>
    <xf numFmtId="0" fontId="56" fillId="13" borderId="7" xfId="195" applyFont="1" applyFill="1" applyBorder="1" applyAlignment="1">
      <alignment horizontal="center" vertical="center" wrapText="1"/>
    </xf>
    <xf numFmtId="0" fontId="56" fillId="13" borderId="10" xfId="195" applyFont="1" applyFill="1" applyBorder="1" applyAlignment="1">
      <alignment horizontal="center" vertical="center" wrapText="1"/>
    </xf>
    <xf numFmtId="0" fontId="56" fillId="13" borderId="6" xfId="195" applyFont="1" applyFill="1" applyBorder="1" applyAlignment="1">
      <alignment horizontal="center" vertical="center" wrapText="1"/>
    </xf>
    <xf numFmtId="0" fontId="56" fillId="13" borderId="54" xfId="195" applyFont="1" applyFill="1" applyBorder="1" applyAlignment="1">
      <alignment horizontal="center" vertical="center" wrapText="1"/>
    </xf>
    <xf numFmtId="4" fontId="57" fillId="13" borderId="78" xfId="196" applyNumberFormat="1" applyFont="1" applyFill="1" applyBorder="1" applyAlignment="1">
      <alignment horizontal="center" vertical="center"/>
    </xf>
    <xf numFmtId="4" fontId="57" fillId="13" borderId="10" xfId="196" applyNumberFormat="1" applyFont="1" applyFill="1" applyBorder="1" applyAlignment="1">
      <alignment horizontal="center" vertical="center"/>
    </xf>
    <xf numFmtId="4" fontId="57" fillId="13" borderId="71" xfId="196" applyNumberFormat="1" applyFont="1" applyFill="1" applyBorder="1" applyAlignment="1">
      <alignment horizontal="center" vertical="center"/>
    </xf>
    <xf numFmtId="4" fontId="57" fillId="13" borderId="54" xfId="196" applyNumberFormat="1" applyFont="1" applyFill="1" applyBorder="1" applyAlignment="1">
      <alignment horizontal="center" vertical="center"/>
    </xf>
    <xf numFmtId="4" fontId="57" fillId="0" borderId="37" xfId="196" applyNumberFormat="1" applyFont="1" applyFill="1" applyBorder="1" applyAlignment="1">
      <alignment horizontal="center" vertical="center"/>
    </xf>
    <xf numFmtId="4" fontId="57" fillId="0" borderId="66" xfId="196" applyNumberFormat="1" applyFont="1" applyFill="1" applyBorder="1" applyAlignment="1">
      <alignment horizontal="center" vertical="center"/>
    </xf>
    <xf numFmtId="0" fontId="54" fillId="4" borderId="9" xfId="194" applyFont="1" applyFill="1" applyBorder="1" applyAlignment="1">
      <alignment horizontal="center" vertical="center" wrapText="1"/>
    </xf>
    <xf numFmtId="0" fontId="54" fillId="4" borderId="55" xfId="194" applyFont="1" applyFill="1" applyBorder="1" applyAlignment="1">
      <alignment horizontal="center" vertical="center" wrapText="1"/>
    </xf>
    <xf numFmtId="0" fontId="54" fillId="4" borderId="8" xfId="194" applyFont="1" applyFill="1" applyBorder="1" applyAlignment="1">
      <alignment horizontal="center" vertical="center"/>
    </xf>
    <xf numFmtId="0" fontId="54" fillId="4" borderId="38" xfId="194" applyFont="1" applyFill="1" applyBorder="1" applyAlignment="1">
      <alignment horizontal="center" vertical="center"/>
    </xf>
    <xf numFmtId="0" fontId="54" fillId="4" borderId="6" xfId="194" applyFont="1" applyFill="1" applyBorder="1" applyAlignment="1">
      <alignment horizontal="center" vertical="center" wrapText="1"/>
    </xf>
    <xf numFmtId="0" fontId="54" fillId="4" borderId="54" xfId="194" applyFont="1" applyFill="1" applyBorder="1" applyAlignment="1">
      <alignment horizontal="center" vertical="center" wrapText="1"/>
    </xf>
    <xf numFmtId="0" fontId="54" fillId="0" borderId="20" xfId="194" applyFont="1" applyBorder="1" applyAlignment="1">
      <alignment horizontal="left" vertical="center"/>
    </xf>
    <xf numFmtId="0" fontId="54" fillId="0" borderId="58" xfId="194" applyFont="1" applyBorder="1" applyAlignment="1">
      <alignment horizontal="left" vertical="center"/>
    </xf>
    <xf numFmtId="4" fontId="57" fillId="0" borderId="71" xfId="196" applyNumberFormat="1" applyFont="1" applyFill="1" applyBorder="1" applyAlignment="1">
      <alignment horizontal="center" vertical="center"/>
    </xf>
    <xf numFmtId="4" fontId="57" fillId="0" borderId="54" xfId="196" applyNumberFormat="1" applyFont="1" applyFill="1" applyBorder="1" applyAlignment="1">
      <alignment horizontal="center" vertical="center"/>
    </xf>
    <xf numFmtId="3" fontId="57" fillId="14" borderId="36" xfId="8" applyNumberFormat="1" applyFont="1" applyFill="1" applyBorder="1" applyAlignment="1">
      <alignment horizontal="center" vertical="center"/>
    </xf>
    <xf numFmtId="3" fontId="57" fillId="14" borderId="51" xfId="8" applyNumberFormat="1" applyFont="1" applyFill="1" applyBorder="1" applyAlignment="1">
      <alignment horizontal="center" vertical="center"/>
    </xf>
    <xf numFmtId="4" fontId="57" fillId="0" borderId="36" xfId="196" applyNumberFormat="1" applyFont="1" applyFill="1" applyBorder="1" applyAlignment="1">
      <alignment horizontal="center" vertical="center"/>
    </xf>
    <xf numFmtId="4" fontId="57" fillId="0" borderId="51" xfId="196" applyNumberFormat="1" applyFont="1" applyFill="1" applyBorder="1" applyAlignment="1">
      <alignment horizontal="center" vertical="center"/>
    </xf>
    <xf numFmtId="0" fontId="54" fillId="4" borderId="75" xfId="194" applyFont="1" applyFill="1" applyBorder="1" applyAlignment="1">
      <alignment horizontal="center" vertical="center" wrapText="1"/>
    </xf>
    <xf numFmtId="0" fontId="54" fillId="4" borderId="57" xfId="194" applyFont="1" applyFill="1" applyBorder="1" applyAlignment="1">
      <alignment horizontal="center" vertical="center" wrapText="1"/>
    </xf>
    <xf numFmtId="4" fontId="57" fillId="0" borderId="47" xfId="196" applyNumberFormat="1" applyFont="1" applyFill="1" applyBorder="1" applyAlignment="1">
      <alignment horizontal="center" vertical="center"/>
    </xf>
    <xf numFmtId="4" fontId="57" fillId="0" borderId="57" xfId="196" applyNumberFormat="1" applyFont="1" applyFill="1" applyBorder="1" applyAlignment="1">
      <alignment horizontal="center" vertical="center"/>
    </xf>
    <xf numFmtId="0" fontId="82" fillId="0" borderId="3" xfId="194" applyFont="1" applyBorder="1" applyAlignment="1">
      <alignment horizontal="left" vertical="center"/>
    </xf>
    <xf numFmtId="0" fontId="82" fillId="0" borderId="4" xfId="194" applyFont="1" applyBorder="1" applyAlignment="1">
      <alignment horizontal="left" vertical="center"/>
    </xf>
    <xf numFmtId="0" fontId="54" fillId="4" borderId="3" xfId="194" applyFont="1" applyFill="1" applyBorder="1" applyAlignment="1">
      <alignment horizontal="center" vertical="center" wrapText="1"/>
    </xf>
    <xf numFmtId="0" fontId="54" fillId="4" borderId="4" xfId="194" applyFont="1" applyFill="1" applyBorder="1" applyAlignment="1">
      <alignment horizontal="center" vertical="center" wrapText="1"/>
    </xf>
    <xf numFmtId="0" fontId="54" fillId="4" borderId="5" xfId="194" applyFont="1" applyFill="1" applyBorder="1" applyAlignment="1">
      <alignment horizontal="center" vertical="center" wrapText="1"/>
    </xf>
    <xf numFmtId="4" fontId="107" fillId="12" borderId="52" xfId="199" applyNumberFormat="1" applyFont="1" applyFill="1" applyBorder="1" applyAlignment="1">
      <alignment horizontal="right" vertical="center" wrapText="1"/>
    </xf>
    <xf numFmtId="4" fontId="107" fillId="12" borderId="38" xfId="199" applyNumberFormat="1" applyFont="1" applyFill="1" applyBorder="1" applyAlignment="1">
      <alignment horizontal="right" vertical="center" wrapText="1"/>
    </xf>
    <xf numFmtId="0" fontId="54" fillId="18" borderId="3" xfId="199" applyFont="1" applyFill="1" applyBorder="1" applyAlignment="1">
      <alignment horizontal="center" vertical="center" wrapText="1"/>
    </xf>
    <xf numFmtId="0" fontId="54" fillId="18" borderId="4" xfId="199" applyFont="1" applyFill="1" applyBorder="1" applyAlignment="1">
      <alignment horizontal="center" vertical="center" wrapText="1"/>
    </xf>
    <xf numFmtId="0" fontId="54" fillId="18" borderId="5" xfId="199" applyFont="1" applyFill="1" applyBorder="1" applyAlignment="1">
      <alignment horizontal="center" vertical="center" wrapText="1"/>
    </xf>
    <xf numFmtId="4" fontId="107" fillId="12" borderId="6" xfId="199" applyNumberFormat="1" applyFont="1" applyFill="1" applyBorder="1" applyAlignment="1">
      <alignment horizontal="right" vertical="center" wrapText="1"/>
    </xf>
    <xf numFmtId="4" fontId="107" fillId="12" borderId="8" xfId="199" applyNumberFormat="1" applyFont="1" applyFill="1" applyBorder="1" applyAlignment="1">
      <alignment horizontal="right" vertical="center" wrapText="1"/>
    </xf>
    <xf numFmtId="4" fontId="107" fillId="12" borderId="54" xfId="199" applyNumberFormat="1" applyFont="1" applyFill="1" applyBorder="1" applyAlignment="1">
      <alignment horizontal="right" vertical="center" wrapText="1"/>
    </xf>
    <xf numFmtId="4" fontId="107" fillId="12" borderId="0" xfId="199" applyNumberFormat="1" applyFont="1" applyFill="1" applyAlignment="1">
      <alignment horizontal="right" vertical="center" wrapText="1"/>
    </xf>
  </cellXfs>
  <cellStyles count="388">
    <cellStyle name="Moeda" xfId="201" builtinId="4"/>
    <cellStyle name="Moeda 11" xfId="60"/>
    <cellStyle name="Moeda 11 2" xfId="163"/>
    <cellStyle name="Moeda 11 2 2" xfId="345"/>
    <cellStyle name="Moeda 11 3" xfId="250"/>
    <cellStyle name="Moeda 12" xfId="61"/>
    <cellStyle name="Moeda 12 2" xfId="165"/>
    <cellStyle name="Moeda 12 2 2" xfId="347"/>
    <cellStyle name="Moeda 12 3" xfId="251"/>
    <cellStyle name="Moeda 2" xfId="72"/>
    <cellStyle name="Moeda 2 2" xfId="145"/>
    <cellStyle name="Moeda 2 2 2" xfId="327"/>
    <cellStyle name="Moeda 2 3" xfId="260"/>
    <cellStyle name="Moeda 3" xfId="102"/>
    <cellStyle name="Moeda 3 2" xfId="287"/>
    <cellStyle name="Moeda 4" xfId="382"/>
    <cellStyle name="Normal" xfId="0" builtinId="0"/>
    <cellStyle name="Normal 10" xfId="37"/>
    <cellStyle name="Normal 10 2" xfId="151"/>
    <cellStyle name="Normal 10 2 2" xfId="7"/>
    <cellStyle name="Normal 10 2 2 2" xfId="59"/>
    <cellStyle name="Normal 10 2 3" xfId="333"/>
    <cellStyle name="Normal 10 3" xfId="108"/>
    <cellStyle name="Normal 10 3 2" xfId="293"/>
    <cellStyle name="Normal 10 4" xfId="231"/>
    <cellStyle name="Normal 11" xfId="58"/>
    <cellStyle name="Normal 11 13" xfId="187"/>
    <cellStyle name="Normal 11 13 2" xfId="369"/>
    <cellStyle name="Normal 11 2" xfId="79"/>
    <cellStyle name="Normal 11 2 18" xfId="188"/>
    <cellStyle name="Normal 11 2 18 2" xfId="370"/>
    <cellStyle name="Normal 11 2 2" xfId="185"/>
    <cellStyle name="Normal 11 2 2 2" xfId="367"/>
    <cellStyle name="Normal 11 2 3" xfId="267"/>
    <cellStyle name="Normal 11 3" xfId="162"/>
    <cellStyle name="Normal 11 3 2" xfId="344"/>
    <cellStyle name="Normal 11 4" xfId="184"/>
    <cellStyle name="Normal 11 4 2" xfId="206"/>
    <cellStyle name="Normal 11 4 2 2" xfId="386"/>
    <cellStyle name="Normal 11 4 3" xfId="366"/>
    <cellStyle name="Normal 11 5" xfId="249"/>
    <cellStyle name="Normal 12" xfId="30"/>
    <cellStyle name="Normal 12 2" xfId="119"/>
    <cellStyle name="Normal 12 2 2" xfId="304"/>
    <cellStyle name="Normal 12 3" xfId="146"/>
    <cellStyle name="Normal 12 3 2" xfId="328"/>
    <cellStyle name="Normal 12 4" xfId="103"/>
    <cellStyle name="Normal 12 4 2" xfId="288"/>
    <cellStyle name="Normal 12 5" xfId="226"/>
    <cellStyle name="Normal 13" xfId="63"/>
    <cellStyle name="Normal 13 10" xfId="12"/>
    <cellStyle name="Normal 13 10 2" xfId="131"/>
    <cellStyle name="Normal 13 10 2 2" xfId="313"/>
    <cellStyle name="Normal 13 10 3" xfId="88"/>
    <cellStyle name="Normal 13 10 3 2" xfId="273"/>
    <cellStyle name="Normal 13 10 4" xfId="213"/>
    <cellStyle name="Normal 13 2" xfId="68"/>
    <cellStyle name="Normal 13 2 2" xfId="175"/>
    <cellStyle name="Normal 13 2 2 2" xfId="191"/>
    <cellStyle name="Normal 13 2 2 2 2" xfId="372"/>
    <cellStyle name="Normal 13 2 2 3" xfId="357"/>
    <cellStyle name="Normal 13 2 3" xfId="256"/>
    <cellStyle name="Normal 13 3" xfId="166"/>
    <cellStyle name="Normal 13 3 2" xfId="348"/>
    <cellStyle name="Normal 13 4" xfId="253"/>
    <cellStyle name="Normal 14" xfId="77"/>
    <cellStyle name="Normal 14 2" xfId="189"/>
    <cellStyle name="Normal 14 2 2" xfId="193"/>
    <cellStyle name="Normal 14 2 2 2" xfId="197"/>
    <cellStyle name="Normal 14 2 2 2 2" xfId="199"/>
    <cellStyle name="Normal 14 2 2 2 2 2" xfId="380"/>
    <cellStyle name="Normal 14 2 2 2 3" xfId="378"/>
    <cellStyle name="Normal 14 2 2 3" xfId="374"/>
    <cellStyle name="Normal 14 2 3" xfId="371"/>
    <cellStyle name="Normal 14 3" xfId="192"/>
    <cellStyle name="Normal 14 3 2" xfId="373"/>
    <cellStyle name="Normal 14 4" xfId="265"/>
    <cellStyle name="Normal 15" xfId="171"/>
    <cellStyle name="Normal 15 2" xfId="174"/>
    <cellStyle name="Normal 15 2 2" xfId="208"/>
    <cellStyle name="Normal 15 2 3" xfId="356"/>
    <cellStyle name="Normal 15 3" xfId="203"/>
    <cellStyle name="Normal 15 3 2" xfId="383"/>
    <cellStyle name="Normal 15 4" xfId="353"/>
    <cellStyle name="Normal 16" xfId="172"/>
    <cellStyle name="Normal 16 2" xfId="173"/>
    <cellStyle name="Normal 16 2 2" xfId="355"/>
    <cellStyle name="Normal 16 3" xfId="354"/>
    <cellStyle name="Normal 17" xfId="183"/>
    <cellStyle name="Normal 17 2" xfId="205"/>
    <cellStyle name="Normal 17 2 2" xfId="385"/>
    <cellStyle name="Normal 17 3" xfId="365"/>
    <cellStyle name="Normal 2" xfId="1"/>
    <cellStyle name="Normal 2 2" xfId="6"/>
    <cellStyle name="Normal 2 2 33" xfId="8"/>
    <cellStyle name="Normal 2 235" xfId="13"/>
    <cellStyle name="Normal 2 235 2" xfId="190"/>
    <cellStyle name="Normal 2 236" xfId="66"/>
    <cellStyle name="Normal 2 3" xfId="24"/>
    <cellStyle name="Normal 2 4" xfId="41"/>
    <cellStyle name="Normal 2 5" xfId="124"/>
    <cellStyle name="Normal 2 6" xfId="81"/>
    <cellStyle name="Normal 3" xfId="3"/>
    <cellStyle name="Normal 3 19" xfId="20"/>
    <cellStyle name="Normal 3 19 2" xfId="28"/>
    <cellStyle name="Normal 3 19 2 2" xfId="47"/>
    <cellStyle name="Normal 3 19 2 2 2" xfId="49"/>
    <cellStyle name="Normal 3 19 2 2 2 2" xfId="120"/>
    <cellStyle name="Normal 3 19 2 2 2 2 2" xfId="305"/>
    <cellStyle name="Normal 3 19 2 2 2 3" xfId="240"/>
    <cellStyle name="Normal 3 19 2 2 3" xfId="54"/>
    <cellStyle name="Normal 3 19 2 2 3 2" xfId="70"/>
    <cellStyle name="Normal 3 19 2 2 3 2 2" xfId="258"/>
    <cellStyle name="Normal 3 19 2 2 3 2 2 2" xfId="178"/>
    <cellStyle name="Normal 3 19 2 2 3 2 2 2 2" xfId="360"/>
    <cellStyle name="Normal 3 19 2 2 3 3" xfId="121"/>
    <cellStyle name="Normal 3 19 2 2 3 3 2" xfId="177"/>
    <cellStyle name="Normal 3 19 2 2 3 3 2 2" xfId="359"/>
    <cellStyle name="Normal 3 19 2 2 3 3 3" xfId="306"/>
    <cellStyle name="Normal 3 19 2 2 3 4" xfId="200"/>
    <cellStyle name="Normal 3 19 2 2 3 4 2" xfId="381"/>
    <cellStyle name="Normal 3 19 2 2 3 5" xfId="245"/>
    <cellStyle name="Normal 3 19 2 2 4" xfId="55"/>
    <cellStyle name="Normal 3 19 2 2 4 2" xfId="57"/>
    <cellStyle name="Normal 3 19 2 2 4 2 2" xfId="62"/>
    <cellStyle name="Normal 3 19 2 2 4 2 2 2" xfId="252"/>
    <cellStyle name="Normal 3 19 2 2 4 2 3" xfId="248"/>
    <cellStyle name="Normal 3 19 2 2 4 3" xfId="76"/>
    <cellStyle name="Normal 3 19 2 2 4 3 2" xfId="264"/>
    <cellStyle name="Normal 3 19 2 2 4 4" xfId="123"/>
    <cellStyle name="Normal 3 19 2 2 4 4 2" xfId="308"/>
    <cellStyle name="Normal 3 19 2 2 4 5" xfId="246"/>
    <cellStyle name="Normal 3 19 2 2 5" xfId="158"/>
    <cellStyle name="Normal 3 19 2 2 5 2" xfId="340"/>
    <cellStyle name="Normal 3 19 2 2 6" xfId="115"/>
    <cellStyle name="Normal 3 19 2 2 6 2" xfId="198"/>
    <cellStyle name="Normal 3 19 2 2 6 2 2" xfId="379"/>
    <cellStyle name="Normal 3 19 2 2 6 3" xfId="300"/>
    <cellStyle name="Normal 3 19 2 2 7" xfId="238"/>
    <cellStyle name="Normal 3 19 2 3" xfId="142"/>
    <cellStyle name="Normal 3 19 2 3 2" xfId="324"/>
    <cellStyle name="Normal 3 19 2 4" xfId="99"/>
    <cellStyle name="Normal 3 19 2 4 2" xfId="284"/>
    <cellStyle name="Normal 3 19 2 5" xfId="224"/>
    <cellStyle name="Normal 3 19 3" xfId="33"/>
    <cellStyle name="Normal 3 19 3 2" xfId="149"/>
    <cellStyle name="Normal 3 19 3 2 2" xfId="331"/>
    <cellStyle name="Normal 3 19 3 3" xfId="106"/>
    <cellStyle name="Normal 3 19 3 3 2" xfId="291"/>
    <cellStyle name="Normal 3 19 3 4" xfId="229"/>
    <cellStyle name="Normal 3 19 4" xfId="65"/>
    <cellStyle name="Normal 3 19 4 2" xfId="71"/>
    <cellStyle name="Normal 3 19 4 2 2" xfId="259"/>
    <cellStyle name="Normal 3 19 4 3" xfId="136"/>
    <cellStyle name="Normal 3 19 4 3 2" xfId="318"/>
    <cellStyle name="Normal 3 19 4 4" xfId="255"/>
    <cellStyle name="Normal 3 19 5" xfId="168"/>
    <cellStyle name="Normal 3 19 5 2" xfId="350"/>
    <cellStyle name="Normal 3 19 5 2 2" xfId="179"/>
    <cellStyle name="Normal 3 19 5 2 2 2" xfId="361"/>
    <cellStyle name="Normal 3 19 6" xfId="93"/>
    <cellStyle name="Normal 3 19 6 2" xfId="278"/>
    <cellStyle name="Normal 3 19 7" xfId="218"/>
    <cellStyle name="Normal 3 2" xfId="38"/>
    <cellStyle name="Normal 3 3" xfId="126"/>
    <cellStyle name="Normal 3 4" xfId="83"/>
    <cellStyle name="Normal 4" xfId="5"/>
    <cellStyle name="Normal 4 2" xfId="39"/>
    <cellStyle name="Normal 42" xfId="25"/>
    <cellStyle name="Normal 42 2" xfId="34"/>
    <cellStyle name="Normal 42 3" xfId="73"/>
    <cellStyle name="Normal 42 3 2" xfId="139"/>
    <cellStyle name="Normal 42 3 2 2" xfId="321"/>
    <cellStyle name="Normal 42 3 3" xfId="261"/>
    <cellStyle name="Normal 42 4" xfId="96"/>
    <cellStyle name="Normal 42 4 2" xfId="281"/>
    <cellStyle name="Normal 42 5" xfId="221"/>
    <cellStyle name="Normal 5" xfId="10"/>
    <cellStyle name="Normal 5 2" xfId="42"/>
    <cellStyle name="Normal 5 2 2" xfId="52"/>
    <cellStyle name="Normal 5 2 2 2" xfId="160"/>
    <cellStyle name="Normal 5 2 2 2 2" xfId="342"/>
    <cellStyle name="Normal 5 2 2 3" xfId="74"/>
    <cellStyle name="Normal 5 2 2 3 2" xfId="169"/>
    <cellStyle name="Normal 5 2 2 3 2 2" xfId="351"/>
    <cellStyle name="Normal 5 2 2 3 3" xfId="262"/>
    <cellStyle name="Normal 5 2 2 4" xfId="117"/>
    <cellStyle name="Normal 5 2 2 4 2" xfId="302"/>
    <cellStyle name="Normal 5 2 2 5" xfId="243"/>
    <cellStyle name="Normal 5 2 3" xfId="153"/>
    <cellStyle name="Normal 5 2 3 2" xfId="335"/>
    <cellStyle name="Normal 5 2 4" xfId="110"/>
    <cellStyle name="Normal 5 2 4 2" xfId="295"/>
    <cellStyle name="Normal 5 2 5" xfId="233"/>
    <cellStyle name="Normal 5 3" xfId="129"/>
    <cellStyle name="Normal 5 3 2" xfId="311"/>
    <cellStyle name="Normal 5 4" xfId="86"/>
    <cellStyle name="Normal 5 4 2" xfId="271"/>
    <cellStyle name="Normal 5 5" xfId="211"/>
    <cellStyle name="Normal 6" xfId="14"/>
    <cellStyle name="Normal 6 2" xfId="132"/>
    <cellStyle name="Normal 6 2 2" xfId="314"/>
    <cellStyle name="Normal 6 3" xfId="89"/>
    <cellStyle name="Normal 6 3 2" xfId="274"/>
    <cellStyle name="Normal 6 4" xfId="214"/>
    <cellStyle name="Normal 7" xfId="21"/>
    <cellStyle name="Normal 7 2" xfId="137"/>
    <cellStyle name="Normal 7 2 10" xfId="181"/>
    <cellStyle name="Normal 7 2 10 2" xfId="195"/>
    <cellStyle name="Normal 7 2 10 2 2" xfId="376"/>
    <cellStyle name="Normal 7 2 10 3" xfId="363"/>
    <cellStyle name="Normal 7 2 2" xfId="319"/>
    <cellStyle name="Normal 7 3" xfId="94"/>
    <cellStyle name="Normal 7 3 2" xfId="279"/>
    <cellStyle name="Normal 7 4" xfId="180"/>
    <cellStyle name="Normal 7 4 2" xfId="194"/>
    <cellStyle name="Normal 7 4 2 2" xfId="375"/>
    <cellStyle name="Normal 7 4 3" xfId="362"/>
    <cellStyle name="Normal 7 5" xfId="219"/>
    <cellStyle name="Normal 8" xfId="23"/>
    <cellStyle name="Normal 8 2" xfId="31"/>
    <cellStyle name="Normal 8 2 2" xfId="147"/>
    <cellStyle name="Normal 8 2 2 2" xfId="329"/>
    <cellStyle name="Normal 8 2 3" xfId="104"/>
    <cellStyle name="Normal 8 2 3 2" xfId="289"/>
    <cellStyle name="Normal 8 2 4" xfId="227"/>
    <cellStyle name="Normal 9" xfId="26"/>
    <cellStyle name="Normal 9 2" xfId="45"/>
    <cellStyle name="Normal 9 2 2" xfId="156"/>
    <cellStyle name="Normal 9 2 2 2" xfId="338"/>
    <cellStyle name="Normal 9 2 3" xfId="113"/>
    <cellStyle name="Normal 9 2 3 2" xfId="298"/>
    <cellStyle name="Normal 9 2 4" xfId="236"/>
    <cellStyle name="Normal 9 3" xfId="140"/>
    <cellStyle name="Normal 9 3 2" xfId="322"/>
    <cellStyle name="Normal 9 4" xfId="97"/>
    <cellStyle name="Normal 9 4 2" xfId="282"/>
    <cellStyle name="Normal 9 5" xfId="222"/>
    <cellStyle name="Porcentagem" xfId="202" builtinId="5"/>
    <cellStyle name="Porcentagem 2" xfId="2"/>
    <cellStyle name="Porcentagem 2 10" xfId="17"/>
    <cellStyle name="Porcentagem 2 2" xfId="125"/>
    <cellStyle name="Porcentagem 2 3" xfId="82"/>
    <cellStyle name="Porcentagem 2 81" xfId="67"/>
    <cellStyle name="Porcentagem 20" xfId="19"/>
    <cellStyle name="Porcentagem 22" xfId="36"/>
    <cellStyle name="Porcentagem 3" xfId="18"/>
    <cellStyle name="Porcentagem 3 2" xfId="135"/>
    <cellStyle name="Porcentagem 3 2 2" xfId="317"/>
    <cellStyle name="Porcentagem 3 3" xfId="92"/>
    <cellStyle name="Porcentagem 3 3 2" xfId="277"/>
    <cellStyle name="Porcentagem 3 4" xfId="217"/>
    <cellStyle name="Porcentagem 4" xfId="27"/>
    <cellStyle name="Porcentagem 4 2" xfId="46"/>
    <cellStyle name="Porcentagem 4 2 2" xfId="50"/>
    <cellStyle name="Porcentagem 4 2 2 2" xfId="122"/>
    <cellStyle name="Porcentagem 4 2 2 2 2" xfId="307"/>
    <cellStyle name="Porcentagem 4 2 2 3" xfId="241"/>
    <cellStyle name="Porcentagem 4 2 3" xfId="157"/>
    <cellStyle name="Porcentagem 4 2 3 2" xfId="339"/>
    <cellStyle name="Porcentagem 4 2 4" xfId="114"/>
    <cellStyle name="Porcentagem 4 2 4 2" xfId="299"/>
    <cellStyle name="Porcentagem 4 2 5" xfId="237"/>
    <cellStyle name="Porcentagem 4 3" xfId="141"/>
    <cellStyle name="Porcentagem 4 3 2" xfId="323"/>
    <cellStyle name="Porcentagem 4 4" xfId="98"/>
    <cellStyle name="Porcentagem 4 4 2" xfId="283"/>
    <cellStyle name="Porcentagem 4 5" xfId="223"/>
    <cellStyle name="Porcentagem 5" xfId="44"/>
    <cellStyle name="Porcentagem 5 2" xfId="53"/>
    <cellStyle name="Porcentagem 5 2 2" xfId="161"/>
    <cellStyle name="Porcentagem 5 2 2 2" xfId="343"/>
    <cellStyle name="Porcentagem 5 2 3" xfId="75"/>
    <cellStyle name="Porcentagem 5 2 3 2" xfId="170"/>
    <cellStyle name="Porcentagem 5 2 3 2 2" xfId="352"/>
    <cellStyle name="Porcentagem 5 2 3 3" xfId="263"/>
    <cellStyle name="Porcentagem 5 2 4" xfId="118"/>
    <cellStyle name="Porcentagem 5 2 4 2" xfId="303"/>
    <cellStyle name="Porcentagem 5 2 5" xfId="244"/>
    <cellStyle name="Porcentagem 5 3" xfId="155"/>
    <cellStyle name="Porcentagem 5 3 2" xfId="337"/>
    <cellStyle name="Porcentagem 5 4" xfId="112"/>
    <cellStyle name="Porcentagem 5 4 2" xfId="297"/>
    <cellStyle name="Porcentagem 5 5" xfId="235"/>
    <cellStyle name="Porcentagem 6" xfId="32"/>
    <cellStyle name="Porcentagem 6 2" xfId="148"/>
    <cellStyle name="Porcentagem 6 2 2" xfId="330"/>
    <cellStyle name="Porcentagem 6 3" xfId="105"/>
    <cellStyle name="Porcentagem 6 3 2" xfId="290"/>
    <cellStyle name="Porcentagem 6 4" xfId="228"/>
    <cellStyle name="Porcentagem 7" xfId="64"/>
    <cellStyle name="Porcentagem 7 2" xfId="69"/>
    <cellStyle name="Porcentagem 7 2 2" xfId="176"/>
    <cellStyle name="Porcentagem 7 2 2 2" xfId="358"/>
    <cellStyle name="Porcentagem 7 2 3" xfId="257"/>
    <cellStyle name="Porcentagem 7 3" xfId="167"/>
    <cellStyle name="Porcentagem 7 3 2" xfId="349"/>
    <cellStyle name="Porcentagem 7 4" xfId="254"/>
    <cellStyle name="Separador de milhares 10" xfId="9"/>
    <cellStyle name="Separador de milhares 10 2" xfId="128"/>
    <cellStyle name="Separador de milhares 10 2 2" xfId="310"/>
    <cellStyle name="Separador de milhares 10 3" xfId="85"/>
    <cellStyle name="Separador de milhares 10 3 2" xfId="270"/>
    <cellStyle name="Separador de milhares 10 4" xfId="210"/>
    <cellStyle name="Vírgula 10" xfId="78"/>
    <cellStyle name="Vírgula 10 2" xfId="266"/>
    <cellStyle name="Vírgula 11" xfId="101"/>
    <cellStyle name="Vírgula 11 2" xfId="286"/>
    <cellStyle name="Vírgula 2" xfId="11"/>
    <cellStyle name="Vírgula 2 2" xfId="16"/>
    <cellStyle name="Vírgula 2 2 2" xfId="134"/>
    <cellStyle name="Vírgula 2 2 2 2" xfId="316"/>
    <cellStyle name="Vírgula 2 2 3" xfId="91"/>
    <cellStyle name="Vírgula 2 2 3 2" xfId="276"/>
    <cellStyle name="Vírgula 2 2 4" xfId="216"/>
    <cellStyle name="Vírgula 2 3" xfId="43"/>
    <cellStyle name="Vírgula 2 3 2" xfId="154"/>
    <cellStyle name="Vírgula 2 3 2 2" xfId="336"/>
    <cellStyle name="Vírgula 2 3 3" xfId="80"/>
    <cellStyle name="Vírgula 2 3 3 2" xfId="164"/>
    <cellStyle name="Vírgula 2 3 3 2 2" xfId="346"/>
    <cellStyle name="Vírgula 2 3 3 3" xfId="186"/>
    <cellStyle name="Vírgula 2 3 3 3 2" xfId="207"/>
    <cellStyle name="Vírgula 2 3 3 3 2 2" xfId="387"/>
    <cellStyle name="Vírgula 2 3 3 3 3" xfId="368"/>
    <cellStyle name="Vírgula 2 3 3 4" xfId="268"/>
    <cellStyle name="Vírgula 2 3 4" xfId="111"/>
    <cellStyle name="Vírgula 2 3 4 2" xfId="296"/>
    <cellStyle name="Vírgula 2 3 5" xfId="234"/>
    <cellStyle name="Vírgula 2 4" xfId="130"/>
    <cellStyle name="Vírgula 2 4 2" xfId="312"/>
    <cellStyle name="Vírgula 2 5" xfId="87"/>
    <cellStyle name="Vírgula 2 5 2" xfId="272"/>
    <cellStyle name="Vírgula 2 6" xfId="212"/>
    <cellStyle name="Vírgula 3" xfId="4"/>
    <cellStyle name="Vírgula 3 2" xfId="127"/>
    <cellStyle name="Vírgula 3 2 2" xfId="309"/>
    <cellStyle name="Vírgula 3 3" xfId="84"/>
    <cellStyle name="Vírgula 3 3 2" xfId="269"/>
    <cellStyle name="Vírgula 3 4" xfId="209"/>
    <cellStyle name="Vírgula 4" xfId="15"/>
    <cellStyle name="Vírgula 4 2" xfId="133"/>
    <cellStyle name="Vírgula 4 2 2" xfId="315"/>
    <cellStyle name="Vírgula 4 3" xfId="90"/>
    <cellStyle name="Vírgula 4 3 2" xfId="275"/>
    <cellStyle name="Vírgula 4 4" xfId="215"/>
    <cellStyle name="Vírgula 5" xfId="22"/>
    <cellStyle name="Vírgula 5 2" xfId="35"/>
    <cellStyle name="Vírgula 5 2 2" xfId="150"/>
    <cellStyle name="Vírgula 5 2 2 2" xfId="332"/>
    <cellStyle name="Vírgula 5 2 3" xfId="107"/>
    <cellStyle name="Vírgula 5 2 3 2" xfId="292"/>
    <cellStyle name="Vírgula 5 2 4" xfId="230"/>
    <cellStyle name="Vírgula 5 3" xfId="138"/>
    <cellStyle name="Vírgula 5 3 2" xfId="320"/>
    <cellStyle name="Vírgula 5 4" xfId="95"/>
    <cellStyle name="Vírgula 5 4 2" xfId="280"/>
    <cellStyle name="Vírgula 5 5" xfId="182"/>
    <cellStyle name="Vírgula 5 5 2" xfId="196"/>
    <cellStyle name="Vírgula 5 5 2 2" xfId="377"/>
    <cellStyle name="Vírgula 5 5 3" xfId="364"/>
    <cellStyle name="Vírgula 5 6" xfId="220"/>
    <cellStyle name="Vírgula 6" xfId="29"/>
    <cellStyle name="Vírgula 6 2" xfId="143"/>
    <cellStyle name="Vírgula 6 2 2" xfId="325"/>
    <cellStyle name="Vírgula 6 3" xfId="100"/>
    <cellStyle name="Vírgula 6 3 2" xfId="285"/>
    <cellStyle name="Vírgula 6 4" xfId="225"/>
    <cellStyle name="Vírgula 7" xfId="40"/>
    <cellStyle name="Vírgula 7 2" xfId="152"/>
    <cellStyle name="Vírgula 7 2 2" xfId="334"/>
    <cellStyle name="Vírgula 7 3" xfId="109"/>
    <cellStyle name="Vírgula 7 3 2" xfId="294"/>
    <cellStyle name="Vírgula 7 4" xfId="204"/>
    <cellStyle name="Vírgula 7 4 2" xfId="384"/>
    <cellStyle name="Vírgula 7 5" xfId="232"/>
    <cellStyle name="Vírgula 8" xfId="48"/>
    <cellStyle name="Vírgula 8 2" xfId="56"/>
    <cellStyle name="Vírgula 8 2 2" xfId="159"/>
    <cellStyle name="Vírgula 8 2 2 2" xfId="341"/>
    <cellStyle name="Vírgula 8 2 3" xfId="247"/>
    <cellStyle name="Vírgula 8 3" xfId="116"/>
    <cellStyle name="Vírgula 8 3 2" xfId="301"/>
    <cellStyle name="Vírgula 8 4" xfId="239"/>
    <cellStyle name="Vírgula 9" xfId="51"/>
    <cellStyle name="Vírgula 9 2" xfId="144"/>
    <cellStyle name="Vírgula 9 2 2" xfId="326"/>
    <cellStyle name="Vírgula 9 3" xfId="242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C9FF"/>
      <color rgb="FFFF99FF"/>
      <color rgb="FFD8ECF6"/>
      <color rgb="FFDFF0D8"/>
      <color rgb="FFB7FFD8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externalLink" Target="externalLinks/externalLink9.xml"/><Relationship Id="rId39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4.xml"/><Relationship Id="rId34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33.xml"/><Relationship Id="rId55" Type="http://schemas.openxmlformats.org/officeDocument/2006/relationships/externalLink" Target="externalLinks/externalLink38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12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32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23.xml"/><Relationship Id="rId45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41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externalLink" Target="externalLinks/externalLink2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5.xml"/><Relationship Id="rId27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13.xml"/><Relationship Id="rId35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39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4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8.xml"/><Relationship Id="rId33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29.xml"/><Relationship Id="rId59" Type="http://schemas.openxmlformats.org/officeDocument/2006/relationships/externalLink" Target="externalLinks/externalLink42.xml"/><Relationship Id="rId20" Type="http://schemas.openxmlformats.org/officeDocument/2006/relationships/externalLink" Target="externalLinks/externalLink3.xml"/><Relationship Id="rId41" Type="http://schemas.openxmlformats.org/officeDocument/2006/relationships/externalLink" Target="externalLinks/externalLink24.xml"/><Relationship Id="rId54" Type="http://schemas.openxmlformats.org/officeDocument/2006/relationships/externalLink" Target="externalLinks/externalLink37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6.xml"/><Relationship Id="rId28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19.xml"/><Relationship Id="rId49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40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4.xml"/><Relationship Id="rId44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35.xml"/><Relationship Id="rId60" Type="http://schemas.openxmlformats.org/officeDocument/2006/relationships/externalLink" Target="externalLinks/externalLink4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jpg"/><Relationship Id="rId3" Type="http://schemas.openxmlformats.org/officeDocument/2006/relationships/image" Target="../media/image16.png"/><Relationship Id="rId7" Type="http://schemas.openxmlformats.org/officeDocument/2006/relationships/image" Target="../media/image20.jp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4" Type="http://schemas.openxmlformats.org/officeDocument/2006/relationships/image" Target="../media/image17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6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1.pn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2.jpe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3.jpe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eg"/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1.pn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jpeg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eg"/><Relationship Id="rId1" Type="http://schemas.openxmlformats.org/officeDocument/2006/relationships/image" Target="../media/image11.png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367080</xdr:colOff>
      <xdr:row>19</xdr:row>
      <xdr:rowOff>56029</xdr:rowOff>
    </xdr:from>
    <xdr:to>
      <xdr:col>1</xdr:col>
      <xdr:colOff>2109418</xdr:colOff>
      <xdr:row>35</xdr:row>
      <xdr:rowOff>97124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DA9A8FF-593D-455F-9AE4-74BA91968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30762" y="5043665"/>
          <a:ext cx="1742338" cy="3089095"/>
        </a:xfrm>
        <a:prstGeom prst="rect">
          <a:avLst/>
        </a:prstGeom>
      </xdr:spPr>
    </xdr:pic>
    <xdr:clientData/>
  </xdr:twoCellAnchor>
  <xdr:twoCellAnchor editAs="oneCell">
    <xdr:from>
      <xdr:col>2</xdr:col>
      <xdr:colOff>638735</xdr:colOff>
      <xdr:row>20</xdr:row>
      <xdr:rowOff>67235</xdr:rowOff>
    </xdr:from>
    <xdr:to>
      <xdr:col>5</xdr:col>
      <xdr:colOff>1096367</xdr:colOff>
      <xdr:row>31</xdr:row>
      <xdr:rowOff>142949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71E4751-0B47-45B2-BD7E-09B5706F6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10510" y="5239310"/>
          <a:ext cx="3436359" cy="21712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418472</xdr:colOff>
      <xdr:row>16</xdr:row>
      <xdr:rowOff>106677</xdr:rowOff>
    </xdr:from>
    <xdr:ext cx="3768055" cy="1473142"/>
    <xdr:pic>
      <xdr:nvPicPr>
        <xdr:cNvPr id="2" name="Imagem 1">
          <a:extLst>
            <a:ext uri="{FF2B5EF4-FFF2-40B4-BE49-F238E27FC236}">
              <a16:creationId xmlns:a16="http://schemas.microsoft.com/office/drawing/2014/main" id="{10C344C2-261F-4DB9-978F-9B1EBAC28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80422" y="4354827"/>
          <a:ext cx="3768055" cy="1473142"/>
        </a:xfrm>
        <a:prstGeom prst="rect">
          <a:avLst/>
        </a:prstGeom>
      </xdr:spPr>
    </xdr:pic>
    <xdr:clientData/>
  </xdr:oneCellAnchor>
  <xdr:oneCellAnchor>
    <xdr:from>
      <xdr:col>7</xdr:col>
      <xdr:colOff>199760</xdr:colOff>
      <xdr:row>16</xdr:row>
      <xdr:rowOff>98171</xdr:rowOff>
    </xdr:from>
    <xdr:ext cx="2885104" cy="1540994"/>
    <xdr:pic>
      <xdr:nvPicPr>
        <xdr:cNvPr id="4" name="Imagem 3">
          <a:extLst>
            <a:ext uri="{FF2B5EF4-FFF2-40B4-BE49-F238E27FC236}">
              <a16:creationId xmlns:a16="http://schemas.microsoft.com/office/drawing/2014/main" id="{B64B5478-5D35-4F58-9664-EA5F2E217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800710" y="4346321"/>
          <a:ext cx="2885104" cy="1540994"/>
        </a:xfrm>
        <a:prstGeom prst="rect">
          <a:avLst/>
        </a:prstGeom>
      </xdr:spPr>
    </xdr:pic>
    <xdr:clientData/>
  </xdr:oneCellAnchor>
  <xdr:twoCellAnchor editAs="oneCell">
    <xdr:from>
      <xdr:col>4</xdr:col>
      <xdr:colOff>57150</xdr:colOff>
      <xdr:row>16</xdr:row>
      <xdr:rowOff>95250</xdr:rowOff>
    </xdr:from>
    <xdr:to>
      <xdr:col>7</xdr:col>
      <xdr:colOff>0</xdr:colOff>
      <xdr:row>44</xdr:row>
      <xdr:rowOff>55562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22E50D2-CAEA-B118-A69A-DF1C94CFB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95825" y="4343400"/>
          <a:ext cx="2905125" cy="43418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113600</xdr:colOff>
      <xdr:row>4</xdr:row>
      <xdr:rowOff>62823</xdr:rowOff>
    </xdr:from>
    <xdr:ext cx="1374682" cy="474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7079C09A-397C-4335-89A4-791C5928C020}"/>
                </a:ext>
              </a:extLst>
            </xdr:cNvPr>
            <xdr:cNvSpPr txBox="1"/>
          </xdr:nvSpPr>
          <xdr:spPr>
            <a:xfrm>
              <a:off x="1504250" y="901023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pt-BR" sz="14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𝑎</m:t>
                        </m:r>
                        <m:r>
                          <a:rPr lang="pt-B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𝑏</m:t>
                            </m:r>
                          </m:sup>
                        </m:sSup>
                      </m:num>
                      <m:den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𝑡𝑐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7079C09A-397C-4335-89A4-791C5928C020}"/>
                </a:ext>
              </a:extLst>
            </xdr:cNvPr>
            <xdr:cNvSpPr txBox="1"/>
          </xdr:nvSpPr>
          <xdr:spPr>
            <a:xfrm>
              <a:off x="1504250" y="901023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𝐼=(𝑎</a:t>
              </a:r>
              <a:r>
                <a:rPr lang="pt-B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×〖𝑇𝑟〗^𝑏)/〖</a:t>
              </a:r>
              <a:r>
                <a:rPr lang="pt-BR" sz="1400" b="0" i="0">
                  <a:latin typeface="Cambria Math" panose="02040503050406030204" pitchFamily="18" charset="0"/>
                </a:rPr>
                <a:t>(𝑡𝑐+𝑐)〗^𝑑 </a:t>
              </a:r>
              <a:endParaRPr lang="pt-BR" sz="1100"/>
            </a:p>
          </xdr:txBody>
        </xdr:sp>
      </mc:Fallback>
    </mc:AlternateContent>
    <xdr:clientData/>
  </xdr:oneCellAnchor>
  <xdr:oneCellAnchor>
    <xdr:from>
      <xdr:col>2</xdr:col>
      <xdr:colOff>113600</xdr:colOff>
      <xdr:row>4</xdr:row>
      <xdr:rowOff>62823</xdr:rowOff>
    </xdr:from>
    <xdr:ext cx="1374682" cy="474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FAAAA41-7CDB-42C3-B0FD-F155BD50F4E3}"/>
                </a:ext>
              </a:extLst>
            </xdr:cNvPr>
            <xdr:cNvSpPr txBox="1"/>
          </xdr:nvSpPr>
          <xdr:spPr>
            <a:xfrm>
              <a:off x="1504250" y="901023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pt-BR" sz="14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𝑎</m:t>
                        </m:r>
                        <m:r>
                          <a:rPr lang="pt-B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𝑏</m:t>
                            </m:r>
                          </m:sup>
                        </m:sSup>
                      </m:num>
                      <m:den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𝑡𝑐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FAAAA41-7CDB-42C3-B0FD-F155BD50F4E3}"/>
                </a:ext>
              </a:extLst>
            </xdr:cNvPr>
            <xdr:cNvSpPr txBox="1"/>
          </xdr:nvSpPr>
          <xdr:spPr>
            <a:xfrm>
              <a:off x="1504250" y="901023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𝐼=(𝑎</a:t>
              </a:r>
              <a:r>
                <a:rPr lang="pt-B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×〖𝑇𝑟〗^𝑏)/〖</a:t>
              </a:r>
              <a:r>
                <a:rPr lang="pt-BR" sz="1400" b="0" i="0">
                  <a:latin typeface="Cambria Math" panose="02040503050406030204" pitchFamily="18" charset="0"/>
                </a:rPr>
                <a:t>(𝑡𝑐+𝑐)〗^𝑑 </a:t>
              </a:r>
              <a:endParaRPr lang="pt-BR" sz="1100"/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639537</xdr:colOff>
      <xdr:row>17</xdr:row>
      <xdr:rowOff>65315</xdr:rowOff>
    </xdr:from>
    <xdr:ext cx="447674" cy="429308"/>
    <xdr:pic>
      <xdr:nvPicPr>
        <xdr:cNvPr id="2" name="Imagem 1">
          <a:extLst>
            <a:ext uri="{FF2B5EF4-FFF2-40B4-BE49-F238E27FC236}">
              <a16:creationId xmlns:a16="http://schemas.microsoft.com/office/drawing/2014/main" id="{7877D64F-4391-455D-A848-E64C10A9B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39937" y="8923565"/>
          <a:ext cx="447674" cy="429308"/>
        </a:xfrm>
        <a:prstGeom prst="rect">
          <a:avLst/>
        </a:prstGeom>
      </xdr:spPr>
    </xdr:pic>
    <xdr:clientData/>
  </xdr:oneCellAnchor>
  <xdr:oneCellAnchor>
    <xdr:from>
      <xdr:col>2</xdr:col>
      <xdr:colOff>503465</xdr:colOff>
      <xdr:row>22</xdr:row>
      <xdr:rowOff>68037</xdr:rowOff>
    </xdr:from>
    <xdr:ext cx="829834" cy="405848"/>
    <xdr:pic>
      <xdr:nvPicPr>
        <xdr:cNvPr id="3" name="Imagem 2">
          <a:extLst>
            <a:ext uri="{FF2B5EF4-FFF2-40B4-BE49-F238E27FC236}">
              <a16:creationId xmlns:a16="http://schemas.microsoft.com/office/drawing/2014/main" id="{77216578-42B2-4E4A-9F5D-9C886B0E4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03865" y="11269437"/>
          <a:ext cx="829834" cy="405848"/>
        </a:xfrm>
        <a:prstGeom prst="rect">
          <a:avLst/>
        </a:prstGeom>
      </xdr:spPr>
    </xdr:pic>
    <xdr:clientData/>
  </xdr:oneCellAnchor>
  <xdr:oneCellAnchor>
    <xdr:from>
      <xdr:col>2</xdr:col>
      <xdr:colOff>659547</xdr:colOff>
      <xdr:row>16</xdr:row>
      <xdr:rowOff>56830</xdr:rowOff>
    </xdr:from>
    <xdr:ext cx="399825" cy="409659"/>
    <xdr:pic>
      <xdr:nvPicPr>
        <xdr:cNvPr id="4" name="Imagem 3">
          <a:extLst>
            <a:ext uri="{FF2B5EF4-FFF2-40B4-BE49-F238E27FC236}">
              <a16:creationId xmlns:a16="http://schemas.microsoft.com/office/drawing/2014/main" id="{4EAF77DC-5321-43E3-9D93-971137D63B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9020" t="21215" r="38534" b="38039"/>
        <a:stretch/>
      </xdr:blipFill>
      <xdr:spPr>
        <a:xfrm>
          <a:off x="3859947" y="8343580"/>
          <a:ext cx="399825" cy="409659"/>
        </a:xfrm>
        <a:prstGeom prst="rect">
          <a:avLst/>
        </a:prstGeom>
      </xdr:spPr>
    </xdr:pic>
    <xdr:clientData/>
  </xdr:oneCellAnchor>
  <xdr:twoCellAnchor editAs="oneCell">
    <xdr:from>
      <xdr:col>2</xdr:col>
      <xdr:colOff>530679</xdr:colOff>
      <xdr:row>7</xdr:row>
      <xdr:rowOff>40820</xdr:rowOff>
    </xdr:from>
    <xdr:to>
      <xdr:col>2</xdr:col>
      <xdr:colOff>1164300</xdr:colOff>
      <xdr:row>7</xdr:row>
      <xdr:rowOff>517071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CBECE29-2DCD-49FE-A120-EBB8B15F9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31079" y="4088945"/>
          <a:ext cx="633621" cy="476251"/>
        </a:xfrm>
        <a:prstGeom prst="rect">
          <a:avLst/>
        </a:prstGeom>
      </xdr:spPr>
    </xdr:pic>
    <xdr:clientData/>
  </xdr:twoCellAnchor>
  <xdr:twoCellAnchor editAs="oneCell">
    <xdr:from>
      <xdr:col>2</xdr:col>
      <xdr:colOff>517071</xdr:colOff>
      <xdr:row>8</xdr:row>
      <xdr:rowOff>81644</xdr:rowOff>
    </xdr:from>
    <xdr:to>
      <xdr:col>2</xdr:col>
      <xdr:colOff>1191258</xdr:colOff>
      <xdr:row>8</xdr:row>
      <xdr:rowOff>498362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17FC1E66-7423-4920-84F0-E462AC0291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6393" r="11475"/>
        <a:stretch/>
      </xdr:blipFill>
      <xdr:spPr>
        <a:xfrm>
          <a:off x="3717471" y="4701269"/>
          <a:ext cx="674187" cy="416718"/>
        </a:xfrm>
        <a:prstGeom prst="rect">
          <a:avLst/>
        </a:prstGeom>
      </xdr:spPr>
    </xdr:pic>
    <xdr:clientData/>
  </xdr:twoCellAnchor>
  <xdr:twoCellAnchor editAs="oneCell">
    <xdr:from>
      <xdr:col>2</xdr:col>
      <xdr:colOff>503465</xdr:colOff>
      <xdr:row>9</xdr:row>
      <xdr:rowOff>95250</xdr:rowOff>
    </xdr:from>
    <xdr:to>
      <xdr:col>2</xdr:col>
      <xdr:colOff>1170164</xdr:colOff>
      <xdr:row>9</xdr:row>
      <xdr:rowOff>447119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193E99FC-E0CA-4598-B6F8-54656920A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5400000">
          <a:off x="3861280" y="5128960"/>
          <a:ext cx="351869" cy="666699"/>
        </a:xfrm>
        <a:prstGeom prst="rect">
          <a:avLst/>
        </a:prstGeom>
      </xdr:spPr>
    </xdr:pic>
    <xdr:clientData/>
  </xdr:twoCellAnchor>
  <xdr:oneCellAnchor>
    <xdr:from>
      <xdr:col>2</xdr:col>
      <xdr:colOff>437809</xdr:colOff>
      <xdr:row>3</xdr:row>
      <xdr:rowOff>108858</xdr:rowOff>
    </xdr:from>
    <xdr:ext cx="746011" cy="416196"/>
    <xdr:pic>
      <xdr:nvPicPr>
        <xdr:cNvPr id="8" name="Imagem 7">
          <a:extLst>
            <a:ext uri="{FF2B5EF4-FFF2-40B4-BE49-F238E27FC236}">
              <a16:creationId xmlns:a16="http://schemas.microsoft.com/office/drawing/2014/main" id="{6002CDBA-29F9-4DA8-9639-74842A0AA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209" y="2004333"/>
          <a:ext cx="746011" cy="416196"/>
        </a:xfrm>
        <a:prstGeom prst="rect">
          <a:avLst/>
        </a:prstGeom>
      </xdr:spPr>
    </xdr:pic>
    <xdr:clientData/>
  </xdr:oneCellAnchor>
  <xdr:oneCellAnchor>
    <xdr:from>
      <xdr:col>2</xdr:col>
      <xdr:colOff>435429</xdr:colOff>
      <xdr:row>4</xdr:row>
      <xdr:rowOff>77329</xdr:rowOff>
    </xdr:from>
    <xdr:ext cx="761999" cy="425116"/>
    <xdr:pic>
      <xdr:nvPicPr>
        <xdr:cNvPr id="9" name="Imagem 8">
          <a:extLst>
            <a:ext uri="{FF2B5EF4-FFF2-40B4-BE49-F238E27FC236}">
              <a16:creationId xmlns:a16="http://schemas.microsoft.com/office/drawing/2014/main" id="{9241EC38-D316-44C0-86C2-17A456162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5829" y="2544304"/>
          <a:ext cx="761999" cy="42511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aniela\3&#170;%20MP%20ago_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niela\3&#170;%20MP%20ago_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21&#170;%20MP%20-%20SITRAN%20-%20BR-26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COLVES%20OBRA%20418\CUSTO%20OBRA%20418\I001%20a%20I011%2009-07%20&#224;%2012-0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Documents%20and%20Settings\FIDENS\Configura&#231;&#245;es%20locais\Temp\Detalhamento%20das%20Despesas%20Diretas%2020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jetos\1%20-%20Ponta%20Por&#227;_Itamarati\Projeto%20B&#225;sico\1.2%20-%20Planilhas%20e%20Documentos\RESULTA\PROPOSTA\BDPRO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26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quipe\ENGENHARIA\Normas%20e%20Especifica&#231;&#245;es\Dnit\PROPOSTAS%20DNIT\BR%20163%20C%20405\Pato%2016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bricio\c\CST\Medi&#231;&#245;es%20dos%20Servi&#231;os%20CST-Ourinhos\Lote%2003\Terraplenagem\CSTL\Altinopolis\DIVERSOS\Prod.%20de%20Fresa%20Ago.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D0013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BR-1581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\JRFM\Transenge\GO-2012\PROPOSTA%20EDITAL%200144_12%20DNIT-CORR_BDI_JRFM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Paulo%20Vicente\Desktop\Pasta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FV-DNER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G%20CONSTRUTORA\Contorno%20Vi&#225;rio%20de%20Caarap&#243;\Reprograma&#231;&#245;es\PATO\Documents%20and%20Settings\USER\Meus%20documentos\Dnit\Documentos\PATO\BR-262-PATONOV06-ANASTACIO-MIRAND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eus%20documentos\DER-SP\PLANILHA%20OFICI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uglas\CONSTRU&#199;&#195;O%20CIVIL%20-%20PONTA%20POR&#195;\01.%20CAPSi%20-%20REV002\PLANILHAS\MEM.%20DE%20C&#193;LCULO_REV01_CAPSI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A_DEPTECNICO3\Users\DOCUME~1\RAPHAE~1.POR\CONFIG~1\Temp\Rar$DI00.610\Acabamentos2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4A772BD\BR%20262%20CORUMBA%20COM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ERNANDA\DIMENSIONAMENTO%20DE%20CALHAS\Mem&#243;ria%20-%20Drenagem%20Predial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DO\HDO%20PONTA%20PORA%20Dropbox\HDO%20PONTA%20PORA_OFICIAL\257%20-%20LAGUNA%20CARAP&#195;\02%20-%20PA&#199;O%20MUNICIPAL\1.%20FASE%201\PLANILHAS\MEM&#211;RIA%20DE%20C&#193;LCULO%20_REV00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Meus%20Documentos\FV-DNER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articular\Mestrado\FX-B-REST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%20Dorneles/Desktop/Or&#231;amento%20-%20Infra/Composi&#231;&#227;o%20de%20BDI%20-%20Ac&#243;rd&#227;o%202622-2013%20%20Rodovias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atrizes%20Controle\Matriz%20ACOMPANHAMENTO%20DE%20RESULTAD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jetos%20em%20andamento\DNIT%20Construtoras\DNIT%20PIR-IV%20Corredor%202007\SP%20-%208a%20UNIT\PIR%20IV%20BR-116\PASSO%20FUNDO%20COMPOSI&#199;&#213;ES\Documents%20and%20Settings\Pedro\Meus%20documentos\CPU%20Extra%20em%20excel%20de%20Br11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Users\user\Documents\Servi;os\Conserva&#231;&#227;o%20Mafrenze\MP%20010708%20(Salvo%20automaticamente)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14\setores\TRABALHO\Projetos\88%20-%20Nova%20Andradina\01%20-%20Eros&#227;o%20(Parque)\03.%20Planilhas\Nova%20Andradina%20-%20Quantitativos%20Projeto%20de%20Drenagem_R00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G%20CONSTRUTORA\Contorno%20Vi&#225;rio%20de%20Caarap&#243;\Reprograma&#231;&#245;es\EMAIL\AEROPORTO%20PORTO%20MURTINHO\2&#170;%20MEDI&#199;&#195;O%20PORTO%20MURTINHO\PatoBR-359.fina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Egesa-antigos\TO-134\0798\TECNICO\TEACOMP\LOTE06\P09\P10\RELAT61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4A772BD\BR%20262%20CORUMBA%20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Cliente\Documents\Projeto%20CREMA%201a%20Etapa\CD-01\Projetos\BR-364%20MT2_Exe_Def_10_07_02\Vol04_Or&#231;amento\Lote_08\Documents%20and%20Settings\bruno\Meus%20documentos\Servi&#231;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Documents%20and%20Settings/NATALINA.FABIO/Meus%20documentos/DNIT-Licita&#231;&#245;es/Lote%2033-conc.114-25-10-04/Proposta%20BR-116-L33%20ed.114%20%2025-10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Indices"/>
      <sheetName val="PATO_15"/>
      <sheetName val="RESUMO"/>
      <sheetName val="Equipamentos"/>
      <sheetName val="Anual"/>
      <sheetName val="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AUX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  <sheetName val="sid_ni_5"/>
      <sheetName val="Vínculo (2)"/>
    </sheetNames>
    <sheetDataSet>
      <sheetData sheetId="0">
        <row r="6">
          <cell r="B6" t="str">
            <v>CGR ENGENHARIA LTDA.</v>
          </cell>
        </row>
        <row r="18">
          <cell r="J18">
            <v>0</v>
          </cell>
        </row>
        <row r="20">
          <cell r="J20">
            <v>0</v>
          </cell>
        </row>
        <row r="35">
          <cell r="J35">
            <v>63.997</v>
          </cell>
        </row>
        <row r="38">
          <cell r="J38">
            <v>2344</v>
          </cell>
        </row>
        <row r="40">
          <cell r="J40">
            <v>193.1</v>
          </cell>
        </row>
        <row r="53">
          <cell r="J53">
            <v>10168.5</v>
          </cell>
        </row>
        <row r="83">
          <cell r="L83">
            <v>4.65E-2</v>
          </cell>
        </row>
        <row r="86">
          <cell r="L86">
            <v>5.7200000000000001E-2</v>
          </cell>
        </row>
        <row r="90">
          <cell r="L90">
            <v>3.0499999999999999E-2</v>
          </cell>
        </row>
        <row r="93">
          <cell r="L93">
            <v>5.0900000000000001E-2</v>
          </cell>
        </row>
        <row r="94">
          <cell r="L94">
            <v>0.28610000000000002</v>
          </cell>
        </row>
        <row r="98">
          <cell r="L98">
            <v>3.0499999999999999E-2</v>
          </cell>
        </row>
        <row r="102">
          <cell r="A102" t="str">
            <v>Superintendente Regional do MS/DNIT</v>
          </cell>
        </row>
        <row r="133">
          <cell r="B133" t="str">
            <v>BR - 262/MS</v>
          </cell>
        </row>
        <row r="135">
          <cell r="C135" t="str">
            <v>setembro/08</v>
          </cell>
        </row>
        <row r="136">
          <cell r="C136" t="str">
            <v>01/09/09 à  30/09/08</v>
          </cell>
        </row>
        <row r="138">
          <cell r="C138" t="str">
            <v>3.ª MED. PARCIAL</v>
          </cell>
        </row>
        <row r="144">
          <cell r="C144" t="str">
            <v xml:space="preserve"> em  30/10/08</v>
          </cell>
        </row>
      </sheetData>
      <sheetData sheetId="1"/>
      <sheetData sheetId="2">
        <row r="41">
          <cell r="F41">
            <v>23.643999999999998</v>
          </cell>
        </row>
      </sheetData>
      <sheetData sheetId="3">
        <row r="26">
          <cell r="I26">
            <v>8.4499999999999993</v>
          </cell>
          <cell r="K26">
            <v>1504.835</v>
          </cell>
        </row>
      </sheetData>
      <sheetData sheetId="4"/>
      <sheetData sheetId="5">
        <row r="17">
          <cell r="J17" t="e">
            <v>#REF!</v>
          </cell>
        </row>
        <row r="36">
          <cell r="J36">
            <v>10239.4</v>
          </cell>
        </row>
        <row r="38">
          <cell r="J38">
            <v>10239.4</v>
          </cell>
        </row>
        <row r="86">
          <cell r="J86" t="e">
            <v>#REF!</v>
          </cell>
        </row>
      </sheetData>
      <sheetData sheetId="6">
        <row r="19">
          <cell r="E19" t="e">
            <v>#REF!</v>
          </cell>
        </row>
      </sheetData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. MED. VERTICAL (2)"/>
      <sheetName val="Q. MED. VERTICAL (P)"/>
      <sheetName val="Q. MED. VERTICAL"/>
      <sheetName val="Q. MED. VERT"/>
      <sheetName val="Sinal_Vertical (A)"/>
      <sheetName val="Contrato_BR-163"/>
      <sheetName val="Med 21"/>
      <sheetName val="MED. P MUNIC"/>
      <sheetName val="CADASTRO"/>
      <sheetName val="DADOS"/>
      <sheetName val="ISSQN"/>
      <sheetName val="B_Desempenho"/>
      <sheetName val="Contrato"/>
      <sheetName val="Sinal_Horizontal"/>
      <sheetName val="Sinal_Vertical"/>
      <sheetName val="Sinal_Vertical (B)"/>
      <sheetName val="Tacha"/>
      <sheetName val="DEFENSAS"/>
      <sheetName val="PLACAS"/>
      <sheetName val="Espessura"/>
      <sheetName val="Retro_refletância"/>
      <sheetName val="Cálculo_Medição"/>
      <sheetName val="Medição"/>
      <sheetName val="Croqui"/>
      <sheetName val="Relatório de Compatibilidade"/>
      <sheetName val="original"/>
      <sheetName val="INDICES"/>
      <sheetName val="serviços"/>
      <sheetName val="orçamento"/>
      <sheetName val="fresagem de pista ago-98"/>
      <sheetName val="Q__MED__VERTICAL_(2)"/>
      <sheetName val="Q__MED__VERTICAL_(P)"/>
      <sheetName val="Q__MED__VERTICAL"/>
      <sheetName val="Q__MED__VERT"/>
      <sheetName val="Sinal_Vertical_(A)"/>
      <sheetName val="Med_21"/>
      <sheetName val="MED__P_MUNIC"/>
      <sheetName val="Sinal_Vertical_(B)"/>
      <sheetName val="Relatório_de_Compatibilidade"/>
      <sheetName val="SAÍDA BRITADOS"/>
      <sheetName val="SAÍDA MASSA"/>
      <sheetName val="PROD.PRIM."/>
      <sheetName val="PROD_REBRIT_"/>
      <sheetName val="RESUMO INDUSTRIAL"/>
      <sheetName val="TABELA TV-CASTELLAR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DENTIFICAÇÃO"/>
      <sheetName val="PLANILHA"/>
      <sheetName val="PROD_PRIM_"/>
      <sheetName val="SERVIÇOS MAT BET"/>
      <sheetName val="PROD.REBRIT."/>
      <sheetName val="Relação de Pessoal"/>
      <sheetName val="Relação de Equipamentos"/>
      <sheetName val="TPU-MARÇO_2002"/>
      <sheetName val="DESEMP 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SITRAN - Sinalização de Trânsito Industrial Ltda</v>
          </cell>
        </row>
        <row r="3">
          <cell r="C3" t="str">
            <v>TT-141/2006-00</v>
          </cell>
        </row>
        <row r="9">
          <cell r="C9" t="str">
            <v>DIV. SP/MS - DIV. BR-BOLÍVIA</v>
          </cell>
        </row>
        <row r="11">
          <cell r="C11" t="str">
            <v>DIV.SP/MS - ENTR. BR-163 ANEL ROD. CAMPO GRANDE</v>
          </cell>
        </row>
        <row r="13">
          <cell r="C13" t="str">
            <v>km 0 ao km 4,1 e km 11,6 ao km 175,0</v>
          </cell>
        </row>
        <row r="16">
          <cell r="C16" t="str">
            <v>167,500 Km</v>
          </cell>
        </row>
        <row r="21">
          <cell r="C21" t="str">
            <v>21ª MEDIÇÃO PARCIAL</v>
          </cell>
        </row>
        <row r="22">
          <cell r="C22" t="str">
            <v>01/06 à 30/06/2008</v>
          </cell>
        </row>
        <row r="23">
          <cell r="C23">
            <v>39622</v>
          </cell>
        </row>
        <row r="25">
          <cell r="C25">
            <v>39453</v>
          </cell>
        </row>
        <row r="29">
          <cell r="C29">
            <v>39453</v>
          </cell>
        </row>
        <row r="31">
          <cell r="C31" t="str">
            <v>Três Lagoas - MS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Cópia"/>
      <sheetName val="09-07"/>
      <sheetName val="10-07"/>
      <sheetName val="11-07"/>
      <sheetName val="12-07"/>
      <sheetName val="Não Programado"/>
      <sheetName val="Indevidas"/>
      <sheetName val="Cópia 2"/>
      <sheetName val="Resumo das Indire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Resumo do Custo Direto CP1"/>
    </sheetNames>
    <sheetDataSet>
      <sheetData sheetId="0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 AN"/>
      <sheetName val="DESEMP COM NE"/>
      <sheetName val="DESEMP COM SE"/>
      <sheetName val="DESEMP COM SL"/>
      <sheetName val="DESEMP COM TC"/>
      <sheetName val="DADOS"/>
      <sheetName val="Contratações"/>
      <sheetName val="PROP ELAB GANH"/>
      <sheetName val="PARETOS"/>
      <sheetName val="FAIXA PROPOSTAS"/>
      <sheetName val="F. MEDIÇAO"/>
      <sheetName val="Serviços"/>
    </sheetNames>
    <sheetDataSet>
      <sheetData sheetId="0" refreshError="1">
        <row r="36">
          <cell r="B36" t="str">
            <v>CLIENTE</v>
          </cell>
          <cell r="C36" t="str">
            <v>AN</v>
          </cell>
          <cell r="D36" t="str">
            <v>PROJETO</v>
          </cell>
          <cell r="H36" t="str">
            <v>VALOR</v>
          </cell>
        </row>
        <row r="37">
          <cell r="B37" t="str">
            <v xml:space="preserve"> CBTU</v>
          </cell>
          <cell r="C37" t="str">
            <v>NE</v>
          </cell>
          <cell r="D37" t="str">
            <v xml:space="preserve"> Infraestrutura do Metrô de Recife</v>
          </cell>
          <cell r="H37">
            <v>2032000</v>
          </cell>
        </row>
        <row r="38">
          <cell r="B38" t="str">
            <v xml:space="preserve"> CFN</v>
          </cell>
          <cell r="C38" t="str">
            <v>NE</v>
          </cell>
          <cell r="D38" t="str">
            <v xml:space="preserve"> Recuperação da Malha Ferroviária de Recife</v>
          </cell>
          <cell r="H38">
            <v>2587850</v>
          </cell>
        </row>
        <row r="39">
          <cell r="B39" t="str">
            <v xml:space="preserve"> CODEVASF</v>
          </cell>
          <cell r="C39" t="str">
            <v>NE</v>
          </cell>
          <cell r="D39" t="str">
            <v xml:space="preserve"> Obras Civis da Barragem de Poço Magro</v>
          </cell>
          <cell r="H39">
            <v>3563550</v>
          </cell>
        </row>
        <row r="40">
          <cell r="B40" t="str">
            <v xml:space="preserve"> CVRD</v>
          </cell>
          <cell r="C40" t="str">
            <v>NE</v>
          </cell>
          <cell r="D40" t="str">
            <v xml:space="preserve"> Terraplenagem e Drenagem dos Pátios A, B, C, D e F</v>
          </cell>
          <cell r="H40">
            <v>7004110</v>
          </cell>
        </row>
        <row r="41">
          <cell r="B41" t="str">
            <v xml:space="preserve"> DERBA</v>
          </cell>
          <cell r="C41" t="str">
            <v>NE</v>
          </cell>
          <cell r="D41" t="str">
            <v xml:space="preserve"> Rodovia BA-891 - Lote 2</v>
          </cell>
          <cell r="H41">
            <v>7247880</v>
          </cell>
        </row>
        <row r="42">
          <cell r="B42" t="str">
            <v xml:space="preserve"> DERBA</v>
          </cell>
          <cell r="C42" t="str">
            <v>NE</v>
          </cell>
          <cell r="D42" t="str">
            <v xml:space="preserve"> Rodovia BA-549 - Lote 2</v>
          </cell>
          <cell r="H42">
            <v>3900000</v>
          </cell>
        </row>
        <row r="43">
          <cell r="B43" t="str">
            <v xml:space="preserve"> DERBA</v>
          </cell>
          <cell r="C43" t="str">
            <v>NE</v>
          </cell>
          <cell r="D43" t="str">
            <v xml:space="preserve"> Rodovia BA-549 - Lote 1</v>
          </cell>
          <cell r="H43">
            <v>5934530</v>
          </cell>
        </row>
        <row r="44">
          <cell r="B44" t="str">
            <v xml:space="preserve"> DERBA</v>
          </cell>
          <cell r="C44" t="str">
            <v>NE</v>
          </cell>
          <cell r="D44" t="str">
            <v xml:space="preserve"> Rodovia BA-891 - Lote 1</v>
          </cell>
          <cell r="H44">
            <v>6603310</v>
          </cell>
        </row>
        <row r="45">
          <cell r="B45" t="str">
            <v xml:space="preserve"> DER-MA</v>
          </cell>
          <cell r="C45" t="str">
            <v>NE</v>
          </cell>
          <cell r="D45" t="str">
            <v xml:space="preserve"> MA-206 - Entroncamento BR-316/Vila Piritina - Caratupera</v>
          </cell>
          <cell r="H45">
            <v>5925820</v>
          </cell>
        </row>
        <row r="46">
          <cell r="B46" t="str">
            <v xml:space="preserve"> DNER</v>
          </cell>
          <cell r="C46" t="str">
            <v>NE</v>
          </cell>
          <cell r="D46" t="str">
            <v xml:space="preserve"> Projeto CREMA GO-01</v>
          </cell>
          <cell r="H46">
            <v>4929518.75</v>
          </cell>
        </row>
        <row r="47">
          <cell r="B47" t="str">
            <v xml:space="preserve"> EMBASA</v>
          </cell>
          <cell r="C47" t="str">
            <v>NE</v>
          </cell>
          <cell r="D47" t="str">
            <v xml:space="preserve"> Bacia do Alto Pituaçu</v>
          </cell>
          <cell r="H47">
            <v>10345540</v>
          </cell>
        </row>
        <row r="48">
          <cell r="B48" t="str">
            <v xml:space="preserve"> INFRAERO</v>
          </cell>
          <cell r="C48" t="str">
            <v>NE</v>
          </cell>
          <cell r="D48" t="str">
            <v xml:space="preserve"> Ampliação da Pista de Pouso do Aeroporto de Natal</v>
          </cell>
          <cell r="H48">
            <v>4154290</v>
          </cell>
        </row>
        <row r="49">
          <cell r="B49" t="str">
            <v xml:space="preserve"> INFRAERO/GEP</v>
          </cell>
          <cell r="C49" t="str">
            <v>NE</v>
          </cell>
          <cell r="D49" t="str">
            <v xml:space="preserve"> Pré-qualificação do Aeroporto de Recife</v>
          </cell>
          <cell r="H49">
            <v>0</v>
          </cell>
        </row>
        <row r="50">
          <cell r="B50" t="str">
            <v xml:space="preserve"> VALEC</v>
          </cell>
          <cell r="C50" t="str">
            <v>NE</v>
          </cell>
          <cell r="D50" t="str">
            <v xml:space="preserve"> Obras Ferroviárias entre Ribeirão Mosquito e Rio Campo Alegre</v>
          </cell>
          <cell r="H50">
            <v>8930340</v>
          </cell>
        </row>
        <row r="51">
          <cell r="B51" t="str">
            <v xml:space="preserve"> VALEC</v>
          </cell>
          <cell r="C51" t="str">
            <v>NE</v>
          </cell>
          <cell r="D51" t="str">
            <v xml:space="preserve"> Infraestrutura Ferroviária entre Senador Canedo a Porangatú</v>
          </cell>
          <cell r="H51">
            <v>4846340</v>
          </cell>
        </row>
        <row r="52">
          <cell r="B52" t="str">
            <v xml:space="preserve"> BEPREM</v>
          </cell>
          <cell r="C52" t="str">
            <v>SE</v>
          </cell>
          <cell r="D52" t="str">
            <v xml:space="preserve"> Lagoa Acqua Park</v>
          </cell>
          <cell r="H52">
            <v>1114290</v>
          </cell>
        </row>
        <row r="53">
          <cell r="B53" t="str">
            <v xml:space="preserve"> CMM</v>
          </cell>
          <cell r="C53" t="str">
            <v>SE</v>
          </cell>
          <cell r="D53" t="str">
            <v xml:space="preserve"> Construção da Fábrica em Três Marias</v>
          </cell>
          <cell r="H53">
            <v>4055030</v>
          </cell>
        </row>
        <row r="54">
          <cell r="B54" t="str">
            <v xml:space="preserve"> COPEBRÁS</v>
          </cell>
          <cell r="C54" t="str">
            <v>SE</v>
          </cell>
          <cell r="D54" t="str">
            <v xml:space="preserve"> Unidade de Fertilizantes de Catalão</v>
          </cell>
          <cell r="H54">
            <v>14182980</v>
          </cell>
        </row>
        <row r="55">
          <cell r="B55" t="str">
            <v xml:space="preserve"> DER-ES</v>
          </cell>
          <cell r="C55" t="str">
            <v>SE</v>
          </cell>
          <cell r="D55" t="str">
            <v xml:space="preserve"> Variante Ferroviária Flexal-Viana</v>
          </cell>
          <cell r="H55">
            <v>16967850</v>
          </cell>
        </row>
        <row r="56">
          <cell r="B56" t="str">
            <v xml:space="preserve"> DER-MG</v>
          </cell>
          <cell r="C56" t="str">
            <v>SE</v>
          </cell>
          <cell r="D56" t="str">
            <v xml:space="preserve"> Contorno Rodoviário de Lavras</v>
          </cell>
          <cell r="H56">
            <v>4524930</v>
          </cell>
        </row>
        <row r="57">
          <cell r="B57" t="str">
            <v xml:space="preserve"> DER-MG</v>
          </cell>
          <cell r="C57" t="str">
            <v>SE</v>
          </cell>
          <cell r="D57" t="str">
            <v xml:space="preserve"> BR-356 - Ervália / Muriaé</v>
          </cell>
          <cell r="H57">
            <v>5111850</v>
          </cell>
        </row>
        <row r="58">
          <cell r="B58" t="str">
            <v xml:space="preserve"> DNER</v>
          </cell>
          <cell r="C58" t="str">
            <v>SE</v>
          </cell>
          <cell r="D58" t="str">
            <v xml:space="preserve"> Variante da Região do Viaduto Vila Rica</v>
          </cell>
          <cell r="H58">
            <v>8701970</v>
          </cell>
        </row>
        <row r="59">
          <cell r="B59" t="str">
            <v xml:space="preserve"> DNER</v>
          </cell>
          <cell r="C59" t="str">
            <v>SE</v>
          </cell>
          <cell r="D59" t="str">
            <v xml:space="preserve"> Projeto CREMA - BR-040 - MG</v>
          </cell>
          <cell r="H59">
            <v>9092731.25</v>
          </cell>
        </row>
        <row r="60">
          <cell r="B60" t="str">
            <v xml:space="preserve"> Ferteco</v>
          </cell>
          <cell r="C60" t="str">
            <v>SE</v>
          </cell>
          <cell r="D60" t="str">
            <v xml:space="preserve"> Ramal Ferroviário do Córrego do Feijão</v>
          </cell>
          <cell r="H60">
            <v>7863476.8553814301</v>
          </cell>
        </row>
        <row r="61">
          <cell r="B61" t="str">
            <v xml:space="preserve"> PM Juizde Fora</v>
          </cell>
          <cell r="C61" t="str">
            <v>SE</v>
          </cell>
          <cell r="D61" t="str">
            <v xml:space="preserve"> Infra e Superestrutura Ferroviária - Lote 2</v>
          </cell>
          <cell r="H61">
            <v>25573420</v>
          </cell>
        </row>
        <row r="62">
          <cell r="B62" t="str">
            <v xml:space="preserve"> PM Juizde Fora</v>
          </cell>
          <cell r="C62" t="str">
            <v>SE</v>
          </cell>
          <cell r="D62" t="str">
            <v xml:space="preserve"> Infra e Superestrutura Ferroviária - Lote 1</v>
          </cell>
          <cell r="H62">
            <v>17782500</v>
          </cell>
        </row>
        <row r="63">
          <cell r="B63" t="str">
            <v xml:space="preserve"> PM Juizde Fora</v>
          </cell>
          <cell r="C63" t="str">
            <v>SE</v>
          </cell>
          <cell r="D63" t="str">
            <v xml:space="preserve"> Infra e Superestrutura Ferroviária - Lote 3</v>
          </cell>
          <cell r="H63">
            <v>24874450</v>
          </cell>
        </row>
        <row r="64">
          <cell r="B64" t="str">
            <v xml:space="preserve"> ABB</v>
          </cell>
          <cell r="C64" t="str">
            <v>SL</v>
          </cell>
          <cell r="D64" t="str">
            <v xml:space="preserve"> Subestação Transformadora de Energia - GARABÍ II</v>
          </cell>
          <cell r="H64">
            <v>6080923</v>
          </cell>
        </row>
        <row r="65">
          <cell r="B65" t="str">
            <v xml:space="preserve"> CISA</v>
          </cell>
          <cell r="C65" t="str">
            <v>SL</v>
          </cell>
          <cell r="D65" t="str">
            <v xml:space="preserve"> Edificações Administrativas e Fundações para Equipamentos</v>
          </cell>
          <cell r="H65">
            <v>5139490</v>
          </cell>
        </row>
        <row r="66">
          <cell r="B66" t="str">
            <v xml:space="preserve"> DAER</v>
          </cell>
          <cell r="C66" t="str">
            <v>SL</v>
          </cell>
          <cell r="D66" t="str">
            <v xml:space="preserve"> Pré-qualificação do Projeto CREMA - RS</v>
          </cell>
          <cell r="H66">
            <v>0</v>
          </cell>
        </row>
        <row r="67">
          <cell r="B67" t="str">
            <v xml:space="preserve"> DAER</v>
          </cell>
          <cell r="C67" t="str">
            <v>SL</v>
          </cell>
          <cell r="D67" t="str">
            <v xml:space="preserve"> RS-377 - Santa Tecla / Jóia</v>
          </cell>
          <cell r="H67">
            <v>6635212</v>
          </cell>
        </row>
        <row r="68">
          <cell r="B68" t="str">
            <v xml:space="preserve"> DAER</v>
          </cell>
          <cell r="C68" t="str">
            <v>SL</v>
          </cell>
          <cell r="D68" t="str">
            <v xml:space="preserve"> RS-377 - Manoel Viana</v>
          </cell>
          <cell r="H68">
            <v>6372469</v>
          </cell>
        </row>
        <row r="69">
          <cell r="B69" t="str">
            <v xml:space="preserve"> DNER</v>
          </cell>
          <cell r="C69" t="str">
            <v>SL</v>
          </cell>
          <cell r="D69" t="str">
            <v xml:space="preserve"> Contorno de Santa Rosa</v>
          </cell>
          <cell r="H69">
            <v>3812839.0243902439</v>
          </cell>
        </row>
        <row r="70">
          <cell r="B70" t="str">
            <v xml:space="preserve"> INFRAERO</v>
          </cell>
          <cell r="C70" t="str">
            <v>SL</v>
          </cell>
          <cell r="D70" t="str">
            <v xml:space="preserve"> Infraestrutura do Aeroporto de Viracopos</v>
          </cell>
          <cell r="H70">
            <v>9053610</v>
          </cell>
        </row>
        <row r="71">
          <cell r="B71" t="str">
            <v xml:space="preserve"> Petrobrás</v>
          </cell>
          <cell r="C71" t="str">
            <v>SL</v>
          </cell>
          <cell r="D71" t="str">
            <v xml:space="preserve"> Cabos de Fibra Óptica entre Biguaçu e Canoas-Lote V</v>
          </cell>
          <cell r="H71">
            <v>11704301</v>
          </cell>
        </row>
        <row r="72">
          <cell r="B72" t="str">
            <v xml:space="preserve"> Petrobrás</v>
          </cell>
          <cell r="C72" t="str">
            <v>SL</v>
          </cell>
          <cell r="D72" t="str">
            <v xml:space="preserve"> Cabos de Fibra Óptica entre Paulínea e Araucária-Lote III</v>
          </cell>
          <cell r="H72">
            <v>10929025</v>
          </cell>
        </row>
        <row r="73">
          <cell r="B73" t="str">
            <v xml:space="preserve"> Petrobrás</v>
          </cell>
          <cell r="C73" t="str">
            <v>SL</v>
          </cell>
          <cell r="D73" t="str">
            <v xml:space="preserve"> Cabos de Fibra Óptica entre Biguaçu e Joinvile-Lotes IV e IVA</v>
          </cell>
          <cell r="H73">
            <v>10648084</v>
          </cell>
        </row>
        <row r="74">
          <cell r="B74" t="str">
            <v xml:space="preserve"> Placas do PR</v>
          </cell>
          <cell r="C74" t="str">
            <v>SL</v>
          </cell>
          <cell r="D74" t="str">
            <v xml:space="preserve"> Infraestrutura Industrial e Obras Complementares</v>
          </cell>
          <cell r="H74">
            <v>4056000</v>
          </cell>
        </row>
        <row r="75">
          <cell r="B75" t="str">
            <v xml:space="preserve"> PM Florianópolis</v>
          </cell>
          <cell r="C75" t="str">
            <v>SL</v>
          </cell>
          <cell r="D75" t="str">
            <v xml:space="preserve"> Complexo Viário Rita Maria</v>
          </cell>
          <cell r="H75">
            <v>1974795</v>
          </cell>
        </row>
        <row r="76">
          <cell r="B76" t="str">
            <v xml:space="preserve"> RODONORTE</v>
          </cell>
          <cell r="C76" t="str">
            <v>SL</v>
          </cell>
          <cell r="D76" t="str">
            <v xml:space="preserve"> BR-376- Trecho Mauá da Serra/Serra do Cadeado</v>
          </cell>
          <cell r="H76">
            <v>1690140</v>
          </cell>
        </row>
        <row r="77">
          <cell r="B77" t="str">
            <v xml:space="preserve"> BARRAMAR</v>
          </cell>
          <cell r="C77" t="str">
            <v>TC</v>
          </cell>
          <cell r="D77" t="str">
            <v xml:space="preserve"> Rede de Dutos entre o Rio de Janeiro e Taubaté</v>
          </cell>
          <cell r="H77">
            <v>5875551.7596062673</v>
          </cell>
        </row>
        <row r="78">
          <cell r="B78" t="str">
            <v xml:space="preserve"> TELEMAR</v>
          </cell>
          <cell r="C78" t="str">
            <v>TC</v>
          </cell>
          <cell r="D78" t="str">
            <v xml:space="preserve"> Rota Óptica Estreito / Balsas - MA</v>
          </cell>
          <cell r="H78">
            <v>1851890</v>
          </cell>
        </row>
        <row r="79">
          <cell r="B79" t="str">
            <v xml:space="preserve"> TELEMAR - BA</v>
          </cell>
          <cell r="C79" t="str">
            <v>TC</v>
          </cell>
          <cell r="D79" t="str">
            <v xml:space="preserve"> Instalação e Manutenção da Rede de Acesso da BA e SE-Lote 2</v>
          </cell>
          <cell r="H79">
            <v>7917790</v>
          </cell>
        </row>
        <row r="80">
          <cell r="B80" t="str">
            <v xml:space="preserve"> TELEMAR - BA</v>
          </cell>
          <cell r="C80" t="str">
            <v>TC</v>
          </cell>
          <cell r="D80" t="str">
            <v xml:space="preserve"> Instalação e Manutenção da Rede de Acesso da BA e SE-Lote 1</v>
          </cell>
          <cell r="H80">
            <v>8961680</v>
          </cell>
        </row>
        <row r="81">
          <cell r="B81" t="str">
            <v xml:space="preserve"> TELEMAR - BA</v>
          </cell>
          <cell r="C81" t="str">
            <v>TC</v>
          </cell>
          <cell r="D81" t="str">
            <v xml:space="preserve"> Instalação e Manutenção da Rede de Acesso da BA e SE-Lote 9</v>
          </cell>
          <cell r="H81">
            <v>6882620</v>
          </cell>
        </row>
        <row r="82">
          <cell r="B82" t="str">
            <v xml:space="preserve"> TELEMAR - BA</v>
          </cell>
          <cell r="C82" t="str">
            <v>TC</v>
          </cell>
          <cell r="D82" t="str">
            <v xml:space="preserve"> Instalação e Manutenção da Rede de Acesso da BA e SE-Lote 3</v>
          </cell>
          <cell r="H82">
            <v>7947320</v>
          </cell>
        </row>
        <row r="83">
          <cell r="B83" t="str">
            <v xml:space="preserve"> TELEMAR - BA</v>
          </cell>
          <cell r="C83" t="str">
            <v>TC</v>
          </cell>
          <cell r="D83" t="str">
            <v xml:space="preserve"> Instalação e Manutenção da Rede de Acesso da BA e SE-Lote 4</v>
          </cell>
          <cell r="H83">
            <v>8552310</v>
          </cell>
        </row>
        <row r="84">
          <cell r="B84" t="str">
            <v xml:space="preserve"> TELEMAR - BA</v>
          </cell>
          <cell r="C84" t="str">
            <v>TC</v>
          </cell>
          <cell r="D84" t="str">
            <v xml:space="preserve"> Instalação e Manutenção da Rede de Acesso da BA e SE-Lote 5</v>
          </cell>
          <cell r="H84">
            <v>10201150</v>
          </cell>
        </row>
        <row r="85">
          <cell r="B85" t="str">
            <v xml:space="preserve"> TELEMAR-RJ</v>
          </cell>
          <cell r="C85" t="str">
            <v>TC</v>
          </cell>
          <cell r="D85" t="str">
            <v xml:space="preserve"> VAPT-RJ-Instalação e Manutenção de Telefones Públicos</v>
          </cell>
          <cell r="H85">
            <v>5201180</v>
          </cell>
        </row>
        <row r="86">
          <cell r="B86" t="str">
            <v xml:space="preserve"> TELEMAR-RJ</v>
          </cell>
          <cell r="C86" t="str">
            <v>TC</v>
          </cell>
          <cell r="D86" t="str">
            <v xml:space="preserve"> Instalação e Manutenção de Telefones Públicos</v>
          </cell>
          <cell r="H86">
            <v>563920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ANO</v>
          </cell>
          <cell r="B1" t="str">
            <v>AN</v>
          </cell>
          <cell r="C1" t="str">
            <v>RESP</v>
          </cell>
          <cell r="D1" t="str">
            <v>SETOR</v>
          </cell>
          <cell r="E1" t="str">
            <v>ÁREA</v>
          </cell>
          <cell r="F1" t="str">
            <v>CLIENTE</v>
          </cell>
          <cell r="G1" t="str">
            <v>PROJETO</v>
          </cell>
          <cell r="H1" t="str">
            <v>VALOR</v>
          </cell>
          <cell r="I1" t="str">
            <v>STATUS</v>
          </cell>
          <cell r="J1" t="str">
            <v>ENTREGA</v>
          </cell>
          <cell r="K1" t="str">
            <v>POS_AG</v>
          </cell>
          <cell r="L1" t="str">
            <v>CONTR</v>
          </cell>
          <cell r="M1" t="str">
            <v>OBSERVAÇÃO</v>
          </cell>
        </row>
        <row r="2">
          <cell r="A2">
            <v>1993</v>
          </cell>
          <cell r="B2" t="str">
            <v>NE</v>
          </cell>
          <cell r="C2" t="str">
            <v>-</v>
          </cell>
          <cell r="D2" t="str">
            <v>SPB</v>
          </cell>
          <cell r="E2" t="str">
            <v>DIV</v>
          </cell>
          <cell r="F2" t="str">
            <v>TELEBRASÍLIA</v>
          </cell>
          <cell r="G2" t="str">
            <v>Estação Telefônica Centro-Norte-Brasília</v>
          </cell>
          <cell r="H2">
            <v>21558432</v>
          </cell>
          <cell r="J2">
            <v>34090</v>
          </cell>
          <cell r="K2">
            <v>24</v>
          </cell>
          <cell r="L2">
            <v>0</v>
          </cell>
          <cell r="M2" t="str">
            <v>24º Lugar</v>
          </cell>
        </row>
        <row r="3">
          <cell r="A3">
            <v>1993</v>
          </cell>
          <cell r="B3" t="str">
            <v>NE</v>
          </cell>
          <cell r="C3" t="str">
            <v>-</v>
          </cell>
          <cell r="D3" t="str">
            <v>SPB</v>
          </cell>
          <cell r="E3" t="str">
            <v>SAN</v>
          </cell>
          <cell r="F3" t="str">
            <v>COMPESA</v>
          </cell>
          <cell r="G3" t="str">
            <v>Esgoto Sanitário da Bacia de Brasília Teimosa</v>
          </cell>
          <cell r="H3">
            <v>3486757</v>
          </cell>
          <cell r="J3">
            <v>34090</v>
          </cell>
          <cell r="K3" t="str">
            <v>-</v>
          </cell>
          <cell r="L3">
            <v>0</v>
          </cell>
          <cell r="M3" t="str">
            <v>Perdemos no Sorteio</v>
          </cell>
        </row>
        <row r="4">
          <cell r="A4">
            <v>1993</v>
          </cell>
          <cell r="B4" t="str">
            <v>NE</v>
          </cell>
          <cell r="C4" t="str">
            <v>-</v>
          </cell>
          <cell r="D4" t="str">
            <v>SPB</v>
          </cell>
          <cell r="E4" t="str">
            <v>HAB</v>
          </cell>
          <cell r="F4" t="str">
            <v>CVRD</v>
          </cell>
          <cell r="G4" t="str">
            <v>Emp. Habitacional - Chácara do Lua - 1º Alt.</v>
          </cell>
          <cell r="H4">
            <v>844844</v>
          </cell>
          <cell r="J4">
            <v>34121</v>
          </cell>
          <cell r="K4">
            <v>3</v>
          </cell>
          <cell r="L4">
            <v>0</v>
          </cell>
          <cell r="M4" t="str">
            <v>3º Lugar</v>
          </cell>
        </row>
        <row r="5">
          <cell r="A5">
            <v>1993</v>
          </cell>
          <cell r="B5" t="str">
            <v>NE</v>
          </cell>
          <cell r="C5" t="str">
            <v>-</v>
          </cell>
          <cell r="D5" t="str">
            <v>SPB</v>
          </cell>
          <cell r="E5" t="str">
            <v>HAB</v>
          </cell>
          <cell r="F5" t="str">
            <v>CVRD</v>
          </cell>
          <cell r="G5" t="str">
            <v>Emp. Habitacional - Chácara do Sol - 1º Alt.</v>
          </cell>
          <cell r="H5">
            <v>1067753</v>
          </cell>
          <cell r="J5">
            <v>34121</v>
          </cell>
          <cell r="K5">
            <v>3</v>
          </cell>
          <cell r="L5">
            <v>0</v>
          </cell>
          <cell r="M5" t="str">
            <v>3º Lugar</v>
          </cell>
        </row>
        <row r="6">
          <cell r="A6">
            <v>1993</v>
          </cell>
          <cell r="B6" t="str">
            <v>NE</v>
          </cell>
          <cell r="C6" t="str">
            <v>-</v>
          </cell>
          <cell r="D6" t="str">
            <v>SPB</v>
          </cell>
          <cell r="E6" t="str">
            <v>HAB</v>
          </cell>
          <cell r="F6" t="str">
            <v>CVRD</v>
          </cell>
          <cell r="G6" t="str">
            <v>Emp. Habitacional - Chácara do Sol - 2º Alt.</v>
          </cell>
          <cell r="H6">
            <v>944788</v>
          </cell>
          <cell r="J6">
            <v>34121</v>
          </cell>
          <cell r="K6" t="str">
            <v>-</v>
          </cell>
          <cell r="L6">
            <v>0</v>
          </cell>
          <cell r="M6" t="str">
            <v>1º Lugar</v>
          </cell>
        </row>
        <row r="7">
          <cell r="A7">
            <v>1993</v>
          </cell>
          <cell r="B7" t="str">
            <v>NE</v>
          </cell>
          <cell r="C7" t="str">
            <v>-</v>
          </cell>
          <cell r="D7" t="str">
            <v>SPB</v>
          </cell>
          <cell r="E7" t="str">
            <v>HAB</v>
          </cell>
          <cell r="F7" t="str">
            <v>CVRD</v>
          </cell>
          <cell r="G7" t="str">
            <v>Emp. Habitacional - Chácara do Lua - 2º Alt.</v>
          </cell>
          <cell r="H7">
            <v>777513</v>
          </cell>
          <cell r="J7">
            <v>34121</v>
          </cell>
          <cell r="K7" t="str">
            <v>-</v>
          </cell>
          <cell r="L7">
            <v>0</v>
          </cell>
          <cell r="M7" t="str">
            <v>1º Lugar</v>
          </cell>
        </row>
        <row r="8">
          <cell r="A8">
            <v>1993</v>
          </cell>
          <cell r="B8" t="str">
            <v>NE</v>
          </cell>
          <cell r="C8" t="str">
            <v>-</v>
          </cell>
          <cell r="D8" t="str">
            <v>PUB</v>
          </cell>
          <cell r="E8" t="str">
            <v>ROD</v>
          </cell>
          <cell r="F8" t="str">
            <v>DER-MA</v>
          </cell>
          <cell r="G8" t="str">
            <v>MA-201-COHAB/Maiobão</v>
          </cell>
          <cell r="H8">
            <v>3918794</v>
          </cell>
          <cell r="J8">
            <v>34121</v>
          </cell>
          <cell r="K8">
            <v>2</v>
          </cell>
          <cell r="L8">
            <v>0</v>
          </cell>
          <cell r="M8" t="str">
            <v>2º Lugar</v>
          </cell>
        </row>
        <row r="9">
          <cell r="A9">
            <v>1993</v>
          </cell>
          <cell r="B9" t="str">
            <v>NE</v>
          </cell>
          <cell r="C9" t="str">
            <v>-</v>
          </cell>
          <cell r="D9" t="str">
            <v>PUB</v>
          </cell>
          <cell r="E9" t="str">
            <v>ROD</v>
          </cell>
          <cell r="F9" t="str">
            <v>DER-MA</v>
          </cell>
          <cell r="G9" t="str">
            <v>MA-201-Maiobão/São José do Ribamar</v>
          </cell>
          <cell r="H9">
            <v>2784735</v>
          </cell>
          <cell r="J9">
            <v>34121</v>
          </cell>
          <cell r="K9" t="str">
            <v>-</v>
          </cell>
          <cell r="L9">
            <v>0</v>
          </cell>
          <cell r="M9" t="str">
            <v>1º Lugar</v>
          </cell>
        </row>
        <row r="10">
          <cell r="A10">
            <v>1993</v>
          </cell>
          <cell r="B10" t="str">
            <v>NE</v>
          </cell>
          <cell r="C10" t="str">
            <v>-</v>
          </cell>
          <cell r="D10" t="str">
            <v>SPB</v>
          </cell>
          <cell r="E10" t="str">
            <v>SAN</v>
          </cell>
          <cell r="F10" t="str">
            <v>CASAL</v>
          </cell>
          <cell r="G10" t="str">
            <v>Coletor Lagunar de Esgotos de Maceió</v>
          </cell>
          <cell r="H10">
            <v>24140891</v>
          </cell>
          <cell r="J10">
            <v>34151</v>
          </cell>
          <cell r="K10" t="str">
            <v>-</v>
          </cell>
          <cell r="L10">
            <v>0</v>
          </cell>
          <cell r="M10" t="str">
            <v>1º Lugar</v>
          </cell>
        </row>
        <row r="11">
          <cell r="A11">
            <v>1993</v>
          </cell>
          <cell r="B11" t="str">
            <v>NE</v>
          </cell>
          <cell r="C11" t="str">
            <v>-</v>
          </cell>
          <cell r="D11" t="str">
            <v>PUB</v>
          </cell>
          <cell r="E11" t="str">
            <v>ROD</v>
          </cell>
          <cell r="F11" t="str">
            <v>DER-PB</v>
          </cell>
          <cell r="G11" t="str">
            <v>Rodovia PB-359</v>
          </cell>
          <cell r="H11">
            <v>5008309</v>
          </cell>
          <cell r="J11">
            <v>34182</v>
          </cell>
          <cell r="K11">
            <v>1</v>
          </cell>
          <cell r="L11">
            <v>1</v>
          </cell>
          <cell r="M11" t="str">
            <v>1º Lugar</v>
          </cell>
        </row>
        <row r="12">
          <cell r="A12">
            <v>1993</v>
          </cell>
          <cell r="B12" t="str">
            <v>NE</v>
          </cell>
          <cell r="C12" t="str">
            <v>-</v>
          </cell>
          <cell r="D12" t="str">
            <v>PUB</v>
          </cell>
          <cell r="E12" t="str">
            <v>ROD</v>
          </cell>
          <cell r="F12" t="str">
            <v>DER-MA</v>
          </cell>
          <cell r="G12" t="str">
            <v>MA-006-Babilônia/Tarso Fragoso</v>
          </cell>
          <cell r="H12">
            <v>5000000</v>
          </cell>
          <cell r="J12">
            <v>34213</v>
          </cell>
          <cell r="K12">
            <v>4</v>
          </cell>
          <cell r="L12">
            <v>0</v>
          </cell>
          <cell r="M12" t="str">
            <v>4º Lugar</v>
          </cell>
        </row>
        <row r="13">
          <cell r="A13">
            <v>1993</v>
          </cell>
          <cell r="B13" t="str">
            <v>NE</v>
          </cell>
          <cell r="C13" t="str">
            <v>-</v>
          </cell>
          <cell r="D13" t="str">
            <v>PUB</v>
          </cell>
          <cell r="E13" t="str">
            <v>ROD</v>
          </cell>
          <cell r="F13" t="str">
            <v>DER-MA</v>
          </cell>
          <cell r="G13" t="str">
            <v>MA-006-Balsas/Babilônia</v>
          </cell>
          <cell r="H13">
            <v>5138326</v>
          </cell>
          <cell r="J13">
            <v>34213</v>
          </cell>
          <cell r="K13">
            <v>3</v>
          </cell>
          <cell r="L13">
            <v>0</v>
          </cell>
          <cell r="M13" t="str">
            <v>3º Lugar</v>
          </cell>
        </row>
        <row r="14">
          <cell r="A14">
            <v>1993</v>
          </cell>
          <cell r="B14" t="str">
            <v>NE</v>
          </cell>
          <cell r="C14" t="str">
            <v>-</v>
          </cell>
          <cell r="D14" t="str">
            <v>PUB</v>
          </cell>
          <cell r="E14" t="str">
            <v>ROD</v>
          </cell>
          <cell r="F14" t="str">
            <v>DER-MA</v>
          </cell>
          <cell r="G14" t="str">
            <v>MA-006-Presidente Colinas/Colinas</v>
          </cell>
          <cell r="H14">
            <v>5486196</v>
          </cell>
          <cell r="J14">
            <v>34213</v>
          </cell>
          <cell r="K14">
            <v>10</v>
          </cell>
          <cell r="L14">
            <v>0</v>
          </cell>
          <cell r="M14" t="str">
            <v>10º Lugar</v>
          </cell>
        </row>
        <row r="15">
          <cell r="A15">
            <v>1993</v>
          </cell>
          <cell r="B15" t="str">
            <v>NE</v>
          </cell>
          <cell r="C15" t="str">
            <v>-</v>
          </cell>
          <cell r="D15" t="str">
            <v>SPB</v>
          </cell>
          <cell r="E15" t="str">
            <v>SAN</v>
          </cell>
          <cell r="F15" t="str">
            <v>PM Barreiras</v>
          </cell>
          <cell r="G15" t="str">
            <v>Obras de Infra-estrutura e Saneamento Básico</v>
          </cell>
          <cell r="H15">
            <v>17913791</v>
          </cell>
          <cell r="J15">
            <v>34213</v>
          </cell>
          <cell r="K15">
            <v>3</v>
          </cell>
          <cell r="L15">
            <v>0</v>
          </cell>
          <cell r="M15" t="str">
            <v>3º Lugar</v>
          </cell>
        </row>
        <row r="16">
          <cell r="A16">
            <v>1993</v>
          </cell>
          <cell r="B16" t="str">
            <v>NE</v>
          </cell>
          <cell r="C16" t="str">
            <v>-</v>
          </cell>
          <cell r="D16" t="str">
            <v>-</v>
          </cell>
          <cell r="E16" t="str">
            <v>COM</v>
          </cell>
          <cell r="F16" t="str">
            <v>Tecma</v>
          </cell>
          <cell r="G16" t="str">
            <v>Terraplenagem do Carrefour-Brasília</v>
          </cell>
          <cell r="H16">
            <v>3558109</v>
          </cell>
          <cell r="J16">
            <v>34243</v>
          </cell>
          <cell r="K16">
            <v>4</v>
          </cell>
          <cell r="L16">
            <v>0</v>
          </cell>
          <cell r="M16" t="str">
            <v>4º Lugar</v>
          </cell>
        </row>
        <row r="17">
          <cell r="A17">
            <v>1993</v>
          </cell>
          <cell r="B17" t="str">
            <v>NE</v>
          </cell>
          <cell r="C17" t="str">
            <v>-</v>
          </cell>
          <cell r="D17" t="str">
            <v>-</v>
          </cell>
          <cell r="E17" t="str">
            <v>JUST</v>
          </cell>
          <cell r="F17" t="str">
            <v>TRT</v>
          </cell>
          <cell r="G17" t="str">
            <v>TRT-Ampliação do Prédio Sede-MA</v>
          </cell>
          <cell r="H17">
            <v>1449194</v>
          </cell>
          <cell r="J17">
            <v>34274</v>
          </cell>
          <cell r="K17">
            <v>4</v>
          </cell>
          <cell r="L17">
            <v>0</v>
          </cell>
          <cell r="M17" t="str">
            <v>4º Lugar</v>
          </cell>
        </row>
        <row r="18">
          <cell r="A18">
            <v>1993</v>
          </cell>
          <cell r="B18" t="str">
            <v>NE</v>
          </cell>
          <cell r="C18" t="str">
            <v>-</v>
          </cell>
          <cell r="D18" t="str">
            <v>-</v>
          </cell>
          <cell r="E18" t="str">
            <v>ROD</v>
          </cell>
          <cell r="F18" t="str">
            <v>DER-PI</v>
          </cell>
          <cell r="G18" t="str">
            <v>PI-254/BR-135-Santa Filomena-Lote 3</v>
          </cell>
          <cell r="H18">
            <v>1982187</v>
          </cell>
          <cell r="J18">
            <v>34304</v>
          </cell>
          <cell r="K18">
            <v>2</v>
          </cell>
          <cell r="L18">
            <v>0</v>
          </cell>
          <cell r="M18" t="str">
            <v>2ºLugar</v>
          </cell>
        </row>
        <row r="19">
          <cell r="A19">
            <v>1993</v>
          </cell>
          <cell r="B19" t="str">
            <v>NE</v>
          </cell>
          <cell r="C19" t="str">
            <v>-</v>
          </cell>
          <cell r="D19" t="str">
            <v>-</v>
          </cell>
          <cell r="E19" t="str">
            <v>ROD</v>
          </cell>
          <cell r="F19" t="str">
            <v>DER-PI</v>
          </cell>
          <cell r="G19" t="str">
            <v>PI-112-Manoel Alves/Porto-Lote 4</v>
          </cell>
          <cell r="H19">
            <v>2209571</v>
          </cell>
          <cell r="J19">
            <v>34304</v>
          </cell>
          <cell r="K19">
            <v>2</v>
          </cell>
          <cell r="L19">
            <v>0</v>
          </cell>
          <cell r="M19" t="str">
            <v>2ºLugar</v>
          </cell>
        </row>
        <row r="20">
          <cell r="A20">
            <v>1993</v>
          </cell>
          <cell r="B20" t="str">
            <v>NE</v>
          </cell>
          <cell r="C20" t="str">
            <v>-</v>
          </cell>
          <cell r="D20" t="str">
            <v>-</v>
          </cell>
          <cell r="E20" t="str">
            <v>SAN</v>
          </cell>
          <cell r="F20" t="str">
            <v>PM C. Grande</v>
          </cell>
          <cell r="G20" t="str">
            <v>Rede de Esgotamento Sanitário</v>
          </cell>
          <cell r="H20">
            <v>656070</v>
          </cell>
          <cell r="J20">
            <v>34304</v>
          </cell>
          <cell r="K20">
            <v>6</v>
          </cell>
          <cell r="L20">
            <v>0</v>
          </cell>
          <cell r="M20" t="str">
            <v>6º Lugar</v>
          </cell>
        </row>
        <row r="21">
          <cell r="A21">
            <v>1993</v>
          </cell>
          <cell r="B21" t="str">
            <v>NE</v>
          </cell>
          <cell r="C21" t="str">
            <v>-</v>
          </cell>
          <cell r="D21" t="str">
            <v>-</v>
          </cell>
          <cell r="E21" t="str">
            <v>ENE</v>
          </cell>
          <cell r="F21" t="str">
            <v>Petrobrás</v>
          </cell>
          <cell r="G21" t="str">
            <v>Bases de Combustíveis de Brasília</v>
          </cell>
          <cell r="H21">
            <v>2479627</v>
          </cell>
          <cell r="J21">
            <v>34335</v>
          </cell>
          <cell r="K21">
            <v>3</v>
          </cell>
          <cell r="L21">
            <v>0</v>
          </cell>
          <cell r="M21" t="str">
            <v>3º Lugar (Triunfo)</v>
          </cell>
        </row>
        <row r="22">
          <cell r="A22">
            <v>1993</v>
          </cell>
          <cell r="B22" t="str">
            <v>NE</v>
          </cell>
          <cell r="C22" t="str">
            <v>-</v>
          </cell>
          <cell r="D22" t="str">
            <v>-</v>
          </cell>
          <cell r="E22" t="str">
            <v>ROD</v>
          </cell>
          <cell r="F22" t="str">
            <v>DER-BA</v>
          </cell>
          <cell r="G22" t="str">
            <v>BR-407-Entroncamento BA-052/Macajuba</v>
          </cell>
          <cell r="H22">
            <v>1763939</v>
          </cell>
          <cell r="J22">
            <v>34335</v>
          </cell>
          <cell r="K22">
            <v>5</v>
          </cell>
          <cell r="L22">
            <v>0</v>
          </cell>
          <cell r="M22" t="str">
            <v>5º Lugar</v>
          </cell>
        </row>
        <row r="23">
          <cell r="A23">
            <v>1993</v>
          </cell>
          <cell r="B23" t="str">
            <v>NE</v>
          </cell>
          <cell r="C23" t="str">
            <v>-</v>
          </cell>
          <cell r="D23" t="str">
            <v>-</v>
          </cell>
          <cell r="E23" t="str">
            <v>ROD</v>
          </cell>
          <cell r="F23" t="str">
            <v>DER-BA</v>
          </cell>
          <cell r="G23" t="str">
            <v>BR-407-Entroncamento BA-421/Rui Barbosa</v>
          </cell>
          <cell r="H23">
            <v>1689323</v>
          </cell>
          <cell r="J23">
            <v>34335</v>
          </cell>
          <cell r="K23">
            <v>5</v>
          </cell>
          <cell r="L23">
            <v>0</v>
          </cell>
          <cell r="M23" t="str">
            <v>5º Lugar</v>
          </cell>
        </row>
        <row r="24">
          <cell r="A24">
            <v>1993</v>
          </cell>
          <cell r="B24" t="str">
            <v>NE</v>
          </cell>
          <cell r="C24" t="str">
            <v>-</v>
          </cell>
          <cell r="D24" t="str">
            <v>-</v>
          </cell>
          <cell r="E24" t="str">
            <v>ROD</v>
          </cell>
          <cell r="F24" t="str">
            <v>DER-BA</v>
          </cell>
          <cell r="G24" t="str">
            <v>BA-878/BR-420-Saubará/B.J. Pobres</v>
          </cell>
          <cell r="H24">
            <v>2860990</v>
          </cell>
          <cell r="J24">
            <v>34335</v>
          </cell>
          <cell r="K24">
            <v>10</v>
          </cell>
          <cell r="L24">
            <v>0</v>
          </cell>
          <cell r="M24" t="str">
            <v>10º Lugar</v>
          </cell>
        </row>
        <row r="25">
          <cell r="A25">
            <v>1993</v>
          </cell>
          <cell r="B25" t="str">
            <v>NE</v>
          </cell>
          <cell r="C25" t="str">
            <v>-</v>
          </cell>
          <cell r="D25" t="str">
            <v>-</v>
          </cell>
          <cell r="E25" t="str">
            <v>ROD</v>
          </cell>
          <cell r="F25" t="str">
            <v>DER-BA</v>
          </cell>
          <cell r="G25" t="str">
            <v>BA-225-Entroncamento BA-135/Coaceral</v>
          </cell>
          <cell r="H25">
            <v>4078823</v>
          </cell>
          <cell r="J25">
            <v>34335</v>
          </cell>
          <cell r="K25">
            <v>5</v>
          </cell>
          <cell r="L25">
            <v>0</v>
          </cell>
          <cell r="M25" t="str">
            <v>5º Lugar</v>
          </cell>
        </row>
        <row r="26">
          <cell r="A26">
            <v>1993</v>
          </cell>
          <cell r="B26" t="str">
            <v>NE</v>
          </cell>
          <cell r="C26" t="str">
            <v>-</v>
          </cell>
          <cell r="D26" t="str">
            <v>-</v>
          </cell>
          <cell r="E26" t="str">
            <v>ROD</v>
          </cell>
          <cell r="F26" t="str">
            <v>DER-BA</v>
          </cell>
          <cell r="G26" t="str">
            <v>BR-407-Mairi/Entroncamento BA-052</v>
          </cell>
          <cell r="H26">
            <v>1388738</v>
          </cell>
          <cell r="J26">
            <v>34335</v>
          </cell>
          <cell r="K26">
            <v>7</v>
          </cell>
          <cell r="L26">
            <v>0</v>
          </cell>
          <cell r="M26" t="str">
            <v>7º Lugar</v>
          </cell>
        </row>
        <row r="27">
          <cell r="A27">
            <v>1993</v>
          </cell>
          <cell r="B27" t="str">
            <v>NE</v>
          </cell>
          <cell r="C27" t="str">
            <v>-</v>
          </cell>
          <cell r="D27" t="str">
            <v>-</v>
          </cell>
          <cell r="E27" t="str">
            <v>SAN</v>
          </cell>
          <cell r="F27" t="str">
            <v>PM Petrolina</v>
          </cell>
          <cell r="G27" t="str">
            <v>Esgoto do Bairro Vila Eduardo</v>
          </cell>
          <cell r="H27">
            <v>525400</v>
          </cell>
          <cell r="J27">
            <v>34335</v>
          </cell>
          <cell r="K27">
            <v>12</v>
          </cell>
          <cell r="L27">
            <v>0</v>
          </cell>
          <cell r="M27" t="str">
            <v>12º Lugar</v>
          </cell>
        </row>
        <row r="28">
          <cell r="A28">
            <v>1993</v>
          </cell>
          <cell r="B28" t="str">
            <v>NE</v>
          </cell>
          <cell r="C28" t="str">
            <v>-</v>
          </cell>
          <cell r="D28" t="str">
            <v>-</v>
          </cell>
          <cell r="E28" t="str">
            <v>SAN</v>
          </cell>
          <cell r="F28" t="str">
            <v>CAESB</v>
          </cell>
          <cell r="G28" t="str">
            <v>Redes de Abastecimento de Santa Maria</v>
          </cell>
          <cell r="H28">
            <v>1407809</v>
          </cell>
          <cell r="J28">
            <v>34366</v>
          </cell>
          <cell r="K28" t="str">
            <v>-</v>
          </cell>
          <cell r="L28">
            <v>0</v>
          </cell>
          <cell r="M28" t="str">
            <v>-</v>
          </cell>
        </row>
        <row r="29">
          <cell r="A29">
            <v>1993</v>
          </cell>
          <cell r="B29" t="str">
            <v>NE</v>
          </cell>
          <cell r="C29" t="str">
            <v>-</v>
          </cell>
          <cell r="D29" t="str">
            <v>-</v>
          </cell>
          <cell r="E29" t="str">
            <v>SAN</v>
          </cell>
          <cell r="F29" t="str">
            <v>CAESB</v>
          </cell>
          <cell r="G29" t="str">
            <v>Redes de Abastecimento de Santa Maria</v>
          </cell>
          <cell r="H29">
            <v>1444560</v>
          </cell>
          <cell r="J29">
            <v>34366</v>
          </cell>
          <cell r="K29" t="str">
            <v>-</v>
          </cell>
          <cell r="L29">
            <v>0</v>
          </cell>
          <cell r="M29" t="str">
            <v>-</v>
          </cell>
        </row>
        <row r="30">
          <cell r="A30">
            <v>1993</v>
          </cell>
          <cell r="B30" t="str">
            <v>NE</v>
          </cell>
          <cell r="C30" t="str">
            <v>-</v>
          </cell>
          <cell r="D30" t="str">
            <v>-</v>
          </cell>
          <cell r="E30" t="str">
            <v>SAN</v>
          </cell>
          <cell r="F30" t="str">
            <v>CAESB</v>
          </cell>
          <cell r="G30" t="str">
            <v>Redes de Abastecimento de Santa Maria</v>
          </cell>
          <cell r="H30">
            <v>1381329</v>
          </cell>
          <cell r="J30">
            <v>34366</v>
          </cell>
          <cell r="K30" t="str">
            <v>-</v>
          </cell>
          <cell r="L30">
            <v>0</v>
          </cell>
          <cell r="M30" t="str">
            <v>-</v>
          </cell>
        </row>
        <row r="31">
          <cell r="A31">
            <v>1993</v>
          </cell>
          <cell r="B31" t="str">
            <v>NE</v>
          </cell>
          <cell r="C31" t="str">
            <v>-</v>
          </cell>
          <cell r="D31" t="str">
            <v>-</v>
          </cell>
          <cell r="E31" t="str">
            <v>SAN</v>
          </cell>
          <cell r="F31" t="str">
            <v>CAESB</v>
          </cell>
          <cell r="G31" t="str">
            <v>Esgotos no Setor de Clubes Sul</v>
          </cell>
          <cell r="H31">
            <v>1496639</v>
          </cell>
          <cell r="J31">
            <v>34366</v>
          </cell>
          <cell r="K31" t="str">
            <v>-</v>
          </cell>
          <cell r="L31">
            <v>0</v>
          </cell>
          <cell r="M31" t="str">
            <v>-</v>
          </cell>
        </row>
        <row r="32">
          <cell r="A32">
            <v>1993</v>
          </cell>
          <cell r="B32" t="str">
            <v>NE</v>
          </cell>
          <cell r="C32" t="str">
            <v>-</v>
          </cell>
          <cell r="D32" t="str">
            <v>-</v>
          </cell>
          <cell r="E32" t="str">
            <v>SAN</v>
          </cell>
          <cell r="F32" t="str">
            <v>CAESB</v>
          </cell>
          <cell r="G32" t="str">
            <v>Redes de Abastecimento de Santa Maria</v>
          </cell>
          <cell r="H32">
            <v>1479460</v>
          </cell>
          <cell r="J32">
            <v>34366</v>
          </cell>
          <cell r="K32" t="str">
            <v>-</v>
          </cell>
          <cell r="L32">
            <v>0</v>
          </cell>
          <cell r="M32" t="str">
            <v>-</v>
          </cell>
        </row>
        <row r="33">
          <cell r="A33">
            <v>1993</v>
          </cell>
          <cell r="B33" t="str">
            <v>NE</v>
          </cell>
          <cell r="C33" t="str">
            <v>-</v>
          </cell>
          <cell r="D33" t="str">
            <v>-</v>
          </cell>
          <cell r="E33" t="str">
            <v>SAN</v>
          </cell>
          <cell r="F33" t="str">
            <v>CAESB</v>
          </cell>
          <cell r="G33" t="str">
            <v>Centro de Reservação de Água de Santa Maria</v>
          </cell>
          <cell r="H33">
            <v>2228697</v>
          </cell>
          <cell r="J33">
            <v>34366</v>
          </cell>
          <cell r="K33" t="str">
            <v>-</v>
          </cell>
          <cell r="L33" t="str">
            <v>-</v>
          </cell>
          <cell r="M33" t="str">
            <v>-</v>
          </cell>
        </row>
        <row r="34">
          <cell r="A34">
            <v>1993</v>
          </cell>
          <cell r="B34" t="str">
            <v>NE</v>
          </cell>
          <cell r="C34" t="str">
            <v>-</v>
          </cell>
          <cell r="D34" t="str">
            <v>-</v>
          </cell>
          <cell r="E34" t="str">
            <v>SAN</v>
          </cell>
          <cell r="F34" t="str">
            <v>CAESB</v>
          </cell>
          <cell r="G34" t="str">
            <v>Esgotos no Setor de Clubes Norte</v>
          </cell>
          <cell r="H34">
            <v>1138118</v>
          </cell>
          <cell r="J34">
            <v>34366</v>
          </cell>
          <cell r="K34" t="str">
            <v>-</v>
          </cell>
          <cell r="L34" t="str">
            <v>-</v>
          </cell>
          <cell r="M34" t="str">
            <v>-</v>
          </cell>
        </row>
        <row r="35">
          <cell r="A35">
            <v>1993</v>
          </cell>
          <cell r="B35" t="str">
            <v>NE</v>
          </cell>
          <cell r="C35" t="str">
            <v>-</v>
          </cell>
          <cell r="D35" t="str">
            <v>-</v>
          </cell>
          <cell r="E35" t="str">
            <v>SAN</v>
          </cell>
          <cell r="F35" t="str">
            <v>CAESB</v>
          </cell>
          <cell r="G35" t="str">
            <v>Esgotos no Setor Riacho Fundo</v>
          </cell>
          <cell r="H35">
            <v>1154247</v>
          </cell>
          <cell r="J35">
            <v>34394</v>
          </cell>
          <cell r="K35" t="str">
            <v>-</v>
          </cell>
          <cell r="L35" t="str">
            <v>-</v>
          </cell>
          <cell r="M35" t="str">
            <v>-</v>
          </cell>
        </row>
        <row r="36">
          <cell r="A36">
            <v>1993</v>
          </cell>
          <cell r="B36" t="str">
            <v>NE</v>
          </cell>
          <cell r="C36" t="str">
            <v>-</v>
          </cell>
          <cell r="D36" t="str">
            <v>-</v>
          </cell>
          <cell r="E36" t="str">
            <v>HAB</v>
          </cell>
          <cell r="F36" t="str">
            <v>GDF</v>
          </cell>
          <cell r="G36" t="str">
            <v>Vila Tecnológica do Distrito Federal</v>
          </cell>
          <cell r="H36">
            <v>0</v>
          </cell>
          <cell r="J36">
            <v>34394</v>
          </cell>
          <cell r="K36" t="str">
            <v>-</v>
          </cell>
          <cell r="L36" t="str">
            <v>-</v>
          </cell>
          <cell r="M36" t="str">
            <v>-</v>
          </cell>
        </row>
        <row r="37">
          <cell r="A37">
            <v>1993</v>
          </cell>
          <cell r="B37" t="str">
            <v>NE</v>
          </cell>
          <cell r="C37" t="str">
            <v>-</v>
          </cell>
          <cell r="D37" t="str">
            <v>-</v>
          </cell>
          <cell r="E37" t="str">
            <v>EDU</v>
          </cell>
          <cell r="F37" t="str">
            <v>PM Petrolina</v>
          </cell>
          <cell r="G37" t="str">
            <v>Centro de Convenções</v>
          </cell>
          <cell r="H37">
            <v>500000</v>
          </cell>
          <cell r="J37">
            <v>34394</v>
          </cell>
          <cell r="K37" t="str">
            <v>-</v>
          </cell>
          <cell r="L37" t="str">
            <v>-</v>
          </cell>
          <cell r="M37" t="str">
            <v>-</v>
          </cell>
        </row>
        <row r="38">
          <cell r="A38">
            <v>1993</v>
          </cell>
          <cell r="B38" t="str">
            <v>NE</v>
          </cell>
          <cell r="C38" t="str">
            <v>-</v>
          </cell>
          <cell r="D38" t="str">
            <v>-</v>
          </cell>
          <cell r="E38" t="str">
            <v>SAN</v>
          </cell>
          <cell r="F38" t="str">
            <v>CAESB</v>
          </cell>
          <cell r="G38" t="str">
            <v>Esgotos nos Setores SIG, SOF-Norte e SAA</v>
          </cell>
          <cell r="H38">
            <v>1020900</v>
          </cell>
          <cell r="J38">
            <v>34394</v>
          </cell>
          <cell r="K38" t="str">
            <v>-</v>
          </cell>
          <cell r="L38" t="str">
            <v>-</v>
          </cell>
          <cell r="M38" t="str">
            <v>-</v>
          </cell>
        </row>
        <row r="39">
          <cell r="A39">
            <v>1993</v>
          </cell>
          <cell r="B39" t="str">
            <v>NE</v>
          </cell>
          <cell r="C39" t="str">
            <v>-</v>
          </cell>
          <cell r="D39" t="str">
            <v>-</v>
          </cell>
          <cell r="E39" t="str">
            <v>SAN</v>
          </cell>
          <cell r="F39" t="str">
            <v>CAESB</v>
          </cell>
          <cell r="G39" t="str">
            <v>Esgotos nas Bacias AE e AE II</v>
          </cell>
          <cell r="H39">
            <v>1469148</v>
          </cell>
          <cell r="J39">
            <v>34394</v>
          </cell>
          <cell r="K39" t="str">
            <v>-</v>
          </cell>
          <cell r="L39" t="str">
            <v>-</v>
          </cell>
          <cell r="M39" t="str">
            <v>-</v>
          </cell>
        </row>
        <row r="40">
          <cell r="A40">
            <v>1993</v>
          </cell>
          <cell r="B40" t="str">
            <v>NE</v>
          </cell>
          <cell r="C40" t="str">
            <v>-</v>
          </cell>
          <cell r="D40" t="str">
            <v>-</v>
          </cell>
          <cell r="E40" t="str">
            <v>SAN</v>
          </cell>
          <cell r="F40" t="str">
            <v>CAESB</v>
          </cell>
          <cell r="G40" t="str">
            <v>Esgotos nas Bacias AE IV do SHIN</v>
          </cell>
          <cell r="H40">
            <v>1603047</v>
          </cell>
          <cell r="J40">
            <v>34394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A41">
            <v>1993</v>
          </cell>
          <cell r="B41" t="str">
            <v>NE</v>
          </cell>
          <cell r="C41" t="str">
            <v>-</v>
          </cell>
          <cell r="D41" t="str">
            <v>-</v>
          </cell>
          <cell r="E41" t="str">
            <v>SAN</v>
          </cell>
          <cell r="F41" t="str">
            <v>CAESB</v>
          </cell>
          <cell r="G41" t="str">
            <v>Esgotos nas Bacias AE III, AE IV e AE V</v>
          </cell>
          <cell r="H41">
            <v>1319947</v>
          </cell>
          <cell r="J41">
            <v>34394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A42">
            <v>1993</v>
          </cell>
          <cell r="B42" t="str">
            <v>NE</v>
          </cell>
          <cell r="C42" t="str">
            <v>-</v>
          </cell>
          <cell r="D42" t="str">
            <v>-</v>
          </cell>
          <cell r="E42" t="str">
            <v>SAN</v>
          </cell>
          <cell r="F42" t="str">
            <v>CAESB</v>
          </cell>
          <cell r="G42" t="str">
            <v>Esgotos nas Bacias AE II e AE IV</v>
          </cell>
          <cell r="H42">
            <v>1290086</v>
          </cell>
          <cell r="J42">
            <v>34394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A43">
            <v>1993</v>
          </cell>
          <cell r="B43" t="str">
            <v>SE</v>
          </cell>
          <cell r="C43" t="str">
            <v>-</v>
          </cell>
          <cell r="D43" t="str">
            <v>-</v>
          </cell>
          <cell r="E43" t="str">
            <v>ROD</v>
          </cell>
          <cell r="F43" t="str">
            <v>DER-GO</v>
          </cell>
          <cell r="G43" t="str">
            <v>GO-154-Itapaci / Ponte Nova - Lote 1</v>
          </cell>
          <cell r="H43">
            <v>44052413</v>
          </cell>
          <cell r="J43">
            <v>34060</v>
          </cell>
          <cell r="K43" t="str">
            <v>-</v>
          </cell>
          <cell r="L43" t="str">
            <v>-</v>
          </cell>
          <cell r="M43" t="str">
            <v>Perdemos</v>
          </cell>
        </row>
        <row r="44">
          <cell r="A44">
            <v>1993</v>
          </cell>
          <cell r="B44" t="str">
            <v>SE</v>
          </cell>
          <cell r="C44" t="str">
            <v>-</v>
          </cell>
          <cell r="D44" t="str">
            <v>-</v>
          </cell>
          <cell r="E44" t="str">
            <v>ROD</v>
          </cell>
          <cell r="F44" t="str">
            <v>DER-GO</v>
          </cell>
          <cell r="G44" t="str">
            <v>GO-154-Itapaci / Ponte Nova - Lote 3</v>
          </cell>
          <cell r="H44">
            <v>27251765</v>
          </cell>
          <cell r="J44">
            <v>34060</v>
          </cell>
          <cell r="K44" t="str">
            <v>-</v>
          </cell>
          <cell r="L44" t="str">
            <v>-</v>
          </cell>
          <cell r="M44" t="str">
            <v>Perdemos</v>
          </cell>
        </row>
        <row r="45">
          <cell r="A45">
            <v>1993</v>
          </cell>
          <cell r="B45" t="str">
            <v>SE</v>
          </cell>
          <cell r="C45" t="str">
            <v>-</v>
          </cell>
          <cell r="D45" t="str">
            <v>-</v>
          </cell>
          <cell r="E45" t="str">
            <v>ROD</v>
          </cell>
          <cell r="F45" t="str">
            <v>DER-GO</v>
          </cell>
          <cell r="G45" t="str">
            <v>GO-154-Itapaci / Ponte Nova - Lote 2</v>
          </cell>
          <cell r="H45">
            <v>27076484</v>
          </cell>
          <cell r="J45">
            <v>34060</v>
          </cell>
          <cell r="K45" t="str">
            <v>-</v>
          </cell>
          <cell r="L45" t="str">
            <v>-</v>
          </cell>
          <cell r="M45" t="str">
            <v>Perdemos</v>
          </cell>
        </row>
        <row r="46">
          <cell r="A46">
            <v>1993</v>
          </cell>
          <cell r="B46" t="str">
            <v>SE</v>
          </cell>
          <cell r="C46" t="str">
            <v>-</v>
          </cell>
          <cell r="D46" t="str">
            <v>-</v>
          </cell>
          <cell r="E46" t="str">
            <v>SAN</v>
          </cell>
          <cell r="F46" t="str">
            <v>COPASA</v>
          </cell>
          <cell r="G46" t="str">
            <v>Interceptores do Arrudas - Lote VII</v>
          </cell>
          <cell r="H46">
            <v>4379336</v>
          </cell>
          <cell r="J46">
            <v>34060</v>
          </cell>
          <cell r="K46">
            <v>1</v>
          </cell>
          <cell r="L46">
            <v>1</v>
          </cell>
          <cell r="M46" t="str">
            <v>1º Lugar</v>
          </cell>
        </row>
        <row r="47">
          <cell r="A47">
            <v>1993</v>
          </cell>
          <cell r="B47" t="str">
            <v>SE</v>
          </cell>
          <cell r="C47" t="str">
            <v>-</v>
          </cell>
          <cell r="D47" t="str">
            <v>-</v>
          </cell>
          <cell r="E47" t="str">
            <v>ROD</v>
          </cell>
          <cell r="F47" t="str">
            <v>DER-GO</v>
          </cell>
          <cell r="G47" t="str">
            <v>GO-154-Itapaci / Ponte Nova - Lote 4</v>
          </cell>
          <cell r="H47">
            <v>26317811</v>
          </cell>
          <cell r="J47">
            <v>34060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A48">
            <v>1993</v>
          </cell>
          <cell r="B48" t="str">
            <v>SE</v>
          </cell>
          <cell r="C48" t="str">
            <v>-</v>
          </cell>
          <cell r="D48" t="str">
            <v>-</v>
          </cell>
          <cell r="E48" t="str">
            <v>FERR</v>
          </cell>
          <cell r="F48" t="str">
            <v>CVRD</v>
          </cell>
          <cell r="G48" t="str">
            <v>Variante Matadouro / Capitão Eduardo</v>
          </cell>
          <cell r="H48">
            <v>5745609</v>
          </cell>
          <cell r="J48">
            <v>34090</v>
          </cell>
          <cell r="K48" t="str">
            <v>-</v>
          </cell>
          <cell r="L48" t="str">
            <v>-</v>
          </cell>
          <cell r="M48" t="str">
            <v>Perdemos</v>
          </cell>
        </row>
        <row r="49">
          <cell r="A49">
            <v>1993</v>
          </cell>
          <cell r="B49" t="str">
            <v>SE</v>
          </cell>
          <cell r="C49" t="str">
            <v>-</v>
          </cell>
          <cell r="D49" t="str">
            <v>-</v>
          </cell>
          <cell r="E49" t="str">
            <v>IND</v>
          </cell>
          <cell r="F49" t="str">
            <v>Brahma</v>
          </cell>
          <cell r="G49" t="str">
            <v>Recuperação dos pisos da Fábrica de Jacareí</v>
          </cell>
          <cell r="H49">
            <v>1996068</v>
          </cell>
          <cell r="J49">
            <v>34090</v>
          </cell>
          <cell r="K49" t="str">
            <v>-</v>
          </cell>
          <cell r="L49" t="str">
            <v>-</v>
          </cell>
          <cell r="M49" t="str">
            <v>Perdemos</v>
          </cell>
        </row>
        <row r="50">
          <cell r="A50">
            <v>1993</v>
          </cell>
          <cell r="B50" t="str">
            <v>SE</v>
          </cell>
          <cell r="C50" t="str">
            <v>-</v>
          </cell>
          <cell r="D50" t="str">
            <v>-</v>
          </cell>
          <cell r="E50" t="str">
            <v>MIN</v>
          </cell>
          <cell r="F50" t="str">
            <v>Mannesmann</v>
          </cell>
          <cell r="G50" t="str">
            <v>Barragem de Sedimentos da Mina de Pau Branco</v>
          </cell>
          <cell r="H50">
            <v>436000</v>
          </cell>
          <cell r="J50">
            <v>34121</v>
          </cell>
          <cell r="K50" t="str">
            <v>-</v>
          </cell>
          <cell r="L50" t="str">
            <v>-</v>
          </cell>
          <cell r="M50" t="str">
            <v>Não revalidamos a proposta</v>
          </cell>
        </row>
        <row r="51">
          <cell r="A51">
            <v>1993</v>
          </cell>
          <cell r="B51" t="str">
            <v>SE</v>
          </cell>
          <cell r="C51" t="str">
            <v>-</v>
          </cell>
          <cell r="D51" t="str">
            <v>-</v>
          </cell>
          <cell r="E51" t="str">
            <v>ROD</v>
          </cell>
          <cell r="F51" t="str">
            <v>DER-GO</v>
          </cell>
          <cell r="G51" t="str">
            <v>BR-158- Jataí / Caiapônia / Piranhas</v>
          </cell>
          <cell r="H51">
            <v>17354084</v>
          </cell>
          <cell r="J51">
            <v>34121</v>
          </cell>
          <cell r="K51">
            <v>1</v>
          </cell>
          <cell r="L51">
            <v>1</v>
          </cell>
          <cell r="M51" t="str">
            <v>1º Lugar</v>
          </cell>
        </row>
        <row r="52">
          <cell r="A52">
            <v>1993</v>
          </cell>
          <cell r="B52" t="str">
            <v>SE</v>
          </cell>
          <cell r="C52" t="str">
            <v>-</v>
          </cell>
          <cell r="D52" t="str">
            <v>-</v>
          </cell>
          <cell r="E52" t="str">
            <v>URB</v>
          </cell>
          <cell r="F52" t="str">
            <v>PM Anápolis</v>
          </cell>
          <cell r="G52" t="str">
            <v>Canalização e Urbanização em Anápolis</v>
          </cell>
          <cell r="H52">
            <v>25287606</v>
          </cell>
          <cell r="J52">
            <v>34121</v>
          </cell>
          <cell r="K52" t="str">
            <v>-</v>
          </cell>
          <cell r="L52" t="str">
            <v>-</v>
          </cell>
          <cell r="M52" t="str">
            <v>Perdemos</v>
          </cell>
        </row>
        <row r="53">
          <cell r="A53">
            <v>1993</v>
          </cell>
          <cell r="B53" t="str">
            <v>SE</v>
          </cell>
          <cell r="C53" t="str">
            <v>-</v>
          </cell>
          <cell r="D53" t="str">
            <v>-</v>
          </cell>
          <cell r="E53" t="str">
            <v>ROD</v>
          </cell>
          <cell r="F53" t="str">
            <v>DER-MG</v>
          </cell>
          <cell r="G53" t="str">
            <v>BR-381 - Lote 2</v>
          </cell>
          <cell r="H53">
            <v>24095467</v>
          </cell>
          <cell r="J53">
            <v>34151</v>
          </cell>
          <cell r="K53" t="str">
            <v>-</v>
          </cell>
          <cell r="L53" t="str">
            <v>-</v>
          </cell>
          <cell r="M53" t="str">
            <v>1º Lugar - Tratex</v>
          </cell>
        </row>
        <row r="54">
          <cell r="A54">
            <v>1993</v>
          </cell>
          <cell r="B54" t="str">
            <v>SE</v>
          </cell>
          <cell r="C54" t="str">
            <v>-</v>
          </cell>
          <cell r="D54" t="str">
            <v>-</v>
          </cell>
          <cell r="E54" t="str">
            <v>ROD</v>
          </cell>
          <cell r="F54" t="str">
            <v>DER-MG</v>
          </cell>
          <cell r="G54" t="str">
            <v>BR-381</v>
          </cell>
          <cell r="H54">
            <v>1500000</v>
          </cell>
          <cell r="J54">
            <v>34151</v>
          </cell>
          <cell r="K54" t="str">
            <v>-</v>
          </cell>
          <cell r="L54" t="str">
            <v>-</v>
          </cell>
          <cell r="M54" t="str">
            <v>Perdemos</v>
          </cell>
        </row>
        <row r="55">
          <cell r="A55">
            <v>1993</v>
          </cell>
          <cell r="B55" t="str">
            <v>SE</v>
          </cell>
          <cell r="C55" t="str">
            <v>-</v>
          </cell>
          <cell r="D55" t="str">
            <v>-</v>
          </cell>
          <cell r="E55" t="str">
            <v>ROD</v>
          </cell>
          <cell r="F55" t="str">
            <v>DER-MG</v>
          </cell>
          <cell r="G55" t="str">
            <v>BR-381 - Lote 1</v>
          </cell>
          <cell r="H55">
            <v>12495530</v>
          </cell>
          <cell r="J55">
            <v>34151</v>
          </cell>
          <cell r="K55" t="str">
            <v>-</v>
          </cell>
          <cell r="L55" t="str">
            <v>-</v>
          </cell>
          <cell r="M55" t="str">
            <v>1º Lugar - Paranapanema</v>
          </cell>
        </row>
        <row r="56">
          <cell r="A56">
            <v>1993</v>
          </cell>
          <cell r="B56" t="str">
            <v>SE</v>
          </cell>
          <cell r="C56" t="str">
            <v>-</v>
          </cell>
          <cell r="D56" t="str">
            <v>-</v>
          </cell>
          <cell r="E56" t="str">
            <v>ROD</v>
          </cell>
          <cell r="F56" t="str">
            <v>DER-MG</v>
          </cell>
          <cell r="G56" t="str">
            <v>BR-381 - Lote 4</v>
          </cell>
          <cell r="H56">
            <v>20453971</v>
          </cell>
          <cell r="J56">
            <v>34151</v>
          </cell>
          <cell r="K56" t="str">
            <v>-</v>
          </cell>
          <cell r="L56" t="str">
            <v>-</v>
          </cell>
          <cell r="M56" t="str">
            <v>1º Lugar - Mendes Júnior</v>
          </cell>
        </row>
        <row r="57">
          <cell r="A57">
            <v>1993</v>
          </cell>
          <cell r="B57" t="str">
            <v>SE</v>
          </cell>
          <cell r="C57" t="str">
            <v>-</v>
          </cell>
          <cell r="D57" t="str">
            <v>-</v>
          </cell>
          <cell r="E57" t="str">
            <v>ROD</v>
          </cell>
          <cell r="F57" t="str">
            <v>DER-MG</v>
          </cell>
          <cell r="G57" t="str">
            <v>BR-381 - Lote 8</v>
          </cell>
          <cell r="H57">
            <v>21686280</v>
          </cell>
          <cell r="J57">
            <v>34151</v>
          </cell>
          <cell r="K57" t="str">
            <v>-</v>
          </cell>
          <cell r="L57" t="str">
            <v>-</v>
          </cell>
          <cell r="M57" t="str">
            <v>1º Lugar - Tratenge</v>
          </cell>
        </row>
        <row r="58">
          <cell r="A58">
            <v>1993</v>
          </cell>
          <cell r="B58" t="str">
            <v>SE</v>
          </cell>
          <cell r="C58" t="str">
            <v>-</v>
          </cell>
          <cell r="D58" t="str">
            <v>-</v>
          </cell>
          <cell r="E58" t="str">
            <v>ROD</v>
          </cell>
          <cell r="F58" t="str">
            <v>DER-MG</v>
          </cell>
          <cell r="G58" t="str">
            <v>BR-381</v>
          </cell>
          <cell r="H58">
            <v>1500000</v>
          </cell>
          <cell r="J58">
            <v>34151</v>
          </cell>
          <cell r="K58" t="str">
            <v>-</v>
          </cell>
          <cell r="L58" t="str">
            <v>-</v>
          </cell>
          <cell r="M58" t="str">
            <v>Perdemos</v>
          </cell>
        </row>
        <row r="59">
          <cell r="A59">
            <v>1993</v>
          </cell>
          <cell r="B59" t="str">
            <v>SE</v>
          </cell>
          <cell r="C59" t="str">
            <v>-</v>
          </cell>
          <cell r="D59" t="str">
            <v>-</v>
          </cell>
          <cell r="E59" t="str">
            <v>ROD</v>
          </cell>
          <cell r="F59" t="str">
            <v>DER-MG</v>
          </cell>
          <cell r="G59" t="str">
            <v>BR-381 - Lote 9</v>
          </cell>
          <cell r="H59">
            <v>25334797</v>
          </cell>
          <cell r="J59">
            <v>34151</v>
          </cell>
          <cell r="K59" t="str">
            <v>-</v>
          </cell>
          <cell r="L59" t="str">
            <v>-</v>
          </cell>
          <cell r="M59" t="str">
            <v>1º Lugar - Ceesa</v>
          </cell>
        </row>
        <row r="60">
          <cell r="A60">
            <v>1993</v>
          </cell>
          <cell r="B60" t="str">
            <v>SE</v>
          </cell>
          <cell r="C60" t="str">
            <v>-</v>
          </cell>
          <cell r="D60" t="str">
            <v>-</v>
          </cell>
          <cell r="E60" t="str">
            <v>ROD</v>
          </cell>
          <cell r="F60" t="str">
            <v>DER-MG</v>
          </cell>
          <cell r="G60" t="str">
            <v>BR-381 - Lote 3</v>
          </cell>
          <cell r="H60">
            <v>24486566</v>
          </cell>
          <cell r="J60">
            <v>34151</v>
          </cell>
          <cell r="K60" t="str">
            <v>-</v>
          </cell>
          <cell r="L60" t="str">
            <v>-</v>
          </cell>
          <cell r="M60" t="str">
            <v>1º Lugar - Mendes Júnior</v>
          </cell>
        </row>
        <row r="61">
          <cell r="A61">
            <v>1993</v>
          </cell>
          <cell r="B61" t="str">
            <v>SE</v>
          </cell>
          <cell r="C61" t="str">
            <v>-</v>
          </cell>
          <cell r="D61" t="str">
            <v>-</v>
          </cell>
          <cell r="E61" t="str">
            <v>ROD</v>
          </cell>
          <cell r="F61" t="str">
            <v>DER-MG</v>
          </cell>
          <cell r="G61" t="str">
            <v>Rodovia CEASA / Krupp</v>
          </cell>
          <cell r="H61">
            <v>52134258</v>
          </cell>
          <cell r="J61">
            <v>34151</v>
          </cell>
          <cell r="K61" t="str">
            <v>-</v>
          </cell>
          <cell r="L61" t="str">
            <v>-</v>
          </cell>
          <cell r="M61" t="str">
            <v>1º Lugar - Cowan</v>
          </cell>
        </row>
        <row r="62">
          <cell r="A62">
            <v>1993</v>
          </cell>
          <cell r="B62" t="str">
            <v>SE</v>
          </cell>
          <cell r="C62" t="str">
            <v>-</v>
          </cell>
          <cell r="D62" t="str">
            <v>-</v>
          </cell>
          <cell r="E62" t="str">
            <v>ROD</v>
          </cell>
          <cell r="F62" t="str">
            <v>DER-MG</v>
          </cell>
          <cell r="G62" t="str">
            <v>BR-381 - Lote 6</v>
          </cell>
          <cell r="H62">
            <v>25831898</v>
          </cell>
          <cell r="J62">
            <v>34151</v>
          </cell>
          <cell r="K62" t="str">
            <v>-</v>
          </cell>
          <cell r="L62" t="str">
            <v>-</v>
          </cell>
          <cell r="M62" t="str">
            <v>1º Lugar - OAS</v>
          </cell>
        </row>
        <row r="63">
          <cell r="A63">
            <v>1993</v>
          </cell>
          <cell r="B63" t="str">
            <v>SE</v>
          </cell>
          <cell r="C63" t="str">
            <v>-</v>
          </cell>
          <cell r="D63" t="str">
            <v>-</v>
          </cell>
          <cell r="E63" t="str">
            <v>ROD</v>
          </cell>
          <cell r="F63" t="str">
            <v>DER-MG</v>
          </cell>
          <cell r="G63" t="str">
            <v>BR-381 - Lote 7</v>
          </cell>
          <cell r="H63">
            <v>21518819</v>
          </cell>
          <cell r="J63">
            <v>34151</v>
          </cell>
          <cell r="K63" t="str">
            <v>-</v>
          </cell>
          <cell r="L63" t="str">
            <v>-</v>
          </cell>
          <cell r="M63" t="str">
            <v>1º Lugar - Mendes Júnior</v>
          </cell>
        </row>
        <row r="64">
          <cell r="A64">
            <v>1993</v>
          </cell>
          <cell r="B64" t="str">
            <v>SE</v>
          </cell>
          <cell r="C64" t="str">
            <v>-</v>
          </cell>
          <cell r="D64" t="str">
            <v>-</v>
          </cell>
          <cell r="E64" t="str">
            <v>ROD</v>
          </cell>
          <cell r="F64" t="str">
            <v>DER-GO</v>
          </cell>
          <cell r="G64" t="str">
            <v>Anel Viário de Goiânia</v>
          </cell>
          <cell r="H64">
            <v>13387300</v>
          </cell>
          <cell r="J64">
            <v>34151</v>
          </cell>
          <cell r="K64" t="str">
            <v>-</v>
          </cell>
          <cell r="L64" t="str">
            <v>-</v>
          </cell>
          <cell r="M64" t="str">
            <v>1º Lugar - Mendes Júnior</v>
          </cell>
        </row>
        <row r="65">
          <cell r="A65">
            <v>1993</v>
          </cell>
          <cell r="B65" t="str">
            <v>SE</v>
          </cell>
          <cell r="C65" t="str">
            <v>-</v>
          </cell>
          <cell r="D65" t="str">
            <v>-</v>
          </cell>
          <cell r="E65" t="str">
            <v>ROD</v>
          </cell>
          <cell r="F65" t="str">
            <v>DER-MG</v>
          </cell>
          <cell r="G65" t="str">
            <v>BR-381 - Lote 5</v>
          </cell>
          <cell r="H65">
            <v>24685628</v>
          </cell>
          <cell r="J65">
            <v>34151</v>
          </cell>
          <cell r="K65" t="str">
            <v>-</v>
          </cell>
          <cell r="L65" t="str">
            <v>-</v>
          </cell>
          <cell r="M65" t="str">
            <v>1º Lugar - Mendes Júnior</v>
          </cell>
        </row>
        <row r="66">
          <cell r="A66">
            <v>1993</v>
          </cell>
          <cell r="B66" t="str">
            <v>SE</v>
          </cell>
          <cell r="C66" t="str">
            <v>-</v>
          </cell>
          <cell r="D66" t="str">
            <v>-</v>
          </cell>
          <cell r="E66" t="str">
            <v>ROD</v>
          </cell>
          <cell r="F66" t="str">
            <v>DER-MG</v>
          </cell>
          <cell r="G66" t="str">
            <v>BR-381-Viaduto dos Queias</v>
          </cell>
          <cell r="H66">
            <v>872817</v>
          </cell>
          <cell r="J66">
            <v>34151</v>
          </cell>
          <cell r="K66">
            <v>1</v>
          </cell>
          <cell r="L66">
            <v>1</v>
          </cell>
          <cell r="M66" t="str">
            <v>1º Lugar</v>
          </cell>
        </row>
        <row r="67">
          <cell r="A67">
            <v>1993</v>
          </cell>
          <cell r="B67" t="str">
            <v>SE</v>
          </cell>
          <cell r="C67" t="str">
            <v>-</v>
          </cell>
          <cell r="D67" t="str">
            <v>-</v>
          </cell>
          <cell r="E67" t="str">
            <v>ROD</v>
          </cell>
          <cell r="F67" t="str">
            <v>DER-MG</v>
          </cell>
          <cell r="G67" t="str">
            <v>MG-402- São Francisco / Arinos</v>
          </cell>
          <cell r="H67">
            <v>16499826</v>
          </cell>
          <cell r="J67">
            <v>34151</v>
          </cell>
          <cell r="K67">
            <v>1</v>
          </cell>
          <cell r="L67">
            <v>1</v>
          </cell>
          <cell r="M67" t="str">
            <v>1º Lugar</v>
          </cell>
        </row>
        <row r="68">
          <cell r="A68">
            <v>1993</v>
          </cell>
          <cell r="B68" t="str">
            <v>SE</v>
          </cell>
          <cell r="C68" t="str">
            <v>-</v>
          </cell>
          <cell r="D68" t="str">
            <v>-</v>
          </cell>
          <cell r="E68" t="str">
            <v>ROD</v>
          </cell>
          <cell r="F68" t="str">
            <v>GET</v>
          </cell>
          <cell r="G68" t="str">
            <v>TO-080- km 55 / Caseara</v>
          </cell>
          <cell r="H68">
            <v>1616341</v>
          </cell>
          <cell r="J68">
            <v>34182</v>
          </cell>
          <cell r="K68">
            <v>6</v>
          </cell>
          <cell r="L68" t="str">
            <v>-</v>
          </cell>
          <cell r="M68" t="str">
            <v>6º Lugar</v>
          </cell>
        </row>
        <row r="69">
          <cell r="A69">
            <v>1993</v>
          </cell>
          <cell r="B69" t="str">
            <v>SE</v>
          </cell>
          <cell r="C69" t="str">
            <v>-</v>
          </cell>
          <cell r="D69" t="str">
            <v>-</v>
          </cell>
          <cell r="E69" t="str">
            <v>ROD</v>
          </cell>
          <cell r="F69" t="str">
            <v>GET</v>
          </cell>
          <cell r="G69" t="str">
            <v>TO-336-Pequizeiro</v>
          </cell>
          <cell r="H69">
            <v>3796099</v>
          </cell>
          <cell r="J69">
            <v>34182</v>
          </cell>
          <cell r="K69">
            <v>8</v>
          </cell>
          <cell r="L69" t="str">
            <v>-</v>
          </cell>
          <cell r="M69" t="str">
            <v>8º Lugar</v>
          </cell>
        </row>
        <row r="70">
          <cell r="A70">
            <v>1993</v>
          </cell>
          <cell r="B70" t="str">
            <v>SE</v>
          </cell>
          <cell r="C70" t="str">
            <v>-</v>
          </cell>
          <cell r="D70" t="str">
            <v>-</v>
          </cell>
          <cell r="E70" t="str">
            <v>ROD</v>
          </cell>
          <cell r="F70" t="str">
            <v>GET</v>
          </cell>
          <cell r="G70" t="str">
            <v>TO-080-Divinópolis</v>
          </cell>
          <cell r="H70">
            <v>2024315</v>
          </cell>
          <cell r="J70">
            <v>34182</v>
          </cell>
          <cell r="K70">
            <v>12</v>
          </cell>
          <cell r="L70" t="str">
            <v>-</v>
          </cell>
          <cell r="M70" t="str">
            <v>12º Lugar</v>
          </cell>
        </row>
        <row r="71">
          <cell r="A71">
            <v>1993</v>
          </cell>
          <cell r="B71" t="str">
            <v>SE</v>
          </cell>
          <cell r="C71" t="str">
            <v>-</v>
          </cell>
          <cell r="D71" t="str">
            <v>-</v>
          </cell>
          <cell r="E71" t="str">
            <v>ROD</v>
          </cell>
          <cell r="F71" t="str">
            <v>GET</v>
          </cell>
          <cell r="G71" t="str">
            <v>TO-08--Marianópolis (km 26)</v>
          </cell>
          <cell r="H71">
            <v>1903070</v>
          </cell>
          <cell r="J71">
            <v>34182</v>
          </cell>
          <cell r="K71">
            <v>6</v>
          </cell>
          <cell r="L71" t="str">
            <v>-</v>
          </cell>
          <cell r="M71" t="str">
            <v>6º Lugar</v>
          </cell>
        </row>
        <row r="72">
          <cell r="A72">
            <v>1993</v>
          </cell>
          <cell r="B72" t="str">
            <v>SE</v>
          </cell>
          <cell r="C72" t="str">
            <v>-</v>
          </cell>
          <cell r="D72" t="str">
            <v>-</v>
          </cell>
          <cell r="E72" t="str">
            <v>ROD</v>
          </cell>
          <cell r="F72" t="str">
            <v>GET</v>
          </cell>
          <cell r="G72" t="str">
            <v>TO-080-Marianópolis (km 29)</v>
          </cell>
          <cell r="H72">
            <v>1674585</v>
          </cell>
          <cell r="J72">
            <v>34182</v>
          </cell>
          <cell r="K72">
            <v>6</v>
          </cell>
          <cell r="L72" t="str">
            <v>-</v>
          </cell>
          <cell r="M72" t="str">
            <v>6º Lugar</v>
          </cell>
        </row>
        <row r="73">
          <cell r="A73">
            <v>1993</v>
          </cell>
          <cell r="B73" t="str">
            <v>SE</v>
          </cell>
          <cell r="C73" t="str">
            <v>-</v>
          </cell>
          <cell r="D73" t="str">
            <v>-</v>
          </cell>
          <cell r="E73" t="str">
            <v>ROD</v>
          </cell>
          <cell r="F73" t="str">
            <v>GET</v>
          </cell>
          <cell r="G73" t="str">
            <v>TO-222-Santa Fé / Pontão</v>
          </cell>
          <cell r="H73">
            <v>6572672</v>
          </cell>
          <cell r="J73">
            <v>34182</v>
          </cell>
          <cell r="K73">
            <v>8</v>
          </cell>
          <cell r="L73" t="str">
            <v>-</v>
          </cell>
          <cell r="M73" t="str">
            <v>8º Lugar</v>
          </cell>
        </row>
        <row r="74">
          <cell r="A74">
            <v>1993</v>
          </cell>
          <cell r="B74" t="str">
            <v>SE</v>
          </cell>
          <cell r="C74" t="str">
            <v>-</v>
          </cell>
          <cell r="D74" t="str">
            <v>-</v>
          </cell>
          <cell r="E74" t="str">
            <v>ROD</v>
          </cell>
          <cell r="F74" t="str">
            <v>GET</v>
          </cell>
          <cell r="G74" t="str">
            <v>TO-080- km 29 a km 55</v>
          </cell>
          <cell r="H74">
            <v>1475891</v>
          </cell>
          <cell r="J74">
            <v>34182</v>
          </cell>
          <cell r="K74">
            <v>5</v>
          </cell>
          <cell r="L74" t="str">
            <v>-</v>
          </cell>
          <cell r="M74" t="str">
            <v>5º Lugar</v>
          </cell>
        </row>
        <row r="75">
          <cell r="A75">
            <v>1993</v>
          </cell>
          <cell r="B75" t="str">
            <v>SE</v>
          </cell>
          <cell r="C75" t="str">
            <v>-</v>
          </cell>
          <cell r="D75" t="str">
            <v>-</v>
          </cell>
          <cell r="E75" t="str">
            <v>IND</v>
          </cell>
          <cell r="F75" t="str">
            <v>SOEICOM</v>
          </cell>
          <cell r="G75" t="str">
            <v>Edifício do Eletro-Filtro em Vespasiano</v>
          </cell>
          <cell r="H75">
            <v>701000</v>
          </cell>
          <cell r="J75">
            <v>34182</v>
          </cell>
          <cell r="K75" t="str">
            <v>-</v>
          </cell>
          <cell r="L75" t="str">
            <v>-</v>
          </cell>
          <cell r="M75" t="str">
            <v>Perdemos</v>
          </cell>
        </row>
        <row r="76">
          <cell r="A76">
            <v>1993</v>
          </cell>
          <cell r="B76" t="str">
            <v>SE</v>
          </cell>
          <cell r="C76" t="str">
            <v>-</v>
          </cell>
          <cell r="D76" t="str">
            <v>-</v>
          </cell>
          <cell r="E76" t="str">
            <v>IND</v>
          </cell>
          <cell r="F76" t="str">
            <v>Latasa</v>
          </cell>
          <cell r="G76" t="str">
            <v>Unidade Industrial em Santa Cruz</v>
          </cell>
          <cell r="H76">
            <v>8694764</v>
          </cell>
          <cell r="J76">
            <v>34182</v>
          </cell>
          <cell r="K76" t="str">
            <v>-</v>
          </cell>
          <cell r="L76" t="str">
            <v>-</v>
          </cell>
          <cell r="M76" t="str">
            <v>Perdemos</v>
          </cell>
        </row>
        <row r="77">
          <cell r="A77">
            <v>1993</v>
          </cell>
          <cell r="B77" t="str">
            <v>SE</v>
          </cell>
          <cell r="C77" t="str">
            <v>-</v>
          </cell>
          <cell r="D77" t="str">
            <v>-</v>
          </cell>
          <cell r="E77" t="str">
            <v>ROD</v>
          </cell>
          <cell r="F77" t="str">
            <v>GET</v>
          </cell>
          <cell r="G77" t="str">
            <v>TO-050-Rio Areias / Silvanópolis</v>
          </cell>
          <cell r="H77">
            <v>3869273</v>
          </cell>
          <cell r="J77">
            <v>34182</v>
          </cell>
          <cell r="K77">
            <v>7</v>
          </cell>
          <cell r="L77" t="str">
            <v>-</v>
          </cell>
          <cell r="M77" t="str">
            <v>7º Lugar</v>
          </cell>
        </row>
        <row r="78">
          <cell r="A78">
            <v>1993</v>
          </cell>
          <cell r="B78" t="str">
            <v>SE</v>
          </cell>
          <cell r="C78" t="str">
            <v>-</v>
          </cell>
          <cell r="D78" t="str">
            <v>-</v>
          </cell>
          <cell r="E78" t="str">
            <v>IND</v>
          </cell>
          <cell r="F78" t="str">
            <v>Mannesmann</v>
          </cell>
          <cell r="G78" t="str">
            <v>Laminador Contínuo - Usina de Barreiros</v>
          </cell>
          <cell r="H78">
            <v>6306898</v>
          </cell>
          <cell r="J78">
            <v>34213</v>
          </cell>
          <cell r="K78" t="str">
            <v>-</v>
          </cell>
          <cell r="L78" t="str">
            <v>-</v>
          </cell>
          <cell r="M78" t="str">
            <v>1º Lugar - Convap</v>
          </cell>
        </row>
        <row r="79">
          <cell r="A79">
            <v>1993</v>
          </cell>
          <cell r="B79" t="str">
            <v>SE</v>
          </cell>
          <cell r="C79" t="str">
            <v>-</v>
          </cell>
          <cell r="D79" t="str">
            <v>-</v>
          </cell>
          <cell r="E79" t="str">
            <v>URB</v>
          </cell>
          <cell r="F79" t="str">
            <v>PM Palmas</v>
          </cell>
          <cell r="G79" t="str">
            <v>807 casas em Palmas-TO</v>
          </cell>
          <cell r="H79">
            <v>1221704</v>
          </cell>
          <cell r="J79">
            <v>34243</v>
          </cell>
          <cell r="K79">
            <v>1</v>
          </cell>
          <cell r="L79">
            <v>1</v>
          </cell>
          <cell r="M79" t="str">
            <v>1º Lugar</v>
          </cell>
        </row>
        <row r="80">
          <cell r="A80">
            <v>1993</v>
          </cell>
          <cell r="B80" t="str">
            <v>SE</v>
          </cell>
          <cell r="C80" t="str">
            <v>-</v>
          </cell>
          <cell r="D80" t="str">
            <v>-</v>
          </cell>
          <cell r="E80" t="str">
            <v>ENE</v>
          </cell>
          <cell r="F80" t="str">
            <v>Petrobrás</v>
          </cell>
          <cell r="G80" t="str">
            <v>Implantação de 3 Unidades de MTBE</v>
          </cell>
          <cell r="H80">
            <v>43607823</v>
          </cell>
          <cell r="J80">
            <v>34243</v>
          </cell>
          <cell r="K80" t="str">
            <v>-</v>
          </cell>
          <cell r="L80" t="str">
            <v>-</v>
          </cell>
          <cell r="M80" t="str">
            <v>Perdemos</v>
          </cell>
        </row>
        <row r="81">
          <cell r="A81">
            <v>1993</v>
          </cell>
          <cell r="B81" t="str">
            <v>SE</v>
          </cell>
          <cell r="C81" t="str">
            <v>-</v>
          </cell>
          <cell r="D81" t="str">
            <v>-</v>
          </cell>
          <cell r="E81" t="str">
            <v>IND</v>
          </cell>
          <cell r="F81" t="str">
            <v>Cenibra</v>
          </cell>
          <cell r="G81" t="str">
            <v>Obras Civis na Área de "Pipe-Pack"</v>
          </cell>
          <cell r="H81">
            <v>7132758</v>
          </cell>
          <cell r="J81">
            <v>34274</v>
          </cell>
          <cell r="K81" t="str">
            <v>-</v>
          </cell>
          <cell r="L81" t="str">
            <v>-</v>
          </cell>
          <cell r="M81" t="str">
            <v>1º Lugar - OAS</v>
          </cell>
        </row>
        <row r="82">
          <cell r="A82">
            <v>1993</v>
          </cell>
          <cell r="B82" t="str">
            <v>SE</v>
          </cell>
          <cell r="C82" t="str">
            <v>-</v>
          </cell>
          <cell r="D82" t="str">
            <v>-</v>
          </cell>
          <cell r="E82" t="str">
            <v>EDU</v>
          </cell>
          <cell r="F82" t="str">
            <v>PM Uberlândia</v>
          </cell>
          <cell r="G82" t="str">
            <v>Construção de Escola de 1º Grau</v>
          </cell>
          <cell r="H82">
            <v>1234237</v>
          </cell>
          <cell r="J82">
            <v>34274</v>
          </cell>
          <cell r="K82" t="str">
            <v>-</v>
          </cell>
          <cell r="L82" t="str">
            <v>-</v>
          </cell>
          <cell r="M82" t="str">
            <v>Perdemos</v>
          </cell>
        </row>
        <row r="83">
          <cell r="A83">
            <v>1993</v>
          </cell>
          <cell r="B83" t="str">
            <v>SE</v>
          </cell>
          <cell r="C83" t="str">
            <v>-</v>
          </cell>
          <cell r="D83" t="str">
            <v>-</v>
          </cell>
          <cell r="E83" t="str">
            <v>IND</v>
          </cell>
          <cell r="F83" t="str">
            <v>Kaiser</v>
          </cell>
          <cell r="G83" t="str">
            <v>Unidade Industrial de Anápolis</v>
          </cell>
          <cell r="H83">
            <v>6838258</v>
          </cell>
          <cell r="J83">
            <v>34274</v>
          </cell>
          <cell r="K83" t="str">
            <v>-</v>
          </cell>
          <cell r="L83" t="str">
            <v>-</v>
          </cell>
          <cell r="M83" t="str">
            <v>Perdemos</v>
          </cell>
        </row>
        <row r="84">
          <cell r="A84">
            <v>1993</v>
          </cell>
          <cell r="B84" t="str">
            <v>SE</v>
          </cell>
          <cell r="C84" t="str">
            <v>-</v>
          </cell>
          <cell r="D84" t="str">
            <v>-</v>
          </cell>
          <cell r="E84" t="str">
            <v>SAN</v>
          </cell>
          <cell r="F84" t="str">
            <v>SANEAGO</v>
          </cell>
          <cell r="G84" t="str">
            <v>Sistema de Esgotos de Jataí</v>
          </cell>
          <cell r="H84">
            <v>1142491</v>
          </cell>
          <cell r="J84">
            <v>34304</v>
          </cell>
          <cell r="K84">
            <v>17</v>
          </cell>
          <cell r="L84" t="str">
            <v>-</v>
          </cell>
          <cell r="M84" t="str">
            <v>17º Lugar - Gal</v>
          </cell>
        </row>
        <row r="85">
          <cell r="A85">
            <v>1993</v>
          </cell>
          <cell r="B85" t="str">
            <v>SE</v>
          </cell>
          <cell r="C85" t="str">
            <v>-</v>
          </cell>
          <cell r="D85" t="str">
            <v>-</v>
          </cell>
          <cell r="E85" t="str">
            <v>SAN</v>
          </cell>
          <cell r="F85" t="str">
            <v>SANEAGO</v>
          </cell>
          <cell r="G85" t="str">
            <v>Sistema de Esgotos de Niquelândia</v>
          </cell>
          <cell r="H85">
            <v>1115961</v>
          </cell>
          <cell r="J85">
            <v>34304</v>
          </cell>
          <cell r="K85">
            <v>12</v>
          </cell>
          <cell r="L85" t="str">
            <v>-</v>
          </cell>
          <cell r="M85" t="str">
            <v>12º Lugar - Sobrado</v>
          </cell>
        </row>
        <row r="86">
          <cell r="A86">
            <v>1993</v>
          </cell>
          <cell r="B86" t="str">
            <v>SE</v>
          </cell>
          <cell r="C86" t="str">
            <v>-</v>
          </cell>
          <cell r="D86" t="str">
            <v>-</v>
          </cell>
          <cell r="E86" t="str">
            <v>SAN</v>
          </cell>
          <cell r="F86" t="str">
            <v>SANEAGO</v>
          </cell>
          <cell r="G86" t="str">
            <v>Sistema de Esgotos de Morrinhos</v>
          </cell>
          <cell r="H86">
            <v>1211669</v>
          </cell>
          <cell r="J86">
            <v>34304</v>
          </cell>
          <cell r="K86">
            <v>14</v>
          </cell>
          <cell r="L86" t="str">
            <v>-</v>
          </cell>
          <cell r="M86" t="str">
            <v>14º Lugar - Goiás</v>
          </cell>
        </row>
        <row r="87">
          <cell r="A87">
            <v>1993</v>
          </cell>
          <cell r="B87" t="str">
            <v>SE</v>
          </cell>
          <cell r="C87" t="str">
            <v>-</v>
          </cell>
          <cell r="D87" t="str">
            <v>-</v>
          </cell>
          <cell r="E87" t="str">
            <v>ROD</v>
          </cell>
          <cell r="F87" t="str">
            <v>DER-TO</v>
          </cell>
          <cell r="G87" t="str">
            <v>TO-255-BR-153 / Cristalandia - Lote 15</v>
          </cell>
          <cell r="H87">
            <v>993516</v>
          </cell>
          <cell r="J87">
            <v>34335</v>
          </cell>
          <cell r="K87">
            <v>3</v>
          </cell>
          <cell r="L87" t="str">
            <v>-</v>
          </cell>
          <cell r="M87" t="str">
            <v>3º Lugar</v>
          </cell>
        </row>
        <row r="88">
          <cell r="A88">
            <v>1993</v>
          </cell>
          <cell r="B88" t="str">
            <v>SE</v>
          </cell>
          <cell r="C88" t="str">
            <v>-</v>
          </cell>
          <cell r="D88" t="str">
            <v>-</v>
          </cell>
          <cell r="E88" t="str">
            <v>ROD</v>
          </cell>
          <cell r="F88" t="str">
            <v>DER-TO</v>
          </cell>
          <cell r="G88" t="str">
            <v>TO-354-BR-153 / Pium - Lote 16</v>
          </cell>
          <cell r="H88">
            <v>1035394</v>
          </cell>
          <cell r="J88">
            <v>34335</v>
          </cell>
          <cell r="K88">
            <v>3</v>
          </cell>
          <cell r="L88" t="str">
            <v>-</v>
          </cell>
          <cell r="M88" t="str">
            <v>3º Lugar</v>
          </cell>
        </row>
        <row r="89">
          <cell r="A89">
            <v>1993</v>
          </cell>
          <cell r="B89" t="str">
            <v>SE</v>
          </cell>
          <cell r="C89" t="str">
            <v>-</v>
          </cell>
          <cell r="D89" t="str">
            <v>-</v>
          </cell>
          <cell r="E89" t="str">
            <v>ENE</v>
          </cell>
          <cell r="F89" t="str">
            <v>Petrobrás</v>
          </cell>
          <cell r="G89" t="str">
            <v>Base de Combustíveis de Uberlândia</v>
          </cell>
          <cell r="H89">
            <v>1210811</v>
          </cell>
          <cell r="J89">
            <v>34335</v>
          </cell>
          <cell r="K89" t="str">
            <v>-</v>
          </cell>
          <cell r="L89" t="str">
            <v>-</v>
          </cell>
          <cell r="M89" t="str">
            <v>1º Lugar - Encol</v>
          </cell>
        </row>
        <row r="90">
          <cell r="A90">
            <v>1993</v>
          </cell>
          <cell r="B90" t="str">
            <v>SE</v>
          </cell>
          <cell r="C90" t="str">
            <v>-</v>
          </cell>
          <cell r="D90" t="str">
            <v>-</v>
          </cell>
          <cell r="E90" t="str">
            <v>ROD</v>
          </cell>
          <cell r="F90" t="str">
            <v>DER-TO</v>
          </cell>
          <cell r="G90" t="str">
            <v>TO-280-Santo Antonio / Peixe - Lote 12</v>
          </cell>
          <cell r="H90">
            <v>554306</v>
          </cell>
          <cell r="J90">
            <v>34335</v>
          </cell>
          <cell r="K90">
            <v>8</v>
          </cell>
          <cell r="L90" t="str">
            <v>-</v>
          </cell>
          <cell r="M90" t="str">
            <v>8º Lugar</v>
          </cell>
        </row>
        <row r="91">
          <cell r="A91">
            <v>1993</v>
          </cell>
          <cell r="B91" t="str">
            <v>SE</v>
          </cell>
          <cell r="C91" t="str">
            <v>-</v>
          </cell>
          <cell r="D91" t="str">
            <v>-</v>
          </cell>
          <cell r="E91" t="str">
            <v>ENE</v>
          </cell>
          <cell r="F91" t="str">
            <v>Petrobrás</v>
          </cell>
          <cell r="G91" t="str">
            <v>Base de Combustíveis de Goiânia</v>
          </cell>
          <cell r="H91">
            <v>1770614</v>
          </cell>
          <cell r="J91">
            <v>34335</v>
          </cell>
          <cell r="K91" t="str">
            <v>-</v>
          </cell>
          <cell r="L91" t="str">
            <v>-</v>
          </cell>
          <cell r="M91" t="str">
            <v>1º Lugar - Encol</v>
          </cell>
        </row>
        <row r="92">
          <cell r="A92">
            <v>1993</v>
          </cell>
          <cell r="B92" t="str">
            <v>SE</v>
          </cell>
          <cell r="C92" t="str">
            <v>-</v>
          </cell>
          <cell r="D92" t="str">
            <v>-</v>
          </cell>
          <cell r="E92" t="str">
            <v>ROD</v>
          </cell>
          <cell r="F92" t="str">
            <v>DER-TO</v>
          </cell>
          <cell r="G92" t="str">
            <v>TO-280-Santo Antonio / Peixe - Lote17</v>
          </cell>
          <cell r="H92">
            <v>4030676</v>
          </cell>
          <cell r="J92">
            <v>34335</v>
          </cell>
          <cell r="K92">
            <v>3</v>
          </cell>
          <cell r="L92" t="str">
            <v>-</v>
          </cell>
          <cell r="M92" t="str">
            <v>3º Lugar</v>
          </cell>
        </row>
        <row r="93">
          <cell r="A93">
            <v>1993</v>
          </cell>
          <cell r="B93" t="str">
            <v>SE</v>
          </cell>
          <cell r="C93" t="str">
            <v>-</v>
          </cell>
          <cell r="D93" t="str">
            <v>-</v>
          </cell>
          <cell r="E93" t="str">
            <v>ROD</v>
          </cell>
          <cell r="F93" t="str">
            <v>DER-TO</v>
          </cell>
          <cell r="G93" t="str">
            <v>TO-280-Santo Antonio / Peixe - Lote 11</v>
          </cell>
          <cell r="H93">
            <v>349368</v>
          </cell>
          <cell r="J93">
            <v>34335</v>
          </cell>
          <cell r="K93">
            <v>10</v>
          </cell>
          <cell r="L93" t="str">
            <v>-</v>
          </cell>
          <cell r="M93" t="str">
            <v>10º Lugar</v>
          </cell>
        </row>
        <row r="94">
          <cell r="A94">
            <v>1993</v>
          </cell>
          <cell r="B94" t="str">
            <v>SE</v>
          </cell>
          <cell r="C94" t="str">
            <v>-</v>
          </cell>
          <cell r="D94" t="str">
            <v>-</v>
          </cell>
          <cell r="E94" t="str">
            <v>ENE</v>
          </cell>
          <cell r="F94" t="str">
            <v>Petrobrás</v>
          </cell>
          <cell r="G94" t="str">
            <v>Gasoduto Rio de Janeiro / Brasília</v>
          </cell>
          <cell r="H94">
            <v>25234038</v>
          </cell>
          <cell r="J94">
            <v>34335</v>
          </cell>
          <cell r="K94">
            <v>3</v>
          </cell>
          <cell r="L94" t="str">
            <v>-</v>
          </cell>
          <cell r="M94" t="str">
            <v>3º  Lugar - Camargo Correa</v>
          </cell>
        </row>
        <row r="95">
          <cell r="A95">
            <v>1993</v>
          </cell>
          <cell r="B95" t="str">
            <v>SE</v>
          </cell>
          <cell r="C95" t="str">
            <v>-</v>
          </cell>
          <cell r="D95" t="str">
            <v>-</v>
          </cell>
          <cell r="E95" t="str">
            <v>ENE</v>
          </cell>
          <cell r="F95" t="str">
            <v>Petrobrás</v>
          </cell>
          <cell r="G95" t="str">
            <v>Base de Combustíveis de Uberaba</v>
          </cell>
          <cell r="H95">
            <v>691652</v>
          </cell>
          <cell r="J95">
            <v>34335</v>
          </cell>
          <cell r="K95" t="str">
            <v>-</v>
          </cell>
          <cell r="L95" t="str">
            <v>-</v>
          </cell>
          <cell r="M95" t="str">
            <v>1º Lugar - Encol</v>
          </cell>
        </row>
        <row r="96">
          <cell r="A96">
            <v>1993</v>
          </cell>
          <cell r="B96" t="str">
            <v>SE</v>
          </cell>
          <cell r="C96" t="str">
            <v>-</v>
          </cell>
          <cell r="D96" t="str">
            <v>-</v>
          </cell>
          <cell r="E96" t="str">
            <v>SAN</v>
          </cell>
          <cell r="F96" t="str">
            <v>Sudecap</v>
          </cell>
          <cell r="G96" t="str">
            <v>Canalização do Ribeirão Arrudas</v>
          </cell>
          <cell r="H96">
            <v>8739000</v>
          </cell>
          <cell r="J96">
            <v>34394</v>
          </cell>
          <cell r="K96">
            <v>1</v>
          </cell>
          <cell r="L96">
            <v>1</v>
          </cell>
          <cell r="M96" t="str">
            <v>1º Lugar</v>
          </cell>
        </row>
        <row r="97">
          <cell r="A97">
            <v>1993</v>
          </cell>
          <cell r="B97" t="str">
            <v>SE</v>
          </cell>
          <cell r="C97" t="str">
            <v>-</v>
          </cell>
          <cell r="D97" t="str">
            <v>-</v>
          </cell>
          <cell r="E97" t="str">
            <v>SAN</v>
          </cell>
          <cell r="F97" t="str">
            <v>Sudecap</v>
          </cell>
          <cell r="G97" t="str">
            <v>Revestimento do fundo do Canal do Arrudas</v>
          </cell>
          <cell r="H97">
            <v>3281036</v>
          </cell>
          <cell r="J97">
            <v>34394</v>
          </cell>
          <cell r="K97" t="str">
            <v>-</v>
          </cell>
          <cell r="L97" t="str">
            <v>-</v>
          </cell>
          <cell r="M97" t="str">
            <v>1º Lugar - Concic</v>
          </cell>
        </row>
        <row r="98">
          <cell r="A98">
            <v>1993</v>
          </cell>
          <cell r="B98" t="str">
            <v>SE</v>
          </cell>
          <cell r="C98" t="str">
            <v>-</v>
          </cell>
          <cell r="D98" t="str">
            <v>-</v>
          </cell>
          <cell r="E98" t="str">
            <v>COM</v>
          </cell>
          <cell r="F98" t="str">
            <v>Martins</v>
          </cell>
          <cell r="G98" t="str">
            <v>Ampliação do Armazém - Módulos 2,3 e 4</v>
          </cell>
          <cell r="H98">
            <v>2102040</v>
          </cell>
          <cell r="J98">
            <v>34394</v>
          </cell>
          <cell r="K98">
            <v>2</v>
          </cell>
          <cell r="L98" t="str">
            <v>-</v>
          </cell>
          <cell r="M98" t="str">
            <v>2º Lugar - Centro Oeste</v>
          </cell>
        </row>
        <row r="99">
          <cell r="A99">
            <v>1993</v>
          </cell>
          <cell r="B99" t="str">
            <v>SE</v>
          </cell>
          <cell r="C99" t="str">
            <v>-</v>
          </cell>
          <cell r="D99" t="str">
            <v>-</v>
          </cell>
          <cell r="E99" t="str">
            <v>SAN</v>
          </cell>
          <cell r="F99" t="str">
            <v>Sudecap</v>
          </cell>
          <cell r="G99" t="str">
            <v>Revestimento do fundo do Canal do Arrudas</v>
          </cell>
          <cell r="H99">
            <v>4393611</v>
          </cell>
          <cell r="J99">
            <v>34394</v>
          </cell>
          <cell r="K99">
            <v>0</v>
          </cell>
          <cell r="L99" t="str">
            <v>-</v>
          </cell>
          <cell r="M99" t="str">
            <v>Perdemos</v>
          </cell>
        </row>
        <row r="100">
          <cell r="A100">
            <v>1993</v>
          </cell>
          <cell r="B100" t="str">
            <v>SL</v>
          </cell>
          <cell r="C100" t="str">
            <v>-</v>
          </cell>
          <cell r="D100" t="str">
            <v>-</v>
          </cell>
          <cell r="E100" t="str">
            <v>ROD</v>
          </cell>
          <cell r="F100" t="str">
            <v>DER-SC</v>
          </cell>
          <cell r="G100" t="str">
            <v>SC-449-Meleiro / Araranguá</v>
          </cell>
          <cell r="H100">
            <v>6180405</v>
          </cell>
          <cell r="J100">
            <v>34060</v>
          </cell>
          <cell r="K100">
            <v>5</v>
          </cell>
          <cell r="L100" t="str">
            <v>-</v>
          </cell>
          <cell r="M100" t="str">
            <v>5º Lugar</v>
          </cell>
        </row>
        <row r="101">
          <cell r="A101">
            <v>1993</v>
          </cell>
          <cell r="B101" t="str">
            <v>SL</v>
          </cell>
          <cell r="C101" t="str">
            <v>-</v>
          </cell>
          <cell r="D101" t="str">
            <v>-</v>
          </cell>
          <cell r="E101" t="str">
            <v>ENE</v>
          </cell>
          <cell r="F101" t="str">
            <v>Copel</v>
          </cell>
          <cell r="G101" t="str">
            <v>Estrada de Acesso ao Desvio do Rio Jordão</v>
          </cell>
          <cell r="H101">
            <v>473804</v>
          </cell>
          <cell r="J101">
            <v>34060</v>
          </cell>
          <cell r="K101">
            <v>1</v>
          </cell>
          <cell r="L101">
            <v>1</v>
          </cell>
          <cell r="M101" t="str">
            <v>1º Lugar</v>
          </cell>
        </row>
        <row r="102">
          <cell r="A102">
            <v>1993</v>
          </cell>
          <cell r="B102" t="str">
            <v>SL</v>
          </cell>
          <cell r="C102" t="str">
            <v>-</v>
          </cell>
          <cell r="D102" t="str">
            <v>-</v>
          </cell>
          <cell r="E102" t="str">
            <v>ROD</v>
          </cell>
          <cell r="F102" t="str">
            <v>DER-SC</v>
          </cell>
          <cell r="G102" t="str">
            <v>SC-452-Água Doce / Herciliópolis</v>
          </cell>
          <cell r="H102">
            <v>9375058</v>
          </cell>
          <cell r="J102">
            <v>34060</v>
          </cell>
          <cell r="K102">
            <v>2</v>
          </cell>
          <cell r="L102" t="str">
            <v>-</v>
          </cell>
          <cell r="M102" t="str">
            <v>2º Lugar</v>
          </cell>
        </row>
        <row r="103">
          <cell r="A103">
            <v>1993</v>
          </cell>
          <cell r="B103" t="str">
            <v>SL</v>
          </cell>
          <cell r="C103" t="str">
            <v>-</v>
          </cell>
          <cell r="D103" t="str">
            <v>-</v>
          </cell>
          <cell r="E103" t="str">
            <v>ROD</v>
          </cell>
          <cell r="F103" t="str">
            <v>M. Exército</v>
          </cell>
          <cell r="G103" t="str">
            <v>Construção de 3 Pontes na Ferroeste</v>
          </cell>
          <cell r="H103">
            <v>1882194</v>
          </cell>
          <cell r="J103">
            <v>34090</v>
          </cell>
          <cell r="K103">
            <v>3</v>
          </cell>
          <cell r="L103" t="str">
            <v>-</v>
          </cell>
          <cell r="M103" t="str">
            <v>3º Lugar</v>
          </cell>
        </row>
        <row r="104">
          <cell r="A104">
            <v>1993</v>
          </cell>
          <cell r="B104" t="str">
            <v>SL</v>
          </cell>
          <cell r="C104" t="str">
            <v>-</v>
          </cell>
          <cell r="D104" t="str">
            <v>-</v>
          </cell>
          <cell r="E104" t="str">
            <v>JUST</v>
          </cell>
          <cell r="F104" t="str">
            <v>GERS</v>
          </cell>
          <cell r="G104" t="str">
            <v>Prédio do Foro da Comarca de Canoas</v>
          </cell>
          <cell r="H104">
            <v>4349789</v>
          </cell>
          <cell r="J104">
            <v>34121</v>
          </cell>
          <cell r="K104">
            <v>2</v>
          </cell>
          <cell r="L104" t="str">
            <v>-</v>
          </cell>
          <cell r="M104" t="str">
            <v>2º Lugar</v>
          </cell>
        </row>
        <row r="105">
          <cell r="A105">
            <v>1993</v>
          </cell>
          <cell r="B105" t="str">
            <v>SL</v>
          </cell>
          <cell r="C105" t="str">
            <v>-</v>
          </cell>
          <cell r="D105" t="str">
            <v>-</v>
          </cell>
          <cell r="E105" t="str">
            <v>ROD</v>
          </cell>
          <cell r="F105" t="str">
            <v>DER-PR</v>
          </cell>
          <cell r="G105" t="str">
            <v>Viaduto sobre a Manoel Ribas</v>
          </cell>
          <cell r="H105">
            <v>481655</v>
          </cell>
          <cell r="J105">
            <v>34151</v>
          </cell>
          <cell r="K105">
            <v>7</v>
          </cell>
          <cell r="L105" t="str">
            <v>-</v>
          </cell>
          <cell r="M105" t="str">
            <v>7º Lugar</v>
          </cell>
        </row>
        <row r="106">
          <cell r="A106">
            <v>1993</v>
          </cell>
          <cell r="B106" t="str">
            <v>SL</v>
          </cell>
          <cell r="C106" t="str">
            <v>-</v>
          </cell>
          <cell r="D106" t="str">
            <v>-</v>
          </cell>
          <cell r="E106" t="str">
            <v>FERR</v>
          </cell>
          <cell r="F106" t="str">
            <v>M. Exército</v>
          </cell>
          <cell r="G106" t="str">
            <v>Trecho Ferroviário entre Guarapuava e Cascavel</v>
          </cell>
          <cell r="H106">
            <v>2760490</v>
          </cell>
          <cell r="J106">
            <v>34182</v>
          </cell>
          <cell r="K106">
            <v>2</v>
          </cell>
          <cell r="L106" t="str">
            <v>-</v>
          </cell>
          <cell r="M106" t="str">
            <v>2º Lugar</v>
          </cell>
        </row>
        <row r="107">
          <cell r="A107">
            <v>1993</v>
          </cell>
          <cell r="B107" t="str">
            <v>SL</v>
          </cell>
          <cell r="C107" t="str">
            <v>-</v>
          </cell>
          <cell r="D107" t="str">
            <v>-</v>
          </cell>
          <cell r="E107" t="str">
            <v>IND</v>
          </cell>
          <cell r="F107" t="str">
            <v>Batavo</v>
          </cell>
          <cell r="G107" t="str">
            <v>Ampliaçãop da ETE-Unidade Industrial de Castro</v>
          </cell>
          <cell r="H107">
            <v>626000</v>
          </cell>
          <cell r="J107">
            <v>34182</v>
          </cell>
          <cell r="K107">
            <v>3</v>
          </cell>
          <cell r="L107" t="str">
            <v>-</v>
          </cell>
          <cell r="M107" t="str">
            <v>3º Lugar</v>
          </cell>
        </row>
        <row r="108">
          <cell r="A108">
            <v>1993</v>
          </cell>
          <cell r="B108" t="str">
            <v>SL</v>
          </cell>
          <cell r="C108" t="str">
            <v>-</v>
          </cell>
          <cell r="D108" t="str">
            <v>-</v>
          </cell>
          <cell r="E108" t="str">
            <v>FERR</v>
          </cell>
          <cell r="F108" t="str">
            <v>M. Exército</v>
          </cell>
          <cell r="G108" t="str">
            <v>Trecho Ferroviário entre Guarapuava e Cascavel</v>
          </cell>
          <cell r="H108">
            <v>1727590</v>
          </cell>
          <cell r="J108">
            <v>34182</v>
          </cell>
          <cell r="K108" t="str">
            <v>-</v>
          </cell>
          <cell r="L108" t="str">
            <v>-</v>
          </cell>
          <cell r="M108" t="str">
            <v>Revogada</v>
          </cell>
        </row>
        <row r="109">
          <cell r="A109">
            <v>1993</v>
          </cell>
          <cell r="B109" t="str">
            <v>SL</v>
          </cell>
          <cell r="C109" t="str">
            <v>-</v>
          </cell>
          <cell r="D109" t="str">
            <v>-</v>
          </cell>
          <cell r="E109" t="str">
            <v>IND</v>
          </cell>
          <cell r="F109" t="str">
            <v>Brahma</v>
          </cell>
          <cell r="G109" t="str">
            <v>Unidade Industrial de Lajes - SC</v>
          </cell>
          <cell r="H109">
            <v>8028231</v>
          </cell>
          <cell r="J109">
            <v>34243</v>
          </cell>
          <cell r="K109" t="str">
            <v>-</v>
          </cell>
          <cell r="L109" t="str">
            <v>-</v>
          </cell>
          <cell r="M109" t="str">
            <v>Perdemos</v>
          </cell>
        </row>
        <row r="110">
          <cell r="A110">
            <v>1993</v>
          </cell>
          <cell r="B110" t="str">
            <v>SL</v>
          </cell>
          <cell r="C110" t="str">
            <v>-</v>
          </cell>
          <cell r="D110" t="str">
            <v>-</v>
          </cell>
          <cell r="E110" t="str">
            <v>ROD</v>
          </cell>
          <cell r="F110" t="str">
            <v>DNER</v>
          </cell>
          <cell r="G110" t="str">
            <v>BR-116-Entroncamento da BR-290 e BR-386</v>
          </cell>
          <cell r="H110">
            <v>14457490</v>
          </cell>
          <cell r="J110">
            <v>34243</v>
          </cell>
          <cell r="K110" t="str">
            <v>-</v>
          </cell>
          <cell r="L110" t="str">
            <v>-</v>
          </cell>
          <cell r="M110" t="str">
            <v>Perdemos</v>
          </cell>
        </row>
        <row r="111">
          <cell r="A111">
            <v>1993</v>
          </cell>
          <cell r="B111" t="str">
            <v>SL</v>
          </cell>
          <cell r="C111" t="str">
            <v>-</v>
          </cell>
          <cell r="D111" t="str">
            <v>-</v>
          </cell>
          <cell r="E111" t="str">
            <v>IND</v>
          </cell>
          <cell r="F111" t="str">
            <v>Brahma</v>
          </cell>
          <cell r="G111" t="str">
            <v>Unidade Industrial de Prata - Argentina</v>
          </cell>
          <cell r="H111">
            <v>14116222</v>
          </cell>
          <cell r="J111">
            <v>34243</v>
          </cell>
          <cell r="K111">
            <v>2</v>
          </cell>
          <cell r="L111" t="str">
            <v>-</v>
          </cell>
          <cell r="M111" t="str">
            <v>2º Lugar</v>
          </cell>
        </row>
        <row r="112">
          <cell r="A112">
            <v>1993</v>
          </cell>
          <cell r="B112" t="str">
            <v>SL</v>
          </cell>
          <cell r="C112" t="str">
            <v>-</v>
          </cell>
          <cell r="D112" t="str">
            <v>-</v>
          </cell>
          <cell r="E112" t="str">
            <v>ROD</v>
          </cell>
          <cell r="F112" t="str">
            <v>DNER</v>
          </cell>
          <cell r="G112" t="str">
            <v>BR-392-Cerro Largo / Porto Xavier - Lote 1</v>
          </cell>
          <cell r="H112">
            <v>10134328</v>
          </cell>
          <cell r="J112">
            <v>34243</v>
          </cell>
          <cell r="K112">
            <v>0</v>
          </cell>
          <cell r="L112">
            <v>0</v>
          </cell>
          <cell r="M112" t="str">
            <v>1º Lugar</v>
          </cell>
        </row>
        <row r="113">
          <cell r="A113">
            <v>1993</v>
          </cell>
          <cell r="B113" t="str">
            <v>SL</v>
          </cell>
          <cell r="C113" t="str">
            <v>-</v>
          </cell>
          <cell r="D113" t="str">
            <v>-</v>
          </cell>
          <cell r="E113" t="str">
            <v>ROD</v>
          </cell>
          <cell r="F113" t="str">
            <v>DNER</v>
          </cell>
          <cell r="G113" t="str">
            <v>BR-392-Cerro Largo / Porto Xavier - Lote 2</v>
          </cell>
          <cell r="H113">
            <v>7726555</v>
          </cell>
          <cell r="J113">
            <v>34243</v>
          </cell>
          <cell r="K113">
            <v>0</v>
          </cell>
          <cell r="L113">
            <v>0</v>
          </cell>
          <cell r="M113" t="str">
            <v>1º Lugar</v>
          </cell>
        </row>
        <row r="114">
          <cell r="A114">
            <v>1993</v>
          </cell>
          <cell r="B114" t="str">
            <v>SL</v>
          </cell>
          <cell r="C114" t="str">
            <v>-</v>
          </cell>
          <cell r="D114" t="str">
            <v>-</v>
          </cell>
          <cell r="E114" t="str">
            <v>ROD</v>
          </cell>
          <cell r="F114" t="str">
            <v>DER-SC</v>
          </cell>
          <cell r="G114" t="str">
            <v>SC-457-Curitibanos / Rio Correntes</v>
          </cell>
          <cell r="H114">
            <v>6849933</v>
          </cell>
          <cell r="J114">
            <v>34274</v>
          </cell>
          <cell r="K114">
            <v>14</v>
          </cell>
          <cell r="L114" t="str">
            <v>-</v>
          </cell>
          <cell r="M114" t="str">
            <v>14º Lugar - Erco</v>
          </cell>
        </row>
        <row r="115">
          <cell r="A115">
            <v>1993</v>
          </cell>
          <cell r="B115" t="str">
            <v>SL</v>
          </cell>
          <cell r="C115" t="str">
            <v>-</v>
          </cell>
          <cell r="D115" t="str">
            <v>-</v>
          </cell>
          <cell r="E115" t="str">
            <v>ROD</v>
          </cell>
          <cell r="F115" t="str">
            <v>DER-PR</v>
          </cell>
          <cell r="G115" t="str">
            <v>Complexo de Pontes sobre o Rio Paraná/Guaíba</v>
          </cell>
          <cell r="H115">
            <v>16081840</v>
          </cell>
          <cell r="J115">
            <v>34274</v>
          </cell>
          <cell r="K115">
            <v>3</v>
          </cell>
          <cell r="L115" t="str">
            <v>-</v>
          </cell>
          <cell r="M115" t="str">
            <v>3º Lugar</v>
          </cell>
        </row>
        <row r="116">
          <cell r="A116">
            <v>1993</v>
          </cell>
          <cell r="B116" t="str">
            <v>SL</v>
          </cell>
          <cell r="C116" t="str">
            <v>-</v>
          </cell>
          <cell r="D116" t="str">
            <v>-</v>
          </cell>
          <cell r="E116" t="str">
            <v>ROD</v>
          </cell>
          <cell r="F116" t="str">
            <v>DER-SC</v>
          </cell>
          <cell r="G116" t="str">
            <v>SC-457-Rio Correntes / Lebon Régis</v>
          </cell>
          <cell r="H116">
            <v>5482909</v>
          </cell>
          <cell r="J116">
            <v>34274</v>
          </cell>
          <cell r="K116">
            <v>12</v>
          </cell>
          <cell r="L116" t="str">
            <v>-</v>
          </cell>
          <cell r="M116" t="str">
            <v>12º Lugar - Triunfo</v>
          </cell>
        </row>
        <row r="117">
          <cell r="A117">
            <v>1993</v>
          </cell>
          <cell r="B117" t="str">
            <v>SL</v>
          </cell>
          <cell r="C117" t="str">
            <v>-</v>
          </cell>
          <cell r="D117" t="str">
            <v>-</v>
          </cell>
          <cell r="E117" t="str">
            <v>ROD</v>
          </cell>
          <cell r="F117" t="str">
            <v>DER-SC</v>
          </cell>
          <cell r="G117" t="str">
            <v>SC-386-Mondaí / Iporã</v>
          </cell>
          <cell r="H117">
            <v>6303036</v>
          </cell>
          <cell r="J117">
            <v>34274</v>
          </cell>
          <cell r="K117">
            <v>1</v>
          </cell>
          <cell r="L117">
            <v>1</v>
          </cell>
          <cell r="M117" t="str">
            <v>1º Lugar</v>
          </cell>
        </row>
        <row r="118">
          <cell r="A118">
            <v>1993</v>
          </cell>
          <cell r="B118" t="str">
            <v>SL</v>
          </cell>
          <cell r="C118" t="str">
            <v>-</v>
          </cell>
          <cell r="D118" t="str">
            <v>-</v>
          </cell>
          <cell r="E118" t="str">
            <v>ROD</v>
          </cell>
          <cell r="F118" t="str">
            <v>DER-SC</v>
          </cell>
          <cell r="G118" t="str">
            <v>SC-413-Guaramirim / Vila Nova</v>
          </cell>
          <cell r="H118">
            <v>9535491</v>
          </cell>
          <cell r="J118">
            <v>34274</v>
          </cell>
          <cell r="K118">
            <v>4</v>
          </cell>
          <cell r="L118" t="str">
            <v>-</v>
          </cell>
          <cell r="M118" t="str">
            <v>4º Lugar - Engepasa</v>
          </cell>
        </row>
        <row r="119">
          <cell r="A119">
            <v>1993</v>
          </cell>
          <cell r="B119" t="str">
            <v>SL</v>
          </cell>
          <cell r="C119" t="str">
            <v>-</v>
          </cell>
          <cell r="D119" t="str">
            <v>-</v>
          </cell>
          <cell r="E119" t="str">
            <v>ENE</v>
          </cell>
          <cell r="F119" t="str">
            <v>Copel</v>
          </cell>
          <cell r="G119" t="str">
            <v>UH Segredo - Derivação do Rio Jordão</v>
          </cell>
          <cell r="H119">
            <v>36180446</v>
          </cell>
          <cell r="J119">
            <v>34304</v>
          </cell>
          <cell r="K119">
            <v>3</v>
          </cell>
          <cell r="L119" t="str">
            <v>-</v>
          </cell>
          <cell r="M119" t="str">
            <v>3º Lugar - Ivaí</v>
          </cell>
        </row>
        <row r="120">
          <cell r="A120">
            <v>1993</v>
          </cell>
          <cell r="B120" t="str">
            <v>SL</v>
          </cell>
          <cell r="C120" t="str">
            <v>-</v>
          </cell>
          <cell r="D120" t="str">
            <v>-</v>
          </cell>
          <cell r="E120" t="str">
            <v>IND</v>
          </cell>
          <cell r="F120" t="str">
            <v>Brahma</v>
          </cell>
          <cell r="G120" t="str">
            <v>Ampliação do Envasamento da Unidade de Jacareí</v>
          </cell>
          <cell r="H120">
            <v>13486025</v>
          </cell>
          <cell r="J120">
            <v>34335</v>
          </cell>
          <cell r="K120" t="str">
            <v>-</v>
          </cell>
          <cell r="L120" t="str">
            <v>-</v>
          </cell>
          <cell r="M120" t="str">
            <v>Perdemos</v>
          </cell>
        </row>
        <row r="121">
          <cell r="A121">
            <v>1993</v>
          </cell>
          <cell r="B121" t="str">
            <v>SL</v>
          </cell>
          <cell r="C121" t="str">
            <v>-</v>
          </cell>
          <cell r="D121" t="str">
            <v>-</v>
          </cell>
          <cell r="E121" t="str">
            <v>IND</v>
          </cell>
          <cell r="F121" t="str">
            <v>Brahma</v>
          </cell>
          <cell r="G121" t="str">
            <v>Terraplenagem - Fábrica de Agudos</v>
          </cell>
          <cell r="H121">
            <v>530786</v>
          </cell>
          <cell r="J121">
            <v>34366</v>
          </cell>
          <cell r="K121" t="str">
            <v>-</v>
          </cell>
          <cell r="L121" t="str">
            <v>-</v>
          </cell>
          <cell r="M121" t="str">
            <v>Perdemos</v>
          </cell>
        </row>
        <row r="122">
          <cell r="A122">
            <v>1993</v>
          </cell>
          <cell r="B122" t="str">
            <v>SL</v>
          </cell>
          <cell r="C122" t="str">
            <v>-</v>
          </cell>
          <cell r="D122" t="str">
            <v>-</v>
          </cell>
          <cell r="E122" t="str">
            <v>IND</v>
          </cell>
          <cell r="F122" t="str">
            <v>Brahma</v>
          </cell>
          <cell r="G122" t="str">
            <v>Galpão de Envasamento - Fábrica de Agudos</v>
          </cell>
          <cell r="H122">
            <v>5143789</v>
          </cell>
          <cell r="J122">
            <v>34394</v>
          </cell>
          <cell r="K122" t="str">
            <v>-</v>
          </cell>
          <cell r="L122" t="str">
            <v>-</v>
          </cell>
          <cell r="M122" t="str">
            <v>Perdemos</v>
          </cell>
        </row>
        <row r="123">
          <cell r="A123">
            <v>1993</v>
          </cell>
          <cell r="B123" t="str">
            <v>SL</v>
          </cell>
          <cell r="C123" t="str">
            <v>-</v>
          </cell>
          <cell r="D123" t="str">
            <v>-</v>
          </cell>
          <cell r="E123" t="str">
            <v>SAN</v>
          </cell>
          <cell r="F123" t="str">
            <v>PM Maringá</v>
          </cell>
          <cell r="G123" t="str">
            <v>Sistema de Esgoto Sanitário</v>
          </cell>
          <cell r="H123">
            <v>3276800.97</v>
          </cell>
          <cell r="J123">
            <v>34394</v>
          </cell>
          <cell r="K123" t="str">
            <v>-</v>
          </cell>
          <cell r="L123" t="str">
            <v>-</v>
          </cell>
          <cell r="M123" t="str">
            <v>Perdemos</v>
          </cell>
        </row>
        <row r="124">
          <cell r="A124">
            <v>1994</v>
          </cell>
          <cell r="B124" t="str">
            <v>NE</v>
          </cell>
          <cell r="C124" t="str">
            <v>-</v>
          </cell>
          <cell r="D124" t="str">
            <v>-</v>
          </cell>
          <cell r="E124" t="str">
            <v>AER</v>
          </cell>
          <cell r="F124" t="str">
            <v>CISCEA</v>
          </cell>
          <cell r="G124" t="str">
            <v>DPV-DT-Porto Seguro</v>
          </cell>
          <cell r="H124">
            <v>1494731.63</v>
          </cell>
          <cell r="J124">
            <v>34452</v>
          </cell>
          <cell r="K124">
            <v>1</v>
          </cell>
          <cell r="L124">
            <v>1</v>
          </cell>
          <cell r="M124" t="str">
            <v>1º Lugar</v>
          </cell>
        </row>
        <row r="125">
          <cell r="A125">
            <v>1994</v>
          </cell>
          <cell r="B125" t="str">
            <v>NE</v>
          </cell>
          <cell r="C125" t="str">
            <v>-</v>
          </cell>
          <cell r="D125" t="str">
            <v>-</v>
          </cell>
          <cell r="E125" t="str">
            <v>ROD</v>
          </cell>
          <cell r="F125" t="str">
            <v>DER-BA</v>
          </cell>
          <cell r="G125" t="str">
            <v>Corredores da BA - Lote 6</v>
          </cell>
          <cell r="H125">
            <v>2588798.21</v>
          </cell>
          <cell r="J125">
            <v>34455</v>
          </cell>
          <cell r="K125">
            <v>1</v>
          </cell>
          <cell r="L125">
            <v>1</v>
          </cell>
          <cell r="M125" t="str">
            <v>1º Lugar</v>
          </cell>
        </row>
        <row r="126">
          <cell r="A126">
            <v>1994</v>
          </cell>
          <cell r="B126" t="str">
            <v>NE</v>
          </cell>
          <cell r="C126" t="str">
            <v>-</v>
          </cell>
          <cell r="D126" t="str">
            <v>-</v>
          </cell>
          <cell r="E126" t="str">
            <v>ROD</v>
          </cell>
          <cell r="F126" t="str">
            <v>DER-BA</v>
          </cell>
          <cell r="G126" t="str">
            <v>Corredores da BA - Lote 5</v>
          </cell>
          <cell r="H126">
            <v>1730386.86</v>
          </cell>
          <cell r="J126">
            <v>34455</v>
          </cell>
          <cell r="K126">
            <v>1</v>
          </cell>
          <cell r="L126">
            <v>1</v>
          </cell>
          <cell r="M126" t="str">
            <v>1º Lugar</v>
          </cell>
        </row>
        <row r="127">
          <cell r="A127">
            <v>1994</v>
          </cell>
          <cell r="B127" t="str">
            <v>NE</v>
          </cell>
          <cell r="C127" t="str">
            <v>-</v>
          </cell>
          <cell r="D127" t="str">
            <v>-</v>
          </cell>
          <cell r="E127" t="str">
            <v>ROD</v>
          </cell>
          <cell r="F127" t="str">
            <v>DER-BA</v>
          </cell>
          <cell r="G127" t="str">
            <v>Corredores da BA - Lote 7</v>
          </cell>
          <cell r="H127">
            <v>1889106.33</v>
          </cell>
          <cell r="J127">
            <v>34455</v>
          </cell>
          <cell r="K127">
            <v>1</v>
          </cell>
          <cell r="L127">
            <v>1</v>
          </cell>
          <cell r="M127" t="str">
            <v>1º Lugar</v>
          </cell>
        </row>
        <row r="128">
          <cell r="A128">
            <v>1994</v>
          </cell>
          <cell r="B128" t="str">
            <v>NE</v>
          </cell>
          <cell r="C128" t="str">
            <v>-</v>
          </cell>
          <cell r="D128" t="str">
            <v>-</v>
          </cell>
          <cell r="E128" t="str">
            <v>ROD</v>
          </cell>
          <cell r="F128" t="str">
            <v>DER-BA</v>
          </cell>
          <cell r="G128" t="str">
            <v>Corredores da BA - Lote 3</v>
          </cell>
          <cell r="H128">
            <v>2093662.98</v>
          </cell>
          <cell r="J128">
            <v>34455</v>
          </cell>
          <cell r="K128">
            <v>1</v>
          </cell>
          <cell r="L128">
            <v>1</v>
          </cell>
          <cell r="M128" t="str">
            <v>1º Lugar</v>
          </cell>
        </row>
        <row r="129">
          <cell r="A129">
            <v>1994</v>
          </cell>
          <cell r="B129" t="str">
            <v>NE</v>
          </cell>
          <cell r="C129" t="str">
            <v>-</v>
          </cell>
          <cell r="D129" t="str">
            <v>-</v>
          </cell>
          <cell r="E129" t="str">
            <v>ROD</v>
          </cell>
          <cell r="F129" t="str">
            <v>DER-BA</v>
          </cell>
          <cell r="G129" t="str">
            <v>Corredores da BA - Lote 4</v>
          </cell>
          <cell r="H129">
            <v>2354972.17</v>
          </cell>
          <cell r="J129">
            <v>34455</v>
          </cell>
          <cell r="K129">
            <v>1</v>
          </cell>
          <cell r="L129">
            <v>1</v>
          </cell>
          <cell r="M129" t="str">
            <v>1º Lugar</v>
          </cell>
        </row>
        <row r="130">
          <cell r="A130">
            <v>1994</v>
          </cell>
          <cell r="B130" t="str">
            <v>NE</v>
          </cell>
          <cell r="C130" t="str">
            <v>-</v>
          </cell>
          <cell r="D130" t="str">
            <v>-</v>
          </cell>
          <cell r="E130" t="str">
            <v>ROD</v>
          </cell>
          <cell r="F130" t="str">
            <v>DER-BA</v>
          </cell>
          <cell r="G130" t="str">
            <v>Corredores da BA - Lote 8</v>
          </cell>
          <cell r="H130">
            <v>1875256.27</v>
          </cell>
          <cell r="J130">
            <v>34455</v>
          </cell>
          <cell r="K130">
            <v>0</v>
          </cell>
          <cell r="L130">
            <v>0</v>
          </cell>
          <cell r="M130" t="str">
            <v>Perdemos</v>
          </cell>
        </row>
        <row r="131">
          <cell r="A131">
            <v>1994</v>
          </cell>
          <cell r="B131" t="str">
            <v>NE</v>
          </cell>
          <cell r="C131" t="str">
            <v>-</v>
          </cell>
          <cell r="D131" t="str">
            <v>-</v>
          </cell>
          <cell r="E131" t="str">
            <v>ROD</v>
          </cell>
          <cell r="F131" t="str">
            <v>DER-BA</v>
          </cell>
          <cell r="G131" t="str">
            <v>Corredores da BA - Lote 9</v>
          </cell>
          <cell r="H131">
            <v>2422257.75</v>
          </cell>
          <cell r="J131">
            <v>34455</v>
          </cell>
          <cell r="K131">
            <v>0</v>
          </cell>
          <cell r="L131">
            <v>0</v>
          </cell>
          <cell r="M131" t="str">
            <v>Perdemos</v>
          </cell>
        </row>
        <row r="132">
          <cell r="A132">
            <v>1994</v>
          </cell>
          <cell r="B132" t="str">
            <v>NE</v>
          </cell>
          <cell r="C132" t="str">
            <v>-</v>
          </cell>
          <cell r="D132" t="str">
            <v>-</v>
          </cell>
          <cell r="E132" t="str">
            <v>ROD</v>
          </cell>
          <cell r="F132" t="str">
            <v>DER-BA</v>
          </cell>
          <cell r="G132" t="str">
            <v>Corredores da BA - Lote 1</v>
          </cell>
          <cell r="H132">
            <v>2638847.67</v>
          </cell>
          <cell r="J132">
            <v>34455</v>
          </cell>
          <cell r="K132">
            <v>1</v>
          </cell>
          <cell r="L132">
            <v>1</v>
          </cell>
          <cell r="M132" t="str">
            <v>1º Lugar</v>
          </cell>
        </row>
        <row r="133">
          <cell r="A133">
            <v>1994</v>
          </cell>
          <cell r="B133" t="str">
            <v>NE</v>
          </cell>
          <cell r="C133" t="str">
            <v>-</v>
          </cell>
          <cell r="D133" t="str">
            <v>-</v>
          </cell>
          <cell r="E133" t="str">
            <v>ROD</v>
          </cell>
          <cell r="F133" t="str">
            <v>DER-BA</v>
          </cell>
          <cell r="G133" t="str">
            <v>Corredores da BA - Lote 10</v>
          </cell>
          <cell r="H133">
            <v>3329989.44</v>
          </cell>
          <cell r="J133">
            <v>34455</v>
          </cell>
          <cell r="K133">
            <v>2</v>
          </cell>
          <cell r="L133">
            <v>0</v>
          </cell>
          <cell r="M133" t="str">
            <v>2º Lugar</v>
          </cell>
        </row>
        <row r="134">
          <cell r="A134">
            <v>1994</v>
          </cell>
          <cell r="B134" t="str">
            <v>NE</v>
          </cell>
          <cell r="C134" t="str">
            <v>-</v>
          </cell>
          <cell r="D134" t="str">
            <v>-</v>
          </cell>
          <cell r="E134" t="str">
            <v>ROD</v>
          </cell>
          <cell r="F134" t="str">
            <v>DER-BA</v>
          </cell>
          <cell r="G134" t="str">
            <v>Corredores da BA - Lote 2</v>
          </cell>
          <cell r="H134">
            <v>3447574.73</v>
          </cell>
          <cell r="J134">
            <v>34455</v>
          </cell>
          <cell r="K134">
            <v>1</v>
          </cell>
          <cell r="L134">
            <v>1</v>
          </cell>
          <cell r="M134" t="str">
            <v>1º Lugar</v>
          </cell>
        </row>
        <row r="135">
          <cell r="A135">
            <v>1994</v>
          </cell>
          <cell r="B135" t="str">
            <v>NE</v>
          </cell>
          <cell r="C135" t="str">
            <v>-</v>
          </cell>
          <cell r="D135" t="str">
            <v>-</v>
          </cell>
          <cell r="E135" t="str">
            <v>AER</v>
          </cell>
          <cell r="F135" t="str">
            <v>Infraero</v>
          </cell>
          <cell r="G135" t="str">
            <v>Aeroporto de Campo Grande</v>
          </cell>
          <cell r="H135">
            <v>1030164.18</v>
          </cell>
          <cell r="J135">
            <v>34458</v>
          </cell>
          <cell r="K135">
            <v>6</v>
          </cell>
          <cell r="L135">
            <v>0</v>
          </cell>
          <cell r="M135" t="str">
            <v>6º Lugar</v>
          </cell>
        </row>
        <row r="136">
          <cell r="A136">
            <v>1994</v>
          </cell>
          <cell r="B136" t="str">
            <v>NE</v>
          </cell>
          <cell r="C136" t="str">
            <v>-</v>
          </cell>
          <cell r="D136" t="str">
            <v>-</v>
          </cell>
          <cell r="E136" t="str">
            <v>AER</v>
          </cell>
          <cell r="F136" t="str">
            <v>GICLA</v>
          </cell>
          <cell r="G136" t="str">
            <v>Conclusão do Prédio de Carga Útil</v>
          </cell>
          <cell r="H136">
            <v>394270.36</v>
          </cell>
          <cell r="J136">
            <v>34464</v>
          </cell>
          <cell r="K136">
            <v>1</v>
          </cell>
          <cell r="L136">
            <v>1</v>
          </cell>
          <cell r="M136" t="str">
            <v>1º Lugar</v>
          </cell>
        </row>
        <row r="137">
          <cell r="A137">
            <v>1994</v>
          </cell>
          <cell r="B137" t="str">
            <v>NE</v>
          </cell>
          <cell r="C137" t="str">
            <v>-</v>
          </cell>
          <cell r="D137" t="str">
            <v>-</v>
          </cell>
          <cell r="E137" t="str">
            <v>AER</v>
          </cell>
          <cell r="F137" t="str">
            <v>GICLA</v>
          </cell>
          <cell r="G137" t="str">
            <v>Infra-estrutura do Prédio de Carga Útil</v>
          </cell>
          <cell r="H137">
            <v>114795.52</v>
          </cell>
          <cell r="J137">
            <v>34464</v>
          </cell>
          <cell r="K137">
            <v>1</v>
          </cell>
          <cell r="L137">
            <v>1</v>
          </cell>
          <cell r="M137" t="str">
            <v>1º Lugar</v>
          </cell>
        </row>
        <row r="138">
          <cell r="A138">
            <v>1994</v>
          </cell>
          <cell r="B138" t="str">
            <v>NE</v>
          </cell>
          <cell r="C138" t="str">
            <v>-</v>
          </cell>
          <cell r="D138" t="str">
            <v>-</v>
          </cell>
          <cell r="E138" t="str">
            <v>AER</v>
          </cell>
          <cell r="F138" t="str">
            <v>GICLA</v>
          </cell>
          <cell r="G138" t="str">
            <v>Construção de Bases para NASA</v>
          </cell>
          <cell r="H138">
            <v>114870.93</v>
          </cell>
          <cell r="J138">
            <v>34484</v>
          </cell>
          <cell r="K138">
            <v>1</v>
          </cell>
          <cell r="L138">
            <v>1</v>
          </cell>
          <cell r="M138" t="str">
            <v>1º Lugar</v>
          </cell>
        </row>
        <row r="139">
          <cell r="A139">
            <v>1994</v>
          </cell>
          <cell r="B139" t="str">
            <v>NE</v>
          </cell>
          <cell r="C139" t="str">
            <v>-</v>
          </cell>
          <cell r="D139" t="str">
            <v>-</v>
          </cell>
          <cell r="E139" t="str">
            <v>SAN</v>
          </cell>
          <cell r="F139" t="str">
            <v>CAESB</v>
          </cell>
          <cell r="G139" t="str">
            <v>ETE-Samambaia</v>
          </cell>
          <cell r="H139">
            <v>5241006.68</v>
          </cell>
          <cell r="J139">
            <v>34485</v>
          </cell>
          <cell r="K139">
            <v>5</v>
          </cell>
          <cell r="L139">
            <v>0</v>
          </cell>
          <cell r="M139" t="str">
            <v>5º Lugar</v>
          </cell>
        </row>
        <row r="140">
          <cell r="A140">
            <v>1994</v>
          </cell>
          <cell r="B140" t="str">
            <v>NE</v>
          </cell>
          <cell r="C140" t="str">
            <v>-</v>
          </cell>
          <cell r="D140" t="str">
            <v>-</v>
          </cell>
          <cell r="E140" t="str">
            <v>ENE</v>
          </cell>
          <cell r="F140" t="str">
            <v>Petrobrás</v>
          </cell>
          <cell r="G140" t="str">
            <v>Bases de Tanques em Brasília</v>
          </cell>
          <cell r="H140">
            <v>2641448.2200000002</v>
          </cell>
          <cell r="J140">
            <v>34496</v>
          </cell>
          <cell r="K140">
            <v>2</v>
          </cell>
          <cell r="L140">
            <v>0</v>
          </cell>
          <cell r="M140" t="str">
            <v>2º Lugar</v>
          </cell>
        </row>
        <row r="141">
          <cell r="A141">
            <v>1994</v>
          </cell>
          <cell r="B141" t="str">
            <v>NE</v>
          </cell>
          <cell r="C141" t="str">
            <v>-</v>
          </cell>
          <cell r="D141" t="str">
            <v>-</v>
          </cell>
          <cell r="E141" t="str">
            <v>ENE</v>
          </cell>
          <cell r="F141" t="str">
            <v>Petrobrás</v>
          </cell>
          <cell r="G141" t="str">
            <v>Petrobrás U-75 e 76 - Mataripe</v>
          </cell>
          <cell r="H141">
            <v>3784832.4</v>
          </cell>
          <cell r="J141">
            <v>34506</v>
          </cell>
          <cell r="K141" t="str">
            <v>-</v>
          </cell>
          <cell r="L141">
            <v>0</v>
          </cell>
          <cell r="M141" t="str">
            <v>Cancelada</v>
          </cell>
        </row>
        <row r="142">
          <cell r="A142">
            <v>1994</v>
          </cell>
          <cell r="B142" t="str">
            <v>NE</v>
          </cell>
          <cell r="C142" t="str">
            <v>-</v>
          </cell>
          <cell r="D142" t="str">
            <v>-</v>
          </cell>
          <cell r="E142" t="str">
            <v>AER</v>
          </cell>
          <cell r="F142" t="str">
            <v>CTA</v>
          </cell>
          <cell r="G142" t="str">
            <v>Plataforma de Lançamento do VLS-Alcântara</v>
          </cell>
          <cell r="H142">
            <v>1885484.13</v>
          </cell>
          <cell r="J142">
            <v>34541</v>
          </cell>
          <cell r="K142">
            <v>1</v>
          </cell>
          <cell r="L142">
            <v>1</v>
          </cell>
          <cell r="M142" t="str">
            <v>1º Lugar</v>
          </cell>
        </row>
        <row r="143">
          <cell r="A143">
            <v>1994</v>
          </cell>
          <cell r="B143" t="str">
            <v>NE</v>
          </cell>
          <cell r="C143" t="str">
            <v>-</v>
          </cell>
          <cell r="D143" t="str">
            <v>-</v>
          </cell>
          <cell r="E143" t="str">
            <v>ENE</v>
          </cell>
          <cell r="F143" t="str">
            <v>Petrobrás</v>
          </cell>
          <cell r="G143" t="str">
            <v>Petrobrás U-73 - Mataripe</v>
          </cell>
          <cell r="H143">
            <v>13327354.640000001</v>
          </cell>
          <cell r="J143">
            <v>34600</v>
          </cell>
          <cell r="K143">
            <v>7</v>
          </cell>
          <cell r="L143">
            <v>0</v>
          </cell>
          <cell r="M143" t="str">
            <v>7º Lugar</v>
          </cell>
        </row>
        <row r="144">
          <cell r="A144">
            <v>1994</v>
          </cell>
          <cell r="B144" t="str">
            <v>NE</v>
          </cell>
          <cell r="C144" t="str">
            <v>-</v>
          </cell>
          <cell r="D144" t="str">
            <v>-</v>
          </cell>
          <cell r="E144" t="str">
            <v>ENE</v>
          </cell>
          <cell r="F144" t="str">
            <v>Petrobrás</v>
          </cell>
          <cell r="G144" t="str">
            <v>Petrobrás U-75 e 76 - Mataripe</v>
          </cell>
          <cell r="H144">
            <v>7434889.7999999998</v>
          </cell>
          <cell r="J144">
            <v>34621</v>
          </cell>
          <cell r="K144">
            <v>12</v>
          </cell>
          <cell r="L144">
            <v>0</v>
          </cell>
          <cell r="M144" t="str">
            <v>12º Lugar</v>
          </cell>
        </row>
        <row r="145">
          <cell r="A145">
            <v>1994</v>
          </cell>
          <cell r="B145" t="str">
            <v>NE</v>
          </cell>
          <cell r="C145" t="str">
            <v>-</v>
          </cell>
          <cell r="D145" t="str">
            <v>-</v>
          </cell>
          <cell r="E145" t="str">
            <v>AER</v>
          </cell>
          <cell r="F145" t="str">
            <v>Infraero</v>
          </cell>
          <cell r="G145" t="str">
            <v>Aeroporto de São Luís</v>
          </cell>
          <cell r="H145">
            <v>5709689.75</v>
          </cell>
          <cell r="J145">
            <v>34649</v>
          </cell>
          <cell r="K145">
            <v>18</v>
          </cell>
          <cell r="L145">
            <v>0</v>
          </cell>
          <cell r="M145" t="str">
            <v>18º Lugar</v>
          </cell>
        </row>
        <row r="146">
          <cell r="A146">
            <v>1994</v>
          </cell>
          <cell r="B146" t="str">
            <v>NE</v>
          </cell>
          <cell r="C146" t="str">
            <v>-</v>
          </cell>
          <cell r="D146" t="str">
            <v>-</v>
          </cell>
          <cell r="E146" t="str">
            <v>AER</v>
          </cell>
          <cell r="F146" t="str">
            <v>GICLA</v>
          </cell>
          <cell r="G146" t="str">
            <v>Serviços de Capa Selante</v>
          </cell>
          <cell r="H146">
            <v>4861.22</v>
          </cell>
          <cell r="J146">
            <v>34669</v>
          </cell>
          <cell r="K146">
            <v>1</v>
          </cell>
          <cell r="L146">
            <v>1</v>
          </cell>
          <cell r="M146" t="str">
            <v>1º Lugar</v>
          </cell>
        </row>
        <row r="147">
          <cell r="A147">
            <v>1994</v>
          </cell>
          <cell r="B147" t="str">
            <v>NE</v>
          </cell>
          <cell r="C147" t="str">
            <v>-</v>
          </cell>
          <cell r="D147" t="str">
            <v>-</v>
          </cell>
          <cell r="E147" t="str">
            <v>SAN</v>
          </cell>
          <cell r="F147" t="str">
            <v>CAERN</v>
          </cell>
          <cell r="G147" t="str">
            <v>Açude de Umari</v>
          </cell>
          <cell r="H147">
            <v>19901465.239999998</v>
          </cell>
          <cell r="J147">
            <v>34691</v>
          </cell>
          <cell r="K147">
            <v>7</v>
          </cell>
          <cell r="L147">
            <v>0</v>
          </cell>
          <cell r="M147" t="str">
            <v>7º Lugar</v>
          </cell>
        </row>
        <row r="148">
          <cell r="A148">
            <v>1994</v>
          </cell>
          <cell r="B148" t="str">
            <v>NE</v>
          </cell>
          <cell r="C148" t="str">
            <v>-</v>
          </cell>
          <cell r="D148" t="str">
            <v>-</v>
          </cell>
          <cell r="E148" t="str">
            <v>IND</v>
          </cell>
          <cell r="F148" t="str">
            <v>Tibrás</v>
          </cell>
          <cell r="G148" t="str">
            <v>Serviços Diversos deObras Civis</v>
          </cell>
          <cell r="H148">
            <v>797823.99</v>
          </cell>
          <cell r="J148">
            <v>34778</v>
          </cell>
          <cell r="K148" t="str">
            <v>-</v>
          </cell>
          <cell r="L148">
            <v>0</v>
          </cell>
          <cell r="M148" t="str">
            <v>Perdemos</v>
          </cell>
        </row>
        <row r="149">
          <cell r="A149">
            <v>1994</v>
          </cell>
          <cell r="B149" t="str">
            <v>SE</v>
          </cell>
          <cell r="C149" t="str">
            <v>-</v>
          </cell>
          <cell r="D149" t="str">
            <v>-</v>
          </cell>
          <cell r="E149" t="str">
            <v>IND</v>
          </cell>
          <cell r="F149" t="str">
            <v>Cenibra</v>
          </cell>
          <cell r="G149" t="str">
            <v>Montagem Eletro-mecânica em Belo Oriente</v>
          </cell>
          <cell r="H149">
            <v>10977955.789999999</v>
          </cell>
          <cell r="J149">
            <v>34435</v>
          </cell>
          <cell r="K149" t="str">
            <v>-</v>
          </cell>
          <cell r="L149">
            <v>0</v>
          </cell>
          <cell r="M149" t="str">
            <v>Perdemos</v>
          </cell>
        </row>
        <row r="150">
          <cell r="A150">
            <v>1994</v>
          </cell>
          <cell r="B150" t="str">
            <v>SE</v>
          </cell>
          <cell r="C150" t="str">
            <v>-</v>
          </cell>
          <cell r="D150" t="str">
            <v>-</v>
          </cell>
          <cell r="E150" t="str">
            <v>ENE</v>
          </cell>
          <cell r="F150" t="str">
            <v>CFL</v>
          </cell>
          <cell r="G150" t="str">
            <v>Complementação UHD Neblina III</v>
          </cell>
          <cell r="H150">
            <v>1362186.45</v>
          </cell>
          <cell r="J150">
            <v>34464</v>
          </cell>
          <cell r="K150" t="str">
            <v>-</v>
          </cell>
          <cell r="L150">
            <v>0</v>
          </cell>
          <cell r="M150" t="str">
            <v>1º Lugar - EMPA / Montec</v>
          </cell>
        </row>
        <row r="151">
          <cell r="A151">
            <v>1994</v>
          </cell>
          <cell r="B151" t="str">
            <v>SE</v>
          </cell>
          <cell r="C151" t="str">
            <v>-</v>
          </cell>
          <cell r="D151" t="str">
            <v>-</v>
          </cell>
          <cell r="E151" t="str">
            <v>ENE</v>
          </cell>
          <cell r="F151" t="str">
            <v>CFL</v>
          </cell>
          <cell r="G151" t="str">
            <v>Otimização UHD Cel Domiciano - Muriaé</v>
          </cell>
          <cell r="H151">
            <v>1783696.73</v>
          </cell>
          <cell r="J151">
            <v>34464</v>
          </cell>
          <cell r="K151" t="str">
            <v>-</v>
          </cell>
          <cell r="L151">
            <v>0</v>
          </cell>
          <cell r="M151" t="str">
            <v>1º Lugar - EMPA / Montec</v>
          </cell>
        </row>
        <row r="152">
          <cell r="A152">
            <v>1994</v>
          </cell>
          <cell r="B152" t="str">
            <v>SE</v>
          </cell>
          <cell r="C152" t="str">
            <v>-</v>
          </cell>
          <cell r="D152" t="str">
            <v>-</v>
          </cell>
          <cell r="E152" t="str">
            <v>IND</v>
          </cell>
          <cell r="F152" t="str">
            <v>Souza Cruz</v>
          </cell>
          <cell r="G152" t="str">
            <v>Manutenção Predial em Uberlândia</v>
          </cell>
          <cell r="H152">
            <v>50642</v>
          </cell>
          <cell r="J152">
            <v>34470</v>
          </cell>
          <cell r="K152" t="str">
            <v>-</v>
          </cell>
          <cell r="L152">
            <v>0</v>
          </cell>
          <cell r="M152" t="str">
            <v>Perdemos - Valor Mensal</v>
          </cell>
        </row>
        <row r="153">
          <cell r="A153">
            <v>1994</v>
          </cell>
          <cell r="B153" t="str">
            <v>SE</v>
          </cell>
          <cell r="C153" t="str">
            <v>-</v>
          </cell>
          <cell r="D153" t="str">
            <v>-</v>
          </cell>
          <cell r="E153" t="str">
            <v>URB</v>
          </cell>
          <cell r="F153" t="str">
            <v>PM Serra</v>
          </cell>
          <cell r="G153" t="str">
            <v>Drenagem e Pavimentação de Vias Municipais</v>
          </cell>
          <cell r="H153">
            <v>4051168.54</v>
          </cell>
          <cell r="J153">
            <v>34477</v>
          </cell>
          <cell r="K153" t="str">
            <v>-</v>
          </cell>
          <cell r="L153">
            <v>0</v>
          </cell>
          <cell r="M153" t="str">
            <v>Não entregue</v>
          </cell>
        </row>
        <row r="154">
          <cell r="A154">
            <v>1994</v>
          </cell>
          <cell r="B154" t="str">
            <v>SE</v>
          </cell>
          <cell r="C154" t="str">
            <v>-</v>
          </cell>
          <cell r="D154" t="str">
            <v>-</v>
          </cell>
          <cell r="E154" t="str">
            <v>MIN</v>
          </cell>
          <cell r="F154" t="str">
            <v>CVRD</v>
          </cell>
          <cell r="G154" t="str">
            <v>Minério de Ferro de S.G. do Rio Abaixo</v>
          </cell>
          <cell r="H154">
            <v>42647934</v>
          </cell>
          <cell r="J154">
            <v>34493</v>
          </cell>
          <cell r="K154">
            <v>18</v>
          </cell>
          <cell r="L154">
            <v>0</v>
          </cell>
          <cell r="M154" t="str">
            <v>18º Lugar-Road</v>
          </cell>
        </row>
        <row r="155">
          <cell r="A155">
            <v>1994</v>
          </cell>
          <cell r="B155" t="str">
            <v>SE</v>
          </cell>
          <cell r="C155" t="str">
            <v>-</v>
          </cell>
          <cell r="D155" t="str">
            <v>-</v>
          </cell>
          <cell r="E155" t="str">
            <v>ENE</v>
          </cell>
          <cell r="F155" t="str">
            <v>Petrobrás</v>
          </cell>
          <cell r="G155" t="str">
            <v xml:space="preserve">GASDUC III-Gasoduto </v>
          </cell>
          <cell r="H155">
            <v>4829609.72</v>
          </cell>
          <cell r="J155">
            <v>34496</v>
          </cell>
          <cell r="K155">
            <v>3</v>
          </cell>
          <cell r="L155">
            <v>0</v>
          </cell>
          <cell r="M155" t="str">
            <v>3º Lugar - Mendes Júnior</v>
          </cell>
        </row>
        <row r="156">
          <cell r="A156">
            <v>1994</v>
          </cell>
          <cell r="B156" t="str">
            <v>SE</v>
          </cell>
          <cell r="C156" t="str">
            <v>-</v>
          </cell>
          <cell r="D156" t="str">
            <v>-</v>
          </cell>
          <cell r="E156" t="str">
            <v>DIV</v>
          </cell>
          <cell r="F156" t="str">
            <v>Telemig</v>
          </cell>
          <cell r="G156" t="str">
            <v>Centro de Treinamento de Juiz de Fora</v>
          </cell>
          <cell r="H156">
            <v>2872163</v>
          </cell>
          <cell r="J156">
            <v>34498</v>
          </cell>
          <cell r="K156">
            <v>14</v>
          </cell>
          <cell r="L156">
            <v>0</v>
          </cell>
          <cell r="M156" t="str">
            <v>14º Lugar-EMEC</v>
          </cell>
        </row>
        <row r="157">
          <cell r="A157">
            <v>1994</v>
          </cell>
          <cell r="B157" t="str">
            <v>SE</v>
          </cell>
          <cell r="C157" t="str">
            <v>-</v>
          </cell>
          <cell r="D157" t="str">
            <v>-</v>
          </cell>
          <cell r="E157" t="str">
            <v>URB</v>
          </cell>
          <cell r="F157" t="str">
            <v>PM Juiz de Fora</v>
          </cell>
          <cell r="G157" t="str">
            <v>Obras Viárias da Avenida Independência</v>
          </cell>
          <cell r="H157">
            <v>1756230.49</v>
          </cell>
          <cell r="J157">
            <v>34499</v>
          </cell>
          <cell r="K157" t="str">
            <v>-</v>
          </cell>
          <cell r="L157">
            <v>0</v>
          </cell>
          <cell r="M157" t="str">
            <v>Não entregue</v>
          </cell>
        </row>
        <row r="158">
          <cell r="A158">
            <v>1994</v>
          </cell>
          <cell r="B158" t="str">
            <v>SE</v>
          </cell>
          <cell r="C158" t="str">
            <v>-</v>
          </cell>
          <cell r="D158" t="str">
            <v>-</v>
          </cell>
          <cell r="E158" t="str">
            <v>ROD</v>
          </cell>
          <cell r="F158" t="str">
            <v>PM Juiz de Fora</v>
          </cell>
          <cell r="G158" t="str">
            <v>Acesso Norte-Trevo do Rotary</v>
          </cell>
          <cell r="H158">
            <v>5084176.03</v>
          </cell>
          <cell r="J158">
            <v>34506</v>
          </cell>
          <cell r="K158">
            <v>9</v>
          </cell>
          <cell r="L158">
            <v>0</v>
          </cell>
          <cell r="M158" t="str">
            <v>9º Lugar-U.E.M.</v>
          </cell>
        </row>
        <row r="159">
          <cell r="A159">
            <v>1994</v>
          </cell>
          <cell r="B159" t="str">
            <v>SE</v>
          </cell>
          <cell r="C159" t="str">
            <v>-</v>
          </cell>
          <cell r="D159" t="str">
            <v>-</v>
          </cell>
          <cell r="E159" t="str">
            <v>ROD</v>
          </cell>
          <cell r="F159" t="str">
            <v>GET</v>
          </cell>
          <cell r="G159" t="str">
            <v>TO-020-Palmas / Aparecida do Rio Negro</v>
          </cell>
          <cell r="H159">
            <v>9595388.5600000005</v>
          </cell>
          <cell r="J159">
            <v>34515</v>
          </cell>
          <cell r="K159">
            <v>1</v>
          </cell>
          <cell r="L159">
            <v>1</v>
          </cell>
          <cell r="M159" t="str">
            <v>1º Lugar</v>
          </cell>
        </row>
        <row r="160">
          <cell r="A160">
            <v>1994</v>
          </cell>
          <cell r="B160" t="str">
            <v>SE</v>
          </cell>
          <cell r="C160" t="str">
            <v>-</v>
          </cell>
          <cell r="D160" t="str">
            <v>-</v>
          </cell>
          <cell r="E160" t="str">
            <v>SAN</v>
          </cell>
          <cell r="F160" t="str">
            <v>Cesan</v>
          </cell>
          <cell r="G160" t="str">
            <v>Sistema de Esgotamento da Bacia B-4</v>
          </cell>
          <cell r="H160">
            <v>5220631</v>
          </cell>
          <cell r="J160">
            <v>34521</v>
          </cell>
          <cell r="K160">
            <v>16</v>
          </cell>
          <cell r="L160">
            <v>0</v>
          </cell>
          <cell r="M160" t="str">
            <v>16º Lugar-Carioca Engª</v>
          </cell>
        </row>
        <row r="161">
          <cell r="A161">
            <v>1994</v>
          </cell>
          <cell r="B161" t="str">
            <v>SE</v>
          </cell>
          <cell r="C161" t="str">
            <v>-</v>
          </cell>
          <cell r="D161" t="str">
            <v>-</v>
          </cell>
          <cell r="E161" t="str">
            <v>SAN</v>
          </cell>
          <cell r="F161" t="str">
            <v>Cesan</v>
          </cell>
          <cell r="G161" t="str">
            <v>Sistema de Esgotamento da Bacia B-13</v>
          </cell>
          <cell r="H161">
            <v>11208864.35</v>
          </cell>
          <cell r="J161">
            <v>34522</v>
          </cell>
          <cell r="K161">
            <v>16</v>
          </cell>
          <cell r="L161">
            <v>0</v>
          </cell>
          <cell r="M161" t="str">
            <v>16º Lugar-Carioca Engª</v>
          </cell>
        </row>
        <row r="162">
          <cell r="A162">
            <v>1994</v>
          </cell>
          <cell r="B162" t="str">
            <v>SE</v>
          </cell>
          <cell r="C162" t="str">
            <v>-</v>
          </cell>
          <cell r="D162" t="str">
            <v>-</v>
          </cell>
          <cell r="E162" t="str">
            <v>SAN</v>
          </cell>
          <cell r="F162" t="str">
            <v>Cesan</v>
          </cell>
          <cell r="G162" t="str">
            <v>Sistema de Esgoto da Praia do Morro</v>
          </cell>
          <cell r="H162">
            <v>4351704.62</v>
          </cell>
          <cell r="J162">
            <v>34523</v>
          </cell>
          <cell r="K162">
            <v>13</v>
          </cell>
          <cell r="L162">
            <v>0</v>
          </cell>
          <cell r="M162" t="str">
            <v>13º Lugar-Carioca Engª</v>
          </cell>
        </row>
        <row r="163">
          <cell r="A163">
            <v>1994</v>
          </cell>
          <cell r="B163" t="str">
            <v>SE</v>
          </cell>
          <cell r="C163" t="str">
            <v>-</v>
          </cell>
          <cell r="D163" t="str">
            <v>-</v>
          </cell>
          <cell r="E163" t="str">
            <v>HAB</v>
          </cell>
          <cell r="F163" t="str">
            <v>PM Palmas</v>
          </cell>
          <cell r="G163" t="str">
            <v>Casa em Palmas</v>
          </cell>
          <cell r="H163">
            <v>6846527.4199999999</v>
          </cell>
          <cell r="J163">
            <v>34561</v>
          </cell>
          <cell r="K163" t="str">
            <v>-</v>
          </cell>
          <cell r="L163">
            <v>0</v>
          </cell>
          <cell r="M163" t="str">
            <v>Perdemos</v>
          </cell>
        </row>
        <row r="164">
          <cell r="A164">
            <v>1994</v>
          </cell>
          <cell r="B164" t="str">
            <v>SE</v>
          </cell>
          <cell r="C164" t="str">
            <v>-</v>
          </cell>
          <cell r="D164" t="str">
            <v>-</v>
          </cell>
          <cell r="E164" t="str">
            <v>HAB</v>
          </cell>
          <cell r="F164" t="str">
            <v>Conterra</v>
          </cell>
          <cell r="G164" t="str">
            <v>Protech-316 Casas Populares em Contagem</v>
          </cell>
          <cell r="H164">
            <v>2124862.2000000002</v>
          </cell>
          <cell r="J164">
            <v>34562</v>
          </cell>
          <cell r="K164">
            <v>3</v>
          </cell>
          <cell r="L164">
            <v>0</v>
          </cell>
          <cell r="M164" t="str">
            <v>3º Lugar-Coneme</v>
          </cell>
        </row>
        <row r="165">
          <cell r="A165">
            <v>1994</v>
          </cell>
          <cell r="B165" t="str">
            <v>SE</v>
          </cell>
          <cell r="C165" t="str">
            <v>-</v>
          </cell>
          <cell r="D165" t="str">
            <v>-</v>
          </cell>
          <cell r="E165" t="str">
            <v>JUST</v>
          </cell>
          <cell r="F165" t="str">
            <v>Tr. Alçada MG</v>
          </cell>
          <cell r="G165" t="str">
            <v>Construção de Prédio de 19 andares</v>
          </cell>
          <cell r="H165">
            <v>3113036.88</v>
          </cell>
          <cell r="J165">
            <v>34569</v>
          </cell>
          <cell r="K165">
            <v>5</v>
          </cell>
          <cell r="L165">
            <v>0</v>
          </cell>
          <cell r="M165" t="str">
            <v>5º Lugar-Collen</v>
          </cell>
        </row>
        <row r="166">
          <cell r="A166">
            <v>1994</v>
          </cell>
          <cell r="B166" t="str">
            <v>SE</v>
          </cell>
          <cell r="C166" t="str">
            <v>-</v>
          </cell>
          <cell r="D166" t="str">
            <v>-</v>
          </cell>
          <cell r="E166" t="str">
            <v>ROD</v>
          </cell>
          <cell r="F166" t="str">
            <v>GET</v>
          </cell>
          <cell r="G166" t="str">
            <v>TO-280-Natividade / Almas-Lote 3</v>
          </cell>
          <cell r="H166">
            <v>5520841.7999999998</v>
          </cell>
          <cell r="J166">
            <v>34578</v>
          </cell>
          <cell r="K166">
            <v>6</v>
          </cell>
          <cell r="L166">
            <v>0</v>
          </cell>
          <cell r="M166" t="str">
            <v>6º Lugar-Pavitergo</v>
          </cell>
        </row>
        <row r="167">
          <cell r="A167">
            <v>1994</v>
          </cell>
          <cell r="B167" t="str">
            <v>SE</v>
          </cell>
          <cell r="C167" t="str">
            <v>-</v>
          </cell>
          <cell r="D167" t="str">
            <v>-</v>
          </cell>
          <cell r="E167" t="str">
            <v>ROD</v>
          </cell>
          <cell r="F167" t="str">
            <v>GET</v>
          </cell>
          <cell r="G167" t="str">
            <v>TO-040-Novo Jardim / Divisa TO-BA</v>
          </cell>
          <cell r="H167">
            <v>5001080.3899999997</v>
          </cell>
          <cell r="J167">
            <v>34578</v>
          </cell>
          <cell r="K167">
            <v>6</v>
          </cell>
          <cell r="L167">
            <v>0</v>
          </cell>
          <cell r="M167" t="str">
            <v>6º Lugar-Warre</v>
          </cell>
        </row>
        <row r="168">
          <cell r="A168">
            <v>1994</v>
          </cell>
          <cell r="B168" t="str">
            <v>SE</v>
          </cell>
          <cell r="C168" t="str">
            <v>-</v>
          </cell>
          <cell r="D168" t="str">
            <v>-</v>
          </cell>
          <cell r="E168" t="str">
            <v>ROD</v>
          </cell>
          <cell r="F168" t="str">
            <v>GET</v>
          </cell>
          <cell r="G168" t="str">
            <v>TO-040-Almas / Divinópolis-Lote 4</v>
          </cell>
          <cell r="H168">
            <v>4561886.3600000003</v>
          </cell>
          <cell r="J168">
            <v>34578</v>
          </cell>
          <cell r="K168">
            <v>5</v>
          </cell>
          <cell r="L168">
            <v>0</v>
          </cell>
          <cell r="M168" t="str">
            <v>5º Lugar-Pavitergo</v>
          </cell>
        </row>
        <row r="169">
          <cell r="A169">
            <v>1994</v>
          </cell>
          <cell r="B169" t="str">
            <v>SE</v>
          </cell>
          <cell r="C169" t="str">
            <v>-</v>
          </cell>
          <cell r="D169" t="str">
            <v>-</v>
          </cell>
          <cell r="E169" t="str">
            <v>ROD</v>
          </cell>
          <cell r="F169" t="str">
            <v>GET</v>
          </cell>
          <cell r="G169" t="str">
            <v>TO-050-Santa Rosa / Natividade-Lote 2</v>
          </cell>
          <cell r="H169">
            <v>4656635.47</v>
          </cell>
          <cell r="J169">
            <v>34578</v>
          </cell>
          <cell r="K169">
            <v>1</v>
          </cell>
          <cell r="L169">
            <v>1</v>
          </cell>
          <cell r="M169" t="str">
            <v>1º Lugar</v>
          </cell>
        </row>
        <row r="170">
          <cell r="A170">
            <v>1994</v>
          </cell>
          <cell r="B170" t="str">
            <v>SE</v>
          </cell>
          <cell r="C170" t="str">
            <v>-</v>
          </cell>
          <cell r="D170" t="str">
            <v>-</v>
          </cell>
          <cell r="E170" t="str">
            <v>ROD</v>
          </cell>
          <cell r="F170" t="str">
            <v>GET</v>
          </cell>
          <cell r="G170" t="str">
            <v>TO-050-Silvanópolis / Santa Rosa</v>
          </cell>
          <cell r="H170">
            <v>2681794.41</v>
          </cell>
          <cell r="J170">
            <v>34578</v>
          </cell>
          <cell r="K170">
            <v>5</v>
          </cell>
          <cell r="L170">
            <v>0</v>
          </cell>
          <cell r="M170" t="str">
            <v>5º Lugar-Pavitergo</v>
          </cell>
        </row>
        <row r="171">
          <cell r="A171">
            <v>1994</v>
          </cell>
          <cell r="B171" t="str">
            <v>SE</v>
          </cell>
          <cell r="C171" t="str">
            <v>-</v>
          </cell>
          <cell r="D171" t="str">
            <v>-</v>
          </cell>
          <cell r="E171" t="str">
            <v>ROD</v>
          </cell>
          <cell r="F171" t="str">
            <v>GET</v>
          </cell>
          <cell r="G171" t="str">
            <v>TO-255/BR-153-Porto Nacional</v>
          </cell>
          <cell r="H171">
            <v>2286474.1</v>
          </cell>
          <cell r="J171">
            <v>34578</v>
          </cell>
          <cell r="K171">
            <v>3</v>
          </cell>
          <cell r="L171">
            <v>0</v>
          </cell>
          <cell r="M171" t="str">
            <v>3º Lugar-Pavitergo</v>
          </cell>
        </row>
        <row r="172">
          <cell r="A172">
            <v>1994</v>
          </cell>
          <cell r="B172" t="str">
            <v>SE</v>
          </cell>
          <cell r="C172" t="str">
            <v>-</v>
          </cell>
          <cell r="D172" t="str">
            <v>-</v>
          </cell>
          <cell r="E172" t="str">
            <v>ROD</v>
          </cell>
          <cell r="F172" t="str">
            <v>GET</v>
          </cell>
          <cell r="G172" t="str">
            <v>TO-040-Dianápolis / Novo Jardim-Lote 5</v>
          </cell>
          <cell r="H172">
            <v>3922191.39</v>
          </cell>
          <cell r="J172">
            <v>34578</v>
          </cell>
          <cell r="K172">
            <v>7</v>
          </cell>
          <cell r="L172">
            <v>0</v>
          </cell>
          <cell r="M172" t="str">
            <v>7º Lugar-Pavitergo</v>
          </cell>
        </row>
        <row r="173">
          <cell r="A173">
            <v>1994</v>
          </cell>
          <cell r="B173" t="str">
            <v>SE</v>
          </cell>
          <cell r="C173" t="str">
            <v>-</v>
          </cell>
          <cell r="D173" t="str">
            <v>-</v>
          </cell>
          <cell r="E173" t="str">
            <v>TRUR</v>
          </cell>
          <cell r="F173" t="str">
            <v>Contec</v>
          </cell>
          <cell r="G173" t="str">
            <v>Terminal Urbano de Uberlândia</v>
          </cell>
          <cell r="H173">
            <v>3832767.05</v>
          </cell>
          <cell r="J173">
            <v>34592</v>
          </cell>
          <cell r="K173" t="str">
            <v>-</v>
          </cell>
          <cell r="L173">
            <v>0</v>
          </cell>
          <cell r="M173" t="str">
            <v>Cancelada</v>
          </cell>
        </row>
        <row r="174">
          <cell r="A174">
            <v>1994</v>
          </cell>
          <cell r="B174" t="str">
            <v>SE</v>
          </cell>
          <cell r="C174" t="str">
            <v>-</v>
          </cell>
          <cell r="D174" t="str">
            <v>-</v>
          </cell>
          <cell r="E174" t="str">
            <v>IND</v>
          </cell>
          <cell r="F174" t="str">
            <v>Embraplan</v>
          </cell>
          <cell r="G174" t="str">
            <v>Shopping Diamond Mall</v>
          </cell>
          <cell r="H174">
            <v>25867969.960000001</v>
          </cell>
          <cell r="J174">
            <v>34604</v>
          </cell>
          <cell r="K174" t="str">
            <v>-</v>
          </cell>
          <cell r="L174">
            <v>0</v>
          </cell>
          <cell r="M174" t="str">
            <v>1º Lugar-Schain Cury</v>
          </cell>
        </row>
        <row r="175">
          <cell r="A175">
            <v>1994</v>
          </cell>
          <cell r="B175" t="str">
            <v>SE</v>
          </cell>
          <cell r="C175" t="str">
            <v>-</v>
          </cell>
          <cell r="D175" t="str">
            <v>-</v>
          </cell>
          <cell r="E175" t="str">
            <v>NAV</v>
          </cell>
          <cell r="F175" t="str">
            <v>CVRD</v>
          </cell>
          <cell r="G175" t="str">
            <v>Terminal de Granéis Líquidos de Tubarão</v>
          </cell>
          <cell r="H175">
            <v>2293120.21</v>
          </cell>
          <cell r="J175">
            <v>34612</v>
          </cell>
          <cell r="K175">
            <v>10</v>
          </cell>
          <cell r="L175">
            <v>0</v>
          </cell>
          <cell r="M175" t="str">
            <v>10º Lugar-Fundasa</v>
          </cell>
        </row>
        <row r="176">
          <cell r="A176">
            <v>1994</v>
          </cell>
          <cell r="B176" t="str">
            <v>SE</v>
          </cell>
          <cell r="C176" t="str">
            <v>-</v>
          </cell>
          <cell r="D176" t="str">
            <v>-</v>
          </cell>
          <cell r="E176" t="str">
            <v>IND</v>
          </cell>
          <cell r="F176" t="str">
            <v>Center Shop.</v>
          </cell>
          <cell r="G176" t="str">
            <v>Hotel Plaza Inn - Uberlândia</v>
          </cell>
          <cell r="H176">
            <v>6165834.3700000001</v>
          </cell>
          <cell r="J176">
            <v>34628</v>
          </cell>
          <cell r="K176" t="str">
            <v>-</v>
          </cell>
          <cell r="L176">
            <v>0</v>
          </cell>
          <cell r="M176" t="str">
            <v>Perdemos</v>
          </cell>
        </row>
        <row r="177">
          <cell r="A177">
            <v>1994</v>
          </cell>
          <cell r="B177" t="str">
            <v>SE</v>
          </cell>
          <cell r="C177" t="str">
            <v>-</v>
          </cell>
          <cell r="D177" t="str">
            <v>-</v>
          </cell>
          <cell r="E177" t="str">
            <v>ENE</v>
          </cell>
          <cell r="F177" t="str">
            <v>Petrobrás</v>
          </cell>
          <cell r="G177" t="str">
            <v>Esferas de Armazenamento de GLP</v>
          </cell>
          <cell r="H177">
            <v>41018766.759999998</v>
          </cell>
          <cell r="J177">
            <v>34649</v>
          </cell>
          <cell r="K177" t="str">
            <v>-</v>
          </cell>
          <cell r="L177">
            <v>0</v>
          </cell>
          <cell r="M177" t="str">
            <v>Inabilitados</v>
          </cell>
        </row>
        <row r="178">
          <cell r="A178">
            <v>1994</v>
          </cell>
          <cell r="B178" t="str">
            <v>SE</v>
          </cell>
          <cell r="C178" t="str">
            <v>-</v>
          </cell>
          <cell r="D178" t="str">
            <v>-</v>
          </cell>
          <cell r="E178" t="str">
            <v>ROD</v>
          </cell>
          <cell r="F178" t="str">
            <v>DER-GO</v>
          </cell>
          <cell r="G178" t="str">
            <v>GO-Serranópolis / Itumirim Aporé</v>
          </cell>
          <cell r="H178">
            <v>12846234.779999999</v>
          </cell>
          <cell r="J178">
            <v>34683</v>
          </cell>
          <cell r="K178" t="str">
            <v>-</v>
          </cell>
          <cell r="L178">
            <v>0</v>
          </cell>
          <cell r="M178" t="str">
            <v>Não entregue</v>
          </cell>
        </row>
        <row r="179">
          <cell r="A179">
            <v>1994</v>
          </cell>
          <cell r="B179" t="str">
            <v>SE</v>
          </cell>
          <cell r="C179" t="str">
            <v>-</v>
          </cell>
          <cell r="D179" t="str">
            <v>-</v>
          </cell>
          <cell r="E179" t="str">
            <v>URB</v>
          </cell>
          <cell r="F179" t="str">
            <v>PM Goiânia</v>
          </cell>
          <cell r="G179" t="str">
            <v>Avenida Leste-Oeste</v>
          </cell>
          <cell r="H179">
            <v>19142952</v>
          </cell>
          <cell r="J179">
            <v>34714</v>
          </cell>
          <cell r="K179">
            <v>1</v>
          </cell>
          <cell r="L179">
            <v>1</v>
          </cell>
          <cell r="M179" t="str">
            <v>1º Lugar</v>
          </cell>
        </row>
        <row r="180">
          <cell r="A180">
            <v>1994</v>
          </cell>
          <cell r="B180" t="str">
            <v>SE</v>
          </cell>
          <cell r="C180" t="str">
            <v>-</v>
          </cell>
          <cell r="D180" t="str">
            <v>-</v>
          </cell>
          <cell r="E180" t="str">
            <v>TRUR</v>
          </cell>
          <cell r="F180" t="str">
            <v xml:space="preserve"> Contec</v>
          </cell>
          <cell r="G180" t="str">
            <v>Terminal de Integração de Uberlândia</v>
          </cell>
          <cell r="H180">
            <v>8465426.8499999996</v>
          </cell>
          <cell r="J180">
            <v>34715</v>
          </cell>
          <cell r="K180">
            <v>1</v>
          </cell>
          <cell r="L180">
            <v>1</v>
          </cell>
          <cell r="M180" t="str">
            <v>1º Lugar</v>
          </cell>
        </row>
        <row r="181">
          <cell r="A181">
            <v>1994</v>
          </cell>
          <cell r="B181" t="str">
            <v>SE</v>
          </cell>
          <cell r="C181" t="str">
            <v>-</v>
          </cell>
          <cell r="D181" t="str">
            <v>-</v>
          </cell>
          <cell r="E181" t="str">
            <v>IND</v>
          </cell>
          <cell r="F181" t="str">
            <v>Brahma</v>
          </cell>
          <cell r="G181" t="str">
            <v>Estrutura-Obras Civis-Projeto 243-RJ</v>
          </cell>
          <cell r="H181">
            <v>4680330.97</v>
          </cell>
          <cell r="J181">
            <v>34715</v>
          </cell>
          <cell r="K181">
            <v>1</v>
          </cell>
          <cell r="L181">
            <v>1</v>
          </cell>
          <cell r="M181" t="str">
            <v>1º Lugar</v>
          </cell>
        </row>
        <row r="182">
          <cell r="A182">
            <v>1994</v>
          </cell>
          <cell r="B182" t="str">
            <v>SE</v>
          </cell>
          <cell r="C182" t="str">
            <v>-</v>
          </cell>
          <cell r="D182" t="str">
            <v>-</v>
          </cell>
          <cell r="E182" t="str">
            <v>SAN</v>
          </cell>
          <cell r="F182" t="str">
            <v>COPASA</v>
          </cell>
          <cell r="G182" t="str">
            <v>Interceptores e Coletores de Esgoto-Arrudas</v>
          </cell>
          <cell r="H182">
            <v>1107116.82</v>
          </cell>
          <cell r="J182">
            <v>34725</v>
          </cell>
          <cell r="K182">
            <v>1</v>
          </cell>
          <cell r="L182">
            <v>1</v>
          </cell>
          <cell r="M182" t="str">
            <v>1º Lugar</v>
          </cell>
        </row>
        <row r="183">
          <cell r="A183">
            <v>1994</v>
          </cell>
          <cell r="B183" t="str">
            <v>SE</v>
          </cell>
          <cell r="C183" t="str">
            <v>-</v>
          </cell>
          <cell r="D183" t="str">
            <v>-</v>
          </cell>
          <cell r="E183" t="str">
            <v>ROD</v>
          </cell>
          <cell r="F183" t="str">
            <v>DNER</v>
          </cell>
          <cell r="G183" t="str">
            <v>Duplicação da BR-040</v>
          </cell>
          <cell r="H183">
            <v>13081300.439999999</v>
          </cell>
          <cell r="J183">
            <v>34743</v>
          </cell>
          <cell r="K183" t="str">
            <v>-</v>
          </cell>
          <cell r="L183">
            <v>0</v>
          </cell>
          <cell r="M183" t="str">
            <v>Cancelada</v>
          </cell>
        </row>
        <row r="184">
          <cell r="A184">
            <v>1994</v>
          </cell>
          <cell r="B184" t="str">
            <v>SE</v>
          </cell>
          <cell r="C184" t="str">
            <v>-</v>
          </cell>
          <cell r="D184" t="str">
            <v>-</v>
          </cell>
          <cell r="E184" t="str">
            <v>ROD</v>
          </cell>
          <cell r="F184" t="str">
            <v>DNER</v>
          </cell>
          <cell r="G184" t="str">
            <v>BR-050-Ponte sobre o Rio Grande</v>
          </cell>
          <cell r="H184">
            <v>6671968.5199999996</v>
          </cell>
          <cell r="J184">
            <v>34746</v>
          </cell>
          <cell r="K184" t="str">
            <v>-</v>
          </cell>
          <cell r="L184">
            <v>0</v>
          </cell>
          <cell r="M184" t="str">
            <v>Perdemos</v>
          </cell>
        </row>
        <row r="185">
          <cell r="A185">
            <v>1994</v>
          </cell>
          <cell r="B185" t="str">
            <v>SE</v>
          </cell>
          <cell r="C185" t="str">
            <v>-</v>
          </cell>
          <cell r="D185" t="str">
            <v>-</v>
          </cell>
          <cell r="E185" t="str">
            <v>IND</v>
          </cell>
          <cell r="F185" t="str">
            <v>Brahma</v>
          </cell>
          <cell r="G185" t="str">
            <v>Adutora da Fábrica de Campo Grande-RJ</v>
          </cell>
          <cell r="H185">
            <v>8134388.4699999997</v>
          </cell>
          <cell r="J185">
            <v>34773</v>
          </cell>
          <cell r="K185" t="str">
            <v>-</v>
          </cell>
          <cell r="L185">
            <v>0</v>
          </cell>
          <cell r="M185" t="str">
            <v>1º Lugar-Faulhaber</v>
          </cell>
        </row>
        <row r="186">
          <cell r="A186">
            <v>1994</v>
          </cell>
          <cell r="B186" t="str">
            <v>SE</v>
          </cell>
          <cell r="C186" t="str">
            <v>-</v>
          </cell>
          <cell r="D186" t="str">
            <v>-</v>
          </cell>
          <cell r="E186" t="str">
            <v>IND</v>
          </cell>
          <cell r="F186" t="str">
            <v>Brahma</v>
          </cell>
          <cell r="G186" t="str">
            <v>Adutora da Fábrica de Campo Grande-RJ</v>
          </cell>
          <cell r="H186">
            <v>7463501.21</v>
          </cell>
          <cell r="J186">
            <v>34773</v>
          </cell>
          <cell r="K186" t="str">
            <v>-</v>
          </cell>
          <cell r="L186">
            <v>0</v>
          </cell>
          <cell r="M186" t="str">
            <v>1º Lugar-Faulhaber</v>
          </cell>
        </row>
        <row r="187">
          <cell r="A187">
            <v>1994</v>
          </cell>
          <cell r="B187" t="str">
            <v>SE</v>
          </cell>
          <cell r="C187" t="str">
            <v>-</v>
          </cell>
          <cell r="D187" t="str">
            <v>-</v>
          </cell>
          <cell r="E187" t="str">
            <v>IND</v>
          </cell>
          <cell r="F187" t="str">
            <v>Brahma</v>
          </cell>
          <cell r="G187" t="str">
            <v>Pavimentação e Arruamento da Fábrica</v>
          </cell>
          <cell r="H187">
            <v>5422294.29</v>
          </cell>
          <cell r="J187">
            <v>34788</v>
          </cell>
          <cell r="K187" t="str">
            <v>-</v>
          </cell>
          <cell r="L187">
            <v>0</v>
          </cell>
          <cell r="M187" t="str">
            <v>Perdemos</v>
          </cell>
        </row>
        <row r="188">
          <cell r="A188">
            <v>1994</v>
          </cell>
          <cell r="B188" t="str">
            <v>SL</v>
          </cell>
          <cell r="C188" t="str">
            <v>-</v>
          </cell>
          <cell r="D188" t="str">
            <v>-</v>
          </cell>
          <cell r="E188" t="str">
            <v>ROD</v>
          </cell>
          <cell r="F188" t="str">
            <v>DER-PR</v>
          </cell>
          <cell r="G188" t="str">
            <v>PR-092-Cerro Azul / R.B. do Sul-Lote 1</v>
          </cell>
          <cell r="H188">
            <v>5236139.1399999997</v>
          </cell>
          <cell r="J188" t="str">
            <v>-</v>
          </cell>
          <cell r="K188" t="str">
            <v>-</v>
          </cell>
          <cell r="L188">
            <v>0</v>
          </cell>
          <cell r="M188" t="str">
            <v>Adiada</v>
          </cell>
        </row>
        <row r="189">
          <cell r="A189">
            <v>1994</v>
          </cell>
          <cell r="B189" t="str">
            <v>SL</v>
          </cell>
          <cell r="C189" t="str">
            <v>-</v>
          </cell>
          <cell r="D189" t="str">
            <v>-</v>
          </cell>
          <cell r="E189" t="str">
            <v>HAB</v>
          </cell>
          <cell r="F189" t="str">
            <v>Rio Sul</v>
          </cell>
          <cell r="G189" t="str">
            <v>Galpão no AFP para Rio Sul</v>
          </cell>
          <cell r="H189">
            <v>93862.25</v>
          </cell>
          <cell r="J189" t="str">
            <v>-</v>
          </cell>
          <cell r="K189" t="str">
            <v>-</v>
          </cell>
          <cell r="L189">
            <v>0</v>
          </cell>
          <cell r="M189" t="str">
            <v>Não entregue</v>
          </cell>
        </row>
        <row r="190">
          <cell r="A190">
            <v>1994</v>
          </cell>
          <cell r="B190" t="str">
            <v>SL</v>
          </cell>
          <cell r="C190" t="str">
            <v>-</v>
          </cell>
          <cell r="D190" t="str">
            <v>-</v>
          </cell>
          <cell r="E190" t="str">
            <v>ROD</v>
          </cell>
          <cell r="F190" t="str">
            <v>DER-PR</v>
          </cell>
          <cell r="G190" t="str">
            <v>PR-092-Cerro Azul / R.B. do Sul-Lote 2</v>
          </cell>
          <cell r="H190">
            <v>4791995.34</v>
          </cell>
          <cell r="J190" t="str">
            <v>-</v>
          </cell>
          <cell r="K190" t="str">
            <v>-</v>
          </cell>
          <cell r="L190">
            <v>0</v>
          </cell>
          <cell r="M190" t="str">
            <v>Adiada</v>
          </cell>
        </row>
        <row r="191">
          <cell r="A191">
            <v>1994</v>
          </cell>
          <cell r="B191" t="str">
            <v>SL</v>
          </cell>
          <cell r="C191" t="str">
            <v>-</v>
          </cell>
          <cell r="D191" t="str">
            <v>-</v>
          </cell>
          <cell r="E191" t="str">
            <v>IND</v>
          </cell>
          <cell r="F191" t="str">
            <v>CCPRB</v>
          </cell>
          <cell r="G191" t="str">
            <v>Obras Civis da Fábrica de Cimento de Rio Branco</v>
          </cell>
          <cell r="H191">
            <v>2063608.3</v>
          </cell>
          <cell r="J191">
            <v>34453</v>
          </cell>
          <cell r="K191">
            <v>3</v>
          </cell>
          <cell r="L191">
            <v>0</v>
          </cell>
          <cell r="M191" t="str">
            <v>3º Lugar-M.Roscoe</v>
          </cell>
        </row>
        <row r="192">
          <cell r="A192">
            <v>1994</v>
          </cell>
          <cell r="B192" t="str">
            <v>SL</v>
          </cell>
          <cell r="C192" t="str">
            <v>-</v>
          </cell>
          <cell r="D192" t="str">
            <v>-</v>
          </cell>
          <cell r="E192" t="str">
            <v>ROD</v>
          </cell>
          <cell r="F192" t="str">
            <v>DER-PR</v>
          </cell>
          <cell r="G192" t="str">
            <v>PR-151-Castro / Piraí do Sul</v>
          </cell>
          <cell r="H192">
            <v>6190349.3099999996</v>
          </cell>
          <cell r="J192">
            <v>34479</v>
          </cell>
          <cell r="K192" t="str">
            <v>-</v>
          </cell>
          <cell r="L192">
            <v>0</v>
          </cell>
          <cell r="M192" t="str">
            <v>Adiada</v>
          </cell>
        </row>
        <row r="193">
          <cell r="A193">
            <v>1994</v>
          </cell>
          <cell r="B193" t="str">
            <v>SL</v>
          </cell>
          <cell r="C193" t="str">
            <v>-</v>
          </cell>
          <cell r="D193" t="str">
            <v>-</v>
          </cell>
          <cell r="E193" t="str">
            <v>ROD</v>
          </cell>
          <cell r="F193" t="str">
            <v>DER-PR</v>
          </cell>
          <cell r="G193" t="str">
            <v>PRT-487-Campo Mourão / C. Oeste-Lote 2</v>
          </cell>
          <cell r="H193">
            <v>4507404.66</v>
          </cell>
          <cell r="J193">
            <v>34479</v>
          </cell>
          <cell r="K193" t="str">
            <v>-</v>
          </cell>
          <cell r="L193">
            <v>0</v>
          </cell>
          <cell r="M193" t="str">
            <v>Adiada</v>
          </cell>
        </row>
        <row r="194">
          <cell r="A194">
            <v>1994</v>
          </cell>
          <cell r="B194" t="str">
            <v>SL</v>
          </cell>
          <cell r="C194" t="str">
            <v>-</v>
          </cell>
          <cell r="D194" t="str">
            <v>-</v>
          </cell>
          <cell r="E194" t="str">
            <v>ROD</v>
          </cell>
          <cell r="F194" t="str">
            <v>DER-PR</v>
          </cell>
          <cell r="G194" t="str">
            <v>PRT-487-Campo Mourão / C. Oeste-Lote 1</v>
          </cell>
          <cell r="H194">
            <v>6429271.7599999998</v>
          </cell>
          <cell r="J194">
            <v>34479</v>
          </cell>
          <cell r="K194" t="str">
            <v>-</v>
          </cell>
          <cell r="L194">
            <v>0</v>
          </cell>
          <cell r="M194" t="str">
            <v>Adiada</v>
          </cell>
        </row>
        <row r="195">
          <cell r="A195">
            <v>1994</v>
          </cell>
          <cell r="B195" t="str">
            <v>SL</v>
          </cell>
          <cell r="C195" t="str">
            <v>-</v>
          </cell>
          <cell r="D195" t="str">
            <v>-</v>
          </cell>
          <cell r="E195" t="str">
            <v>ROD</v>
          </cell>
          <cell r="F195" t="str">
            <v>DER-PR</v>
          </cell>
          <cell r="G195" t="str">
            <v>BR-476-Bocaiuva do Sul / Tunas</v>
          </cell>
          <cell r="H195">
            <v>4551599.25</v>
          </cell>
          <cell r="J195">
            <v>34479</v>
          </cell>
          <cell r="K195" t="str">
            <v>-</v>
          </cell>
          <cell r="L195">
            <v>0</v>
          </cell>
          <cell r="M195" t="str">
            <v>Não entregue</v>
          </cell>
        </row>
        <row r="196">
          <cell r="A196">
            <v>1994</v>
          </cell>
          <cell r="B196" t="str">
            <v>SL</v>
          </cell>
          <cell r="C196" t="str">
            <v>-</v>
          </cell>
          <cell r="D196" t="str">
            <v>-</v>
          </cell>
          <cell r="E196" t="str">
            <v>ROD</v>
          </cell>
          <cell r="F196" t="str">
            <v>DAER</v>
          </cell>
          <cell r="G196" t="str">
            <v>RS-472-Santo Cristo / Porto Lucena-Lote 2</v>
          </cell>
          <cell r="H196">
            <v>7783454.6399999997</v>
          </cell>
          <cell r="J196">
            <v>34495</v>
          </cell>
          <cell r="K196">
            <v>3</v>
          </cell>
          <cell r="L196">
            <v>0</v>
          </cell>
          <cell r="M196" t="str">
            <v>3º Lugar-Castilho</v>
          </cell>
        </row>
        <row r="197">
          <cell r="A197">
            <v>1994</v>
          </cell>
          <cell r="B197" t="str">
            <v>SL</v>
          </cell>
          <cell r="C197" t="str">
            <v>-</v>
          </cell>
          <cell r="D197" t="str">
            <v>-</v>
          </cell>
          <cell r="E197" t="str">
            <v>ROD</v>
          </cell>
          <cell r="F197" t="str">
            <v>DAER</v>
          </cell>
          <cell r="G197" t="str">
            <v>RS-472-Santo Cristo / Porto Lucena-Lote 1</v>
          </cell>
          <cell r="H197">
            <v>12095434.529999999</v>
          </cell>
          <cell r="J197">
            <v>34495</v>
          </cell>
          <cell r="K197">
            <v>1</v>
          </cell>
          <cell r="L197">
            <v>1</v>
          </cell>
          <cell r="M197" t="str">
            <v>1º Lugar</v>
          </cell>
        </row>
        <row r="198">
          <cell r="A198">
            <v>1994</v>
          </cell>
          <cell r="B198" t="str">
            <v>SL</v>
          </cell>
          <cell r="C198" t="str">
            <v>-</v>
          </cell>
          <cell r="D198" t="str">
            <v>-</v>
          </cell>
          <cell r="E198" t="str">
            <v>ROD</v>
          </cell>
          <cell r="F198" t="str">
            <v>DER-PR</v>
          </cell>
          <cell r="G198" t="str">
            <v>PRT-467-Toledo/Quatro Pontes e Acessos</v>
          </cell>
          <cell r="H198">
            <v>8238135.96</v>
          </cell>
          <cell r="J198">
            <v>34500</v>
          </cell>
          <cell r="K198" t="str">
            <v>-</v>
          </cell>
          <cell r="L198">
            <v>0</v>
          </cell>
          <cell r="M198" t="str">
            <v>Não entregue</v>
          </cell>
        </row>
        <row r="199">
          <cell r="A199">
            <v>1994</v>
          </cell>
          <cell r="B199" t="str">
            <v>SL</v>
          </cell>
          <cell r="C199" t="str">
            <v>-</v>
          </cell>
          <cell r="D199" t="str">
            <v>-</v>
          </cell>
          <cell r="E199" t="str">
            <v>ROD</v>
          </cell>
          <cell r="F199" t="str">
            <v>DER-SC</v>
          </cell>
          <cell r="G199" t="str">
            <v>SC-474-BR-101 / Massaranduba-Lote 7</v>
          </cell>
          <cell r="H199">
            <v>5440696.8399999999</v>
          </cell>
          <cell r="J199">
            <v>34506</v>
          </cell>
          <cell r="K199">
            <v>12</v>
          </cell>
          <cell r="L199">
            <v>0</v>
          </cell>
          <cell r="M199" t="str">
            <v>12º Lugar-Engepasa</v>
          </cell>
        </row>
        <row r="200">
          <cell r="A200">
            <v>1994</v>
          </cell>
          <cell r="B200" t="str">
            <v>SL</v>
          </cell>
          <cell r="C200" t="str">
            <v>-</v>
          </cell>
          <cell r="D200" t="str">
            <v>-</v>
          </cell>
          <cell r="E200" t="str">
            <v>ROD</v>
          </cell>
          <cell r="F200" t="str">
            <v>DER-SC</v>
          </cell>
          <cell r="G200" t="str">
            <v>SC-416-Timbó / Pomerode-Lote 1</v>
          </cell>
          <cell r="H200">
            <v>5301587.12</v>
          </cell>
          <cell r="J200">
            <v>34506</v>
          </cell>
          <cell r="K200">
            <v>8</v>
          </cell>
          <cell r="L200">
            <v>0</v>
          </cell>
          <cell r="M200" t="str">
            <v>8º Lugar-Reis</v>
          </cell>
        </row>
        <row r="201">
          <cell r="A201">
            <v>1994</v>
          </cell>
          <cell r="B201" t="str">
            <v>SL</v>
          </cell>
          <cell r="C201" t="str">
            <v>-</v>
          </cell>
          <cell r="D201" t="str">
            <v>-</v>
          </cell>
          <cell r="E201" t="str">
            <v>ROD</v>
          </cell>
          <cell r="F201" t="str">
            <v>DER-SC</v>
          </cell>
          <cell r="G201" t="str">
            <v>BR-116-km 21-Lote 2</v>
          </cell>
          <cell r="H201">
            <v>3852501.43</v>
          </cell>
          <cell r="J201">
            <v>34506</v>
          </cell>
          <cell r="K201">
            <v>14</v>
          </cell>
          <cell r="L201">
            <v>0</v>
          </cell>
          <cell r="M201" t="str">
            <v>14º Lugar-Camargo Corrêa</v>
          </cell>
        </row>
        <row r="202">
          <cell r="A202">
            <v>1994</v>
          </cell>
          <cell r="B202" t="str">
            <v>SL</v>
          </cell>
          <cell r="C202" t="str">
            <v>-</v>
          </cell>
          <cell r="D202" t="str">
            <v>-</v>
          </cell>
          <cell r="E202" t="str">
            <v>ROD</v>
          </cell>
          <cell r="F202" t="str">
            <v>DER-SC</v>
          </cell>
          <cell r="G202" t="str">
            <v>SC-458-A.Garibaldi/Lajeado/Portões-Lote 5</v>
          </cell>
          <cell r="H202">
            <v>4502994.63</v>
          </cell>
          <cell r="J202">
            <v>34506</v>
          </cell>
          <cell r="K202">
            <v>11</v>
          </cell>
          <cell r="L202">
            <v>0</v>
          </cell>
          <cell r="M202" t="str">
            <v>11º Lugar-Cepel</v>
          </cell>
        </row>
        <row r="203">
          <cell r="A203">
            <v>1994</v>
          </cell>
          <cell r="B203" t="str">
            <v>SL</v>
          </cell>
          <cell r="C203" t="str">
            <v>-</v>
          </cell>
          <cell r="D203" t="str">
            <v>-</v>
          </cell>
          <cell r="E203" t="str">
            <v>ROD</v>
          </cell>
          <cell r="F203" t="str">
            <v>DER-SC</v>
          </cell>
          <cell r="G203" t="str">
            <v>SC-458-A.Garibaldi/Lajeado/Portões-Lote 4</v>
          </cell>
          <cell r="H203">
            <v>4149375.5</v>
          </cell>
          <cell r="J203">
            <v>34506</v>
          </cell>
          <cell r="K203">
            <v>12</v>
          </cell>
          <cell r="L203">
            <v>0</v>
          </cell>
          <cell r="M203" t="str">
            <v>12º Lugar-Road</v>
          </cell>
        </row>
        <row r="204">
          <cell r="A204">
            <v>1994</v>
          </cell>
          <cell r="B204" t="str">
            <v>SL</v>
          </cell>
          <cell r="C204" t="str">
            <v>-</v>
          </cell>
          <cell r="D204" t="str">
            <v>-</v>
          </cell>
          <cell r="E204" t="str">
            <v>ROD</v>
          </cell>
          <cell r="F204" t="str">
            <v>DER-SC</v>
          </cell>
          <cell r="G204" t="str">
            <v>SC-478-km 21-Lote 3</v>
          </cell>
          <cell r="H204">
            <v>4036816.46</v>
          </cell>
          <cell r="J204">
            <v>34506</v>
          </cell>
          <cell r="K204">
            <v>16</v>
          </cell>
          <cell r="L204">
            <v>0</v>
          </cell>
          <cell r="M204" t="str">
            <v>16º Lugar-Camargo Corrêa</v>
          </cell>
        </row>
        <row r="205">
          <cell r="A205">
            <v>1994</v>
          </cell>
          <cell r="B205" t="str">
            <v>SL</v>
          </cell>
          <cell r="C205" t="str">
            <v>-</v>
          </cell>
          <cell r="D205" t="str">
            <v>-</v>
          </cell>
          <cell r="E205" t="str">
            <v>ROD</v>
          </cell>
          <cell r="F205" t="str">
            <v>DER-SC</v>
          </cell>
          <cell r="G205" t="str">
            <v>SC-410-Gov. Celso Ramos / BR-101-Lote 6</v>
          </cell>
          <cell r="H205">
            <v>5554080.9000000004</v>
          </cell>
          <cell r="J205">
            <v>34506</v>
          </cell>
          <cell r="K205">
            <v>8</v>
          </cell>
          <cell r="L205">
            <v>0</v>
          </cell>
          <cell r="M205" t="str">
            <v>8º Lugar-Cepel</v>
          </cell>
        </row>
        <row r="206">
          <cell r="A206">
            <v>1994</v>
          </cell>
          <cell r="B206" t="str">
            <v>SL</v>
          </cell>
          <cell r="C206" t="str">
            <v>-</v>
          </cell>
          <cell r="D206" t="str">
            <v>-</v>
          </cell>
          <cell r="E206" t="str">
            <v>ROD</v>
          </cell>
          <cell r="F206" t="str">
            <v>DER-PR</v>
          </cell>
          <cell r="G206" t="str">
            <v>Duplicação da Av. Rui Barbosa-Lote 3</v>
          </cell>
          <cell r="H206">
            <v>1399595.22</v>
          </cell>
          <cell r="J206">
            <v>34508</v>
          </cell>
          <cell r="K206" t="str">
            <v>-</v>
          </cell>
          <cell r="L206">
            <v>0</v>
          </cell>
          <cell r="M206" t="str">
            <v>Não entregue</v>
          </cell>
        </row>
        <row r="207">
          <cell r="A207">
            <v>1994</v>
          </cell>
          <cell r="B207" t="str">
            <v>SL</v>
          </cell>
          <cell r="C207" t="str">
            <v>-</v>
          </cell>
          <cell r="D207" t="str">
            <v>-</v>
          </cell>
          <cell r="E207" t="str">
            <v>ROD</v>
          </cell>
          <cell r="F207" t="str">
            <v>DER-PR</v>
          </cell>
          <cell r="G207" t="str">
            <v>Duplicação Av. Torres/Aeroporto-Lote 2</v>
          </cell>
          <cell r="H207">
            <v>532524.6</v>
          </cell>
          <cell r="J207">
            <v>34508</v>
          </cell>
          <cell r="K207" t="str">
            <v>-</v>
          </cell>
          <cell r="L207">
            <v>0</v>
          </cell>
          <cell r="M207" t="str">
            <v>Não entregue</v>
          </cell>
        </row>
        <row r="208">
          <cell r="A208">
            <v>1994</v>
          </cell>
          <cell r="B208" t="str">
            <v>SL</v>
          </cell>
          <cell r="C208" t="str">
            <v>-</v>
          </cell>
          <cell r="D208" t="str">
            <v>-</v>
          </cell>
          <cell r="E208" t="str">
            <v>ROD</v>
          </cell>
          <cell r="F208" t="str">
            <v>DER-SC</v>
          </cell>
          <cell r="G208" t="str">
            <v>Via Expressa Sul</v>
          </cell>
          <cell r="H208">
            <v>35969893.359999999</v>
          </cell>
          <cell r="J208">
            <v>34512</v>
          </cell>
          <cell r="K208">
            <v>5</v>
          </cell>
          <cell r="L208">
            <v>0</v>
          </cell>
          <cell r="M208" t="str">
            <v>5º Lugar-CNO/CBPO</v>
          </cell>
        </row>
        <row r="209">
          <cell r="A209">
            <v>1994</v>
          </cell>
          <cell r="B209" t="str">
            <v>SL</v>
          </cell>
          <cell r="C209" t="str">
            <v>-</v>
          </cell>
          <cell r="D209" t="str">
            <v>-</v>
          </cell>
          <cell r="E209" t="str">
            <v>ROD</v>
          </cell>
          <cell r="F209" t="str">
            <v>DER-PR</v>
          </cell>
          <cell r="G209" t="str">
            <v>Rodovia Br-317-Maringá / Campo Mourão</v>
          </cell>
          <cell r="H209">
            <v>8322921.9299999997</v>
          </cell>
          <cell r="J209">
            <v>34513</v>
          </cell>
          <cell r="K209">
            <v>5</v>
          </cell>
          <cell r="L209">
            <v>0</v>
          </cell>
          <cell r="M209" t="str">
            <v>5º Lugar-Sanches Trip</v>
          </cell>
        </row>
        <row r="210">
          <cell r="A210">
            <v>1994</v>
          </cell>
          <cell r="B210" t="str">
            <v>SL</v>
          </cell>
          <cell r="C210" t="str">
            <v>-</v>
          </cell>
          <cell r="D210" t="str">
            <v>-</v>
          </cell>
          <cell r="E210" t="str">
            <v>HAB</v>
          </cell>
          <cell r="F210" t="str">
            <v>Transbrasil</v>
          </cell>
          <cell r="G210" t="str">
            <v>Galpão no AFP</v>
          </cell>
          <cell r="H210">
            <v>144131.85</v>
          </cell>
          <cell r="J210">
            <v>34520</v>
          </cell>
          <cell r="K210">
            <v>0</v>
          </cell>
          <cell r="L210">
            <v>0</v>
          </cell>
          <cell r="M210" t="str">
            <v>Cancelada</v>
          </cell>
        </row>
        <row r="211">
          <cell r="A211">
            <v>1994</v>
          </cell>
          <cell r="B211" t="str">
            <v>SL</v>
          </cell>
          <cell r="C211" t="str">
            <v>-</v>
          </cell>
          <cell r="D211" t="str">
            <v>-</v>
          </cell>
          <cell r="E211" t="str">
            <v>ROD</v>
          </cell>
          <cell r="F211" t="str">
            <v>DER-PR</v>
          </cell>
          <cell r="G211" t="str">
            <v>BR-317-Maringá / Campo Mourão / Rio Ivaí</v>
          </cell>
          <cell r="H211">
            <v>14205490.52</v>
          </cell>
          <cell r="J211">
            <v>34522</v>
          </cell>
          <cell r="K211">
            <v>6</v>
          </cell>
          <cell r="L211">
            <v>0</v>
          </cell>
          <cell r="M211" t="str">
            <v>6º Lugar-Sanches Trip</v>
          </cell>
        </row>
        <row r="212">
          <cell r="A212">
            <v>1994</v>
          </cell>
          <cell r="B212" t="str">
            <v>SL</v>
          </cell>
          <cell r="C212" t="str">
            <v>-</v>
          </cell>
          <cell r="D212" t="str">
            <v>-</v>
          </cell>
          <cell r="E212" t="str">
            <v>IND</v>
          </cell>
          <cell r="F212" t="str">
            <v>Shell</v>
          </cell>
          <cell r="G212" t="str">
            <v>Unidade Industrial para Produção de Borracha 1</v>
          </cell>
          <cell r="H212">
            <v>815027.39</v>
          </cell>
          <cell r="J212">
            <v>34526</v>
          </cell>
          <cell r="K212">
            <v>3</v>
          </cell>
          <cell r="L212">
            <v>0</v>
          </cell>
          <cell r="M212" t="str">
            <v>3º Lugar-Lix da Cunha</v>
          </cell>
        </row>
        <row r="213">
          <cell r="A213">
            <v>1994</v>
          </cell>
          <cell r="B213" t="str">
            <v>SL</v>
          </cell>
          <cell r="C213" t="str">
            <v>-</v>
          </cell>
          <cell r="D213" t="str">
            <v>-</v>
          </cell>
          <cell r="E213" t="str">
            <v>AER</v>
          </cell>
          <cell r="F213" t="str">
            <v>Infraero</v>
          </cell>
          <cell r="G213" t="str">
            <v>Remoção e Recapeamento da Pista</v>
          </cell>
          <cell r="H213">
            <v>671459.87</v>
          </cell>
          <cell r="J213">
            <v>34557</v>
          </cell>
          <cell r="K213">
            <v>3</v>
          </cell>
          <cell r="L213">
            <v>0</v>
          </cell>
          <cell r="M213" t="str">
            <v>3º Lugar-Guaianazes</v>
          </cell>
        </row>
        <row r="214">
          <cell r="A214">
            <v>1994</v>
          </cell>
          <cell r="B214" t="str">
            <v>SL</v>
          </cell>
          <cell r="C214" t="str">
            <v>-</v>
          </cell>
          <cell r="D214" t="str">
            <v>-</v>
          </cell>
          <cell r="E214" t="str">
            <v>SAN</v>
          </cell>
          <cell r="F214" t="str">
            <v>SANEP</v>
          </cell>
          <cell r="G214" t="str">
            <v>Ampliação do Sistema de Esgotos de Pelotas</v>
          </cell>
          <cell r="H214">
            <v>2489904.6</v>
          </cell>
          <cell r="J214">
            <v>34564</v>
          </cell>
          <cell r="K214">
            <v>6</v>
          </cell>
          <cell r="L214">
            <v>0</v>
          </cell>
          <cell r="M214" t="str">
            <v>6º Lugar-CG</v>
          </cell>
        </row>
        <row r="215">
          <cell r="A215">
            <v>1994</v>
          </cell>
          <cell r="B215" t="str">
            <v>SL</v>
          </cell>
          <cell r="C215" t="str">
            <v>-</v>
          </cell>
          <cell r="D215" t="str">
            <v>-</v>
          </cell>
          <cell r="E215" t="str">
            <v>ENE</v>
          </cell>
          <cell r="F215" t="str">
            <v>Petrobrás</v>
          </cell>
          <cell r="G215" t="str">
            <v>OPASC-Oleoduto Paraná / Santa Catarina</v>
          </cell>
          <cell r="H215">
            <v>19782232.32</v>
          </cell>
          <cell r="J215">
            <v>34576</v>
          </cell>
          <cell r="K215">
            <v>4</v>
          </cell>
          <cell r="L215">
            <v>0</v>
          </cell>
          <cell r="M215" t="str">
            <v>4º Lugar-Conduto</v>
          </cell>
        </row>
        <row r="216">
          <cell r="A216">
            <v>1994</v>
          </cell>
          <cell r="B216" t="str">
            <v>SL</v>
          </cell>
          <cell r="C216" t="str">
            <v>-</v>
          </cell>
          <cell r="D216" t="str">
            <v>-</v>
          </cell>
          <cell r="E216" t="str">
            <v>IND</v>
          </cell>
          <cell r="F216" t="str">
            <v>SHELL</v>
          </cell>
          <cell r="G216" t="str">
            <v>Unidade Industrial para Produção de Borracha 2</v>
          </cell>
          <cell r="H216">
            <v>1526271.21</v>
          </cell>
          <cell r="J216">
            <v>34631</v>
          </cell>
          <cell r="K216">
            <v>4</v>
          </cell>
          <cell r="L216">
            <v>0</v>
          </cell>
          <cell r="M216" t="str">
            <v>4º Lugar-Lix da Cunha</v>
          </cell>
        </row>
        <row r="217">
          <cell r="A217">
            <v>1994</v>
          </cell>
          <cell r="B217" t="str">
            <v>SL</v>
          </cell>
          <cell r="C217" t="str">
            <v>-</v>
          </cell>
          <cell r="D217" t="str">
            <v>-</v>
          </cell>
          <cell r="E217" t="str">
            <v>ROD</v>
          </cell>
          <cell r="F217" t="str">
            <v>DAER</v>
          </cell>
          <cell r="G217" t="str">
            <v>RS-540-Alecrim / Santo Cristo</v>
          </cell>
          <cell r="H217">
            <v>3223103.42</v>
          </cell>
          <cell r="J217">
            <v>34642</v>
          </cell>
          <cell r="K217">
            <v>3</v>
          </cell>
          <cell r="L217">
            <v>0</v>
          </cell>
          <cell r="M217" t="str">
            <v>3º Lugar-J. Malucelli</v>
          </cell>
        </row>
        <row r="218">
          <cell r="A218">
            <v>1994</v>
          </cell>
          <cell r="B218" t="str">
            <v>SL</v>
          </cell>
          <cell r="C218" t="str">
            <v>-</v>
          </cell>
          <cell r="D218" t="str">
            <v>-</v>
          </cell>
          <cell r="E218" t="str">
            <v>ROD</v>
          </cell>
          <cell r="F218" t="str">
            <v>DAER</v>
          </cell>
          <cell r="G218" t="str">
            <v>RS-377-São Francisco de Assis / Manoel Viana</v>
          </cell>
          <cell r="H218">
            <v>5571894.0300000003</v>
          </cell>
          <cell r="J218">
            <v>34642</v>
          </cell>
          <cell r="K218">
            <v>1</v>
          </cell>
          <cell r="L218">
            <v>1</v>
          </cell>
          <cell r="M218" t="str">
            <v>1º Lugar</v>
          </cell>
        </row>
        <row r="219">
          <cell r="A219">
            <v>1994</v>
          </cell>
          <cell r="B219" t="str">
            <v>SL</v>
          </cell>
          <cell r="C219" t="str">
            <v>-</v>
          </cell>
          <cell r="D219" t="str">
            <v>-</v>
          </cell>
          <cell r="E219" t="str">
            <v>AER</v>
          </cell>
          <cell r="F219" t="str">
            <v>Infraero</v>
          </cell>
          <cell r="G219" t="str">
            <v>Aeroporto de Porto Alegre</v>
          </cell>
          <cell r="H219">
            <v>41683171.409999996</v>
          </cell>
          <cell r="J219">
            <v>34696</v>
          </cell>
          <cell r="K219">
            <v>9</v>
          </cell>
          <cell r="L219">
            <v>0</v>
          </cell>
          <cell r="M219" t="str">
            <v>9º Lugar-Engepasa</v>
          </cell>
        </row>
        <row r="220">
          <cell r="A220">
            <v>1994</v>
          </cell>
          <cell r="B220" t="str">
            <v>SL</v>
          </cell>
          <cell r="C220" t="str">
            <v>-</v>
          </cell>
          <cell r="D220" t="str">
            <v>-</v>
          </cell>
          <cell r="E220" t="str">
            <v>DIV</v>
          </cell>
          <cell r="F220" t="str">
            <v>SMMA</v>
          </cell>
          <cell r="G220" t="str">
            <v>Operação do Sistema de Lixo de Curitiba</v>
          </cell>
          <cell r="H220">
            <v>41499833.990000002</v>
          </cell>
          <cell r="J220">
            <v>34750</v>
          </cell>
          <cell r="K220" t="str">
            <v>-</v>
          </cell>
          <cell r="L220">
            <v>0</v>
          </cell>
          <cell r="M220" t="str">
            <v>Cancelada</v>
          </cell>
        </row>
        <row r="221">
          <cell r="A221">
            <v>1994</v>
          </cell>
          <cell r="B221" t="str">
            <v>SL</v>
          </cell>
          <cell r="C221" t="str">
            <v>-</v>
          </cell>
          <cell r="D221" t="str">
            <v>-</v>
          </cell>
          <cell r="E221" t="str">
            <v>COM</v>
          </cell>
          <cell r="F221" t="str">
            <v>Carrefour</v>
          </cell>
          <cell r="G221" t="str">
            <v>Terraplenagem em Caxias do Sul</v>
          </cell>
          <cell r="H221">
            <v>1347458.34</v>
          </cell>
          <cell r="J221">
            <v>34785</v>
          </cell>
          <cell r="K221">
            <v>1</v>
          </cell>
          <cell r="L221">
            <v>1</v>
          </cell>
          <cell r="M221" t="str">
            <v>1º Lugar</v>
          </cell>
        </row>
        <row r="222">
          <cell r="A222">
            <v>1995</v>
          </cell>
          <cell r="B222" t="str">
            <v>NE</v>
          </cell>
          <cell r="C222" t="str">
            <v>-</v>
          </cell>
          <cell r="D222" t="str">
            <v>-</v>
          </cell>
          <cell r="E222" t="str">
            <v>AGR</v>
          </cell>
          <cell r="F222" t="str">
            <v>Codevasf</v>
          </cell>
          <cell r="G222" t="str">
            <v>Projeto de Irrigação Pontal Sul - Petrolina</v>
          </cell>
          <cell r="H222">
            <v>12292470</v>
          </cell>
          <cell r="J222">
            <v>34858</v>
          </cell>
          <cell r="K222" t="str">
            <v>-</v>
          </cell>
          <cell r="L222">
            <v>0</v>
          </cell>
          <cell r="M222" t="str">
            <v>CNO</v>
          </cell>
        </row>
        <row r="223">
          <cell r="A223">
            <v>1995</v>
          </cell>
          <cell r="B223" t="str">
            <v>NE</v>
          </cell>
          <cell r="C223" t="str">
            <v>-</v>
          </cell>
          <cell r="D223" t="str">
            <v>-</v>
          </cell>
          <cell r="E223" t="str">
            <v>ROD</v>
          </cell>
          <cell r="F223" t="str">
            <v>DNER</v>
          </cell>
          <cell r="G223" t="str">
            <v>Restauração BR-020-Mimoso-BA-Lote 1</v>
          </cell>
          <cell r="H223">
            <v>5457520</v>
          </cell>
          <cell r="J223">
            <v>34871</v>
          </cell>
          <cell r="K223" t="str">
            <v>-</v>
          </cell>
          <cell r="L223">
            <v>0</v>
          </cell>
          <cell r="M223" t="str">
            <v>Froylan</v>
          </cell>
        </row>
        <row r="224">
          <cell r="A224">
            <v>1995</v>
          </cell>
          <cell r="B224" t="str">
            <v>NE</v>
          </cell>
          <cell r="C224" t="str">
            <v>-</v>
          </cell>
          <cell r="D224" t="str">
            <v>-</v>
          </cell>
          <cell r="E224" t="str">
            <v>ROD</v>
          </cell>
          <cell r="F224" t="str">
            <v>DNER</v>
          </cell>
          <cell r="G224" t="str">
            <v>Restauração BR-020-Mimoso-BA-Lote 2</v>
          </cell>
          <cell r="H224">
            <v>5696750</v>
          </cell>
          <cell r="J224">
            <v>34871</v>
          </cell>
          <cell r="K224" t="str">
            <v>-</v>
          </cell>
          <cell r="L224">
            <v>0</v>
          </cell>
          <cell r="M224" t="str">
            <v>Froylan</v>
          </cell>
        </row>
        <row r="225">
          <cell r="A225">
            <v>1995</v>
          </cell>
          <cell r="B225" t="str">
            <v>NE</v>
          </cell>
          <cell r="C225" t="str">
            <v>-</v>
          </cell>
          <cell r="D225" t="str">
            <v>-</v>
          </cell>
          <cell r="E225" t="str">
            <v>ROD</v>
          </cell>
          <cell r="F225" t="str">
            <v>SINFRA</v>
          </cell>
          <cell r="G225" t="str">
            <v>Restauração MA-230/034-Chapadinha / Brejo</v>
          </cell>
          <cell r="H225">
            <v>6964140</v>
          </cell>
          <cell r="J225">
            <v>34884</v>
          </cell>
          <cell r="K225" t="str">
            <v>-</v>
          </cell>
          <cell r="L225">
            <v>0</v>
          </cell>
          <cell r="M225" t="str">
            <v>Não entregue</v>
          </cell>
        </row>
        <row r="226">
          <cell r="A226">
            <v>1995</v>
          </cell>
          <cell r="B226" t="str">
            <v>NE</v>
          </cell>
          <cell r="C226" t="str">
            <v>-</v>
          </cell>
          <cell r="D226" t="str">
            <v>-</v>
          </cell>
          <cell r="E226" t="str">
            <v>AER</v>
          </cell>
          <cell r="F226" t="str">
            <v>DTT</v>
          </cell>
          <cell r="G226" t="str">
            <v>Ampliação do Aeroporto de Porto Seguro</v>
          </cell>
          <cell r="H226">
            <v>5998530</v>
          </cell>
          <cell r="J226">
            <v>34897</v>
          </cell>
          <cell r="K226" t="str">
            <v>-</v>
          </cell>
          <cell r="L226">
            <v>0</v>
          </cell>
          <cell r="M226" t="str">
            <v>Cancelada</v>
          </cell>
        </row>
        <row r="227">
          <cell r="A227">
            <v>1995</v>
          </cell>
          <cell r="B227" t="str">
            <v>NE</v>
          </cell>
          <cell r="C227" t="str">
            <v>-</v>
          </cell>
          <cell r="D227" t="str">
            <v>-</v>
          </cell>
          <cell r="E227" t="str">
            <v>DIV</v>
          </cell>
          <cell r="F227" t="str">
            <v>CNC</v>
          </cell>
          <cell r="G227" t="str">
            <v>Edifício da Confederação Nacional do Comércio</v>
          </cell>
          <cell r="H227">
            <v>5623420</v>
          </cell>
          <cell r="J227">
            <v>34932</v>
          </cell>
          <cell r="K227">
            <v>7</v>
          </cell>
          <cell r="L227">
            <v>0</v>
          </cell>
          <cell r="M227" t="str">
            <v>7º Lugar</v>
          </cell>
        </row>
        <row r="228">
          <cell r="A228">
            <v>1995</v>
          </cell>
          <cell r="B228" t="str">
            <v>NE</v>
          </cell>
          <cell r="C228" t="str">
            <v>-</v>
          </cell>
          <cell r="D228" t="str">
            <v>-</v>
          </cell>
          <cell r="E228" t="str">
            <v>ROD</v>
          </cell>
          <cell r="F228" t="str">
            <v>DER-MA</v>
          </cell>
          <cell r="G228" t="str">
            <v>MA-230/034014-Restauração-Lote 2</v>
          </cell>
          <cell r="H228">
            <v>1449390</v>
          </cell>
          <cell r="J228">
            <v>34970</v>
          </cell>
          <cell r="K228" t="str">
            <v>-</v>
          </cell>
          <cell r="L228">
            <v>0</v>
          </cell>
          <cell r="M228" t="str">
            <v>Não entregue</v>
          </cell>
        </row>
        <row r="229">
          <cell r="A229">
            <v>1995</v>
          </cell>
          <cell r="B229" t="str">
            <v>NE</v>
          </cell>
          <cell r="C229" t="str">
            <v>-</v>
          </cell>
          <cell r="D229" t="str">
            <v>-</v>
          </cell>
          <cell r="E229" t="str">
            <v>ROD</v>
          </cell>
          <cell r="F229" t="str">
            <v>DER-MA</v>
          </cell>
          <cell r="G229" t="str">
            <v>MA-014-Restauração-Lote 1</v>
          </cell>
          <cell r="H229">
            <v>1120680</v>
          </cell>
          <cell r="J229">
            <v>34970</v>
          </cell>
          <cell r="K229" t="str">
            <v>-</v>
          </cell>
          <cell r="L229">
            <v>0</v>
          </cell>
          <cell r="M229" t="str">
            <v>Não entregue</v>
          </cell>
        </row>
        <row r="230">
          <cell r="A230">
            <v>1995</v>
          </cell>
          <cell r="B230" t="str">
            <v>NE</v>
          </cell>
          <cell r="C230" t="str">
            <v>-</v>
          </cell>
          <cell r="D230" t="str">
            <v>-</v>
          </cell>
          <cell r="E230" t="str">
            <v>ROD</v>
          </cell>
          <cell r="F230" t="str">
            <v>DER-MA</v>
          </cell>
          <cell r="G230" t="str">
            <v>MA-014-Restauração-Lote 2</v>
          </cell>
          <cell r="H230">
            <v>1091620</v>
          </cell>
          <cell r="J230">
            <v>34970</v>
          </cell>
          <cell r="K230" t="str">
            <v>-</v>
          </cell>
          <cell r="L230">
            <v>0</v>
          </cell>
          <cell r="M230" t="str">
            <v>Não entregue</v>
          </cell>
        </row>
        <row r="231">
          <cell r="A231">
            <v>1995</v>
          </cell>
          <cell r="B231" t="str">
            <v>NE</v>
          </cell>
          <cell r="C231" t="str">
            <v>-</v>
          </cell>
          <cell r="D231" t="str">
            <v>-</v>
          </cell>
          <cell r="E231" t="str">
            <v>ROD</v>
          </cell>
          <cell r="F231" t="str">
            <v>DER-MA</v>
          </cell>
          <cell r="G231" t="str">
            <v>MA-230/034014-Restauração-Lote 1</v>
          </cell>
          <cell r="H231">
            <v>1462820</v>
          </cell>
          <cell r="J231">
            <v>34970</v>
          </cell>
          <cell r="K231" t="str">
            <v>-</v>
          </cell>
          <cell r="L231">
            <v>0</v>
          </cell>
          <cell r="M231" t="str">
            <v>Não entregue</v>
          </cell>
        </row>
        <row r="232">
          <cell r="A232">
            <v>1995</v>
          </cell>
          <cell r="B232" t="str">
            <v>NE</v>
          </cell>
          <cell r="C232" t="str">
            <v>-</v>
          </cell>
          <cell r="D232" t="str">
            <v>-</v>
          </cell>
          <cell r="E232" t="str">
            <v>AER</v>
          </cell>
          <cell r="F232" t="str">
            <v>Ciscea</v>
          </cell>
          <cell r="G232" t="str">
            <v>Ampliação da Vila Habitacional de Porto Seguro</v>
          </cell>
          <cell r="H232">
            <v>1879550</v>
          </cell>
          <cell r="J232">
            <v>34971</v>
          </cell>
          <cell r="K232" t="str">
            <v>-</v>
          </cell>
          <cell r="L232">
            <v>0</v>
          </cell>
          <cell r="M232" t="str">
            <v>Grado Engª</v>
          </cell>
        </row>
        <row r="233">
          <cell r="A233">
            <v>1995</v>
          </cell>
          <cell r="B233" t="str">
            <v>NE</v>
          </cell>
          <cell r="C233" t="str">
            <v>-</v>
          </cell>
          <cell r="D233" t="str">
            <v>-</v>
          </cell>
          <cell r="E233" t="str">
            <v>AER</v>
          </cell>
          <cell r="F233" t="str">
            <v>Infraero</v>
          </cell>
          <cell r="G233" t="str">
            <v>Aeroporto de Santa Maria - Aracaju-SE</v>
          </cell>
          <cell r="H233">
            <v>10519520</v>
          </cell>
          <cell r="J233">
            <v>35016</v>
          </cell>
          <cell r="K233" t="str">
            <v>-</v>
          </cell>
          <cell r="L233">
            <v>0</v>
          </cell>
          <cell r="M233" t="str">
            <v>Não entregue</v>
          </cell>
        </row>
        <row r="234">
          <cell r="A234">
            <v>1995</v>
          </cell>
          <cell r="B234" t="str">
            <v>NE</v>
          </cell>
          <cell r="C234" t="str">
            <v>-</v>
          </cell>
          <cell r="D234" t="str">
            <v>-</v>
          </cell>
          <cell r="E234" t="str">
            <v>AER</v>
          </cell>
          <cell r="F234" t="str">
            <v>Infraero</v>
          </cell>
          <cell r="G234" t="str">
            <v>Aeroporto Augusto Severo - Natal-RN</v>
          </cell>
          <cell r="H234">
            <v>17582470</v>
          </cell>
          <cell r="J234">
            <v>35023</v>
          </cell>
          <cell r="K234" t="str">
            <v>-</v>
          </cell>
          <cell r="L234">
            <v>0</v>
          </cell>
          <cell r="M234" t="str">
            <v>Não entregue</v>
          </cell>
        </row>
        <row r="235">
          <cell r="A235">
            <v>1995</v>
          </cell>
          <cell r="B235" t="str">
            <v>NE</v>
          </cell>
          <cell r="C235" t="str">
            <v>-</v>
          </cell>
          <cell r="D235" t="str">
            <v>-</v>
          </cell>
          <cell r="E235" t="str">
            <v>AER</v>
          </cell>
          <cell r="F235" t="str">
            <v>Infraero</v>
          </cell>
          <cell r="G235" t="str">
            <v>Aeroporto Pinto Martins - Fortaleza-CE</v>
          </cell>
          <cell r="H235">
            <v>64500840</v>
          </cell>
          <cell r="J235">
            <v>35030</v>
          </cell>
          <cell r="K235" t="str">
            <v>-</v>
          </cell>
          <cell r="L235">
            <v>0</v>
          </cell>
          <cell r="M235" t="str">
            <v>Desclassificado</v>
          </cell>
        </row>
        <row r="236">
          <cell r="A236">
            <v>1995</v>
          </cell>
          <cell r="B236" t="str">
            <v>NE</v>
          </cell>
          <cell r="C236" t="str">
            <v>-</v>
          </cell>
          <cell r="D236" t="str">
            <v>-</v>
          </cell>
          <cell r="E236" t="str">
            <v>SAN</v>
          </cell>
          <cell r="F236" t="str">
            <v>Embasa</v>
          </cell>
          <cell r="G236" t="str">
            <v>Sistema de Abastecimento de Água de Jequié</v>
          </cell>
          <cell r="H236">
            <v>3973290</v>
          </cell>
          <cell r="J236">
            <v>35044</v>
          </cell>
          <cell r="K236" t="str">
            <v>-</v>
          </cell>
          <cell r="L236">
            <v>0</v>
          </cell>
          <cell r="M236" t="str">
            <v>Perdemos</v>
          </cell>
        </row>
        <row r="237">
          <cell r="A237">
            <v>1995</v>
          </cell>
          <cell r="B237" t="str">
            <v>SE</v>
          </cell>
          <cell r="C237" t="str">
            <v>-</v>
          </cell>
          <cell r="D237" t="str">
            <v>-</v>
          </cell>
          <cell r="E237" t="str">
            <v>IND</v>
          </cell>
          <cell r="F237" t="str">
            <v>CST</v>
          </cell>
          <cell r="G237" t="str">
            <v>Obras Civis - Alto Forno II - Vitória-ES</v>
          </cell>
          <cell r="H237">
            <v>22394930</v>
          </cell>
          <cell r="J237">
            <v>34808</v>
          </cell>
          <cell r="K237" t="str">
            <v>-</v>
          </cell>
          <cell r="L237">
            <v>0</v>
          </cell>
          <cell r="M237" t="str">
            <v>Estudo de viabilidade para Davy Mckee</v>
          </cell>
        </row>
        <row r="238">
          <cell r="A238">
            <v>1995</v>
          </cell>
          <cell r="B238" t="str">
            <v>SE</v>
          </cell>
          <cell r="C238" t="str">
            <v>-</v>
          </cell>
          <cell r="D238" t="str">
            <v>-</v>
          </cell>
          <cell r="E238" t="str">
            <v>SAN</v>
          </cell>
          <cell r="F238" t="str">
            <v>Sudecap</v>
          </cell>
          <cell r="G238" t="str">
            <v>Complexo da Lagoinha-Belo Horizonte</v>
          </cell>
          <cell r="H238">
            <v>2696640</v>
          </cell>
          <cell r="J238">
            <v>34830</v>
          </cell>
          <cell r="K238" t="str">
            <v>-</v>
          </cell>
          <cell r="L238">
            <v>0</v>
          </cell>
          <cell r="M238" t="str">
            <v>Não entregue</v>
          </cell>
        </row>
        <row r="239">
          <cell r="A239">
            <v>1995</v>
          </cell>
          <cell r="B239" t="str">
            <v>SE</v>
          </cell>
          <cell r="C239" t="str">
            <v>-</v>
          </cell>
          <cell r="D239" t="str">
            <v>-</v>
          </cell>
          <cell r="E239" t="str">
            <v>ROD</v>
          </cell>
          <cell r="F239" t="str">
            <v>DNER</v>
          </cell>
          <cell r="G239" t="str">
            <v>Restauração da BR-153-Trecho 2</v>
          </cell>
          <cell r="H239">
            <v>4865310</v>
          </cell>
          <cell r="J239">
            <v>34837</v>
          </cell>
          <cell r="K239" t="str">
            <v>-</v>
          </cell>
          <cell r="L239">
            <v>0</v>
          </cell>
          <cell r="M239" t="str">
            <v>Cojuda</v>
          </cell>
        </row>
        <row r="240">
          <cell r="A240">
            <v>1995</v>
          </cell>
          <cell r="B240" t="str">
            <v>SE</v>
          </cell>
          <cell r="C240" t="str">
            <v>-</v>
          </cell>
          <cell r="D240" t="str">
            <v>-</v>
          </cell>
          <cell r="E240" t="str">
            <v>IND</v>
          </cell>
          <cell r="F240" t="str">
            <v>Brahma</v>
          </cell>
          <cell r="G240" t="str">
            <v>Bases e Lajes de Pisos</v>
          </cell>
          <cell r="H240">
            <v>10105140</v>
          </cell>
          <cell r="J240">
            <v>34842</v>
          </cell>
          <cell r="K240" t="str">
            <v>-</v>
          </cell>
          <cell r="L240">
            <v>0</v>
          </cell>
          <cell r="M240" t="str">
            <v>OAS</v>
          </cell>
        </row>
        <row r="241">
          <cell r="A241">
            <v>1995</v>
          </cell>
          <cell r="B241" t="str">
            <v>SE</v>
          </cell>
          <cell r="C241" t="str">
            <v>-</v>
          </cell>
          <cell r="D241" t="str">
            <v>-</v>
          </cell>
          <cell r="E241" t="str">
            <v>IND</v>
          </cell>
          <cell r="F241" t="str">
            <v>Brahma</v>
          </cell>
          <cell r="G241" t="str">
            <v>Estação de Tratamento de Dejetos Industraiis</v>
          </cell>
          <cell r="H241">
            <v>5773640</v>
          </cell>
          <cell r="J241">
            <v>34842</v>
          </cell>
          <cell r="K241" t="str">
            <v>-</v>
          </cell>
          <cell r="L241">
            <v>0</v>
          </cell>
          <cell r="M241" t="str">
            <v>OAS</v>
          </cell>
        </row>
        <row r="242">
          <cell r="A242">
            <v>1995</v>
          </cell>
          <cell r="B242" t="str">
            <v>SE</v>
          </cell>
          <cell r="C242" t="str">
            <v>-</v>
          </cell>
          <cell r="D242" t="str">
            <v>-</v>
          </cell>
          <cell r="E242" t="str">
            <v>IND</v>
          </cell>
          <cell r="F242" t="str">
            <v>Brahma</v>
          </cell>
          <cell r="G242" t="str">
            <v>ETA de Campo Grande-Rio de Janeiro</v>
          </cell>
          <cell r="H242">
            <v>4014890</v>
          </cell>
          <cell r="J242">
            <v>34842</v>
          </cell>
          <cell r="K242" t="str">
            <v>-</v>
          </cell>
          <cell r="L242">
            <v>0</v>
          </cell>
          <cell r="M242" t="str">
            <v>OAS</v>
          </cell>
        </row>
        <row r="243">
          <cell r="A243">
            <v>1995</v>
          </cell>
          <cell r="B243" t="str">
            <v>SE</v>
          </cell>
          <cell r="C243" t="str">
            <v>-</v>
          </cell>
          <cell r="D243" t="str">
            <v>-</v>
          </cell>
          <cell r="E243" t="str">
            <v>SAN</v>
          </cell>
          <cell r="F243" t="str">
            <v>DEOP</v>
          </cell>
          <cell r="G243" t="str">
            <v>Canalização do Córrego do Sarandi-Lote 2</v>
          </cell>
          <cell r="H243">
            <v>7586490</v>
          </cell>
          <cell r="J243">
            <v>34855</v>
          </cell>
          <cell r="K243" t="str">
            <v>-</v>
          </cell>
          <cell r="L243">
            <v>0</v>
          </cell>
          <cell r="M243" t="str">
            <v>Cancelada</v>
          </cell>
        </row>
        <row r="244">
          <cell r="A244">
            <v>1995</v>
          </cell>
          <cell r="B244" t="str">
            <v>SE</v>
          </cell>
          <cell r="C244" t="str">
            <v>-</v>
          </cell>
          <cell r="D244" t="str">
            <v>-</v>
          </cell>
          <cell r="E244" t="str">
            <v>SAN</v>
          </cell>
          <cell r="F244" t="str">
            <v>DEOP</v>
          </cell>
          <cell r="G244" t="str">
            <v>Canalização do Córrego do Sarandi-Lote 1</v>
          </cell>
          <cell r="H244">
            <v>5493280</v>
          </cell>
          <cell r="J244">
            <v>34855</v>
          </cell>
          <cell r="K244" t="str">
            <v>-</v>
          </cell>
          <cell r="L244">
            <v>0</v>
          </cell>
          <cell r="M244" t="str">
            <v>Não entregue</v>
          </cell>
        </row>
        <row r="245">
          <cell r="A245">
            <v>1995</v>
          </cell>
          <cell r="B245" t="str">
            <v>SE</v>
          </cell>
          <cell r="C245" t="str">
            <v>-</v>
          </cell>
          <cell r="D245" t="str">
            <v>-</v>
          </cell>
          <cell r="E245" t="str">
            <v>SAN</v>
          </cell>
          <cell r="F245" t="str">
            <v>DEOP</v>
          </cell>
          <cell r="G245" t="str">
            <v>Canalização do Córrego do Ferrugem-Lote 1</v>
          </cell>
          <cell r="H245">
            <v>3688450</v>
          </cell>
          <cell r="J245">
            <v>34855</v>
          </cell>
          <cell r="K245" t="str">
            <v>-</v>
          </cell>
          <cell r="L245">
            <v>0</v>
          </cell>
          <cell r="M245" t="str">
            <v>Não entregue</v>
          </cell>
        </row>
        <row r="246">
          <cell r="A246">
            <v>1995</v>
          </cell>
          <cell r="B246" t="str">
            <v>SE</v>
          </cell>
          <cell r="C246" t="str">
            <v>-</v>
          </cell>
          <cell r="D246" t="str">
            <v>-</v>
          </cell>
          <cell r="E246" t="str">
            <v>SAN</v>
          </cell>
          <cell r="F246" t="str">
            <v>DEOP</v>
          </cell>
          <cell r="G246" t="str">
            <v>Canalização do Córrego do Sarandi-Lote 3</v>
          </cell>
          <cell r="H246">
            <v>5493030</v>
          </cell>
          <cell r="J246">
            <v>34855</v>
          </cell>
          <cell r="K246" t="str">
            <v>-</v>
          </cell>
          <cell r="L246">
            <v>0</v>
          </cell>
          <cell r="M246" t="str">
            <v>Não entregue</v>
          </cell>
        </row>
        <row r="247">
          <cell r="A247">
            <v>1995</v>
          </cell>
          <cell r="B247" t="str">
            <v>SE</v>
          </cell>
          <cell r="C247" t="str">
            <v>-</v>
          </cell>
          <cell r="D247" t="str">
            <v>-</v>
          </cell>
          <cell r="E247" t="str">
            <v>SAN</v>
          </cell>
          <cell r="F247" t="str">
            <v>DEOP</v>
          </cell>
          <cell r="G247" t="str">
            <v>Canalização do Córrego do Ferrugem-Lote 2</v>
          </cell>
          <cell r="H247">
            <v>5587780</v>
          </cell>
          <cell r="J247">
            <v>34855</v>
          </cell>
          <cell r="K247" t="str">
            <v>-</v>
          </cell>
          <cell r="L247">
            <v>0</v>
          </cell>
          <cell r="M247" t="str">
            <v>Não entregue</v>
          </cell>
        </row>
        <row r="248">
          <cell r="A248">
            <v>1995</v>
          </cell>
          <cell r="B248" t="str">
            <v>SE</v>
          </cell>
          <cell r="C248" t="str">
            <v>-</v>
          </cell>
          <cell r="D248" t="str">
            <v>-</v>
          </cell>
          <cell r="E248" t="str">
            <v>IND</v>
          </cell>
          <cell r="F248" t="str">
            <v>FIAT</v>
          </cell>
          <cell r="G248" t="str">
            <v>Prédio Industrial da Fiat Allis</v>
          </cell>
          <cell r="H248">
            <v>2090230</v>
          </cell>
          <cell r="J248">
            <v>34864</v>
          </cell>
          <cell r="K248" t="str">
            <v>-</v>
          </cell>
          <cell r="L248">
            <v>0</v>
          </cell>
          <cell r="M248" t="str">
            <v>Cancelada</v>
          </cell>
        </row>
        <row r="249">
          <cell r="A249">
            <v>1995</v>
          </cell>
          <cell r="B249" t="str">
            <v>SE</v>
          </cell>
          <cell r="C249" t="str">
            <v>-</v>
          </cell>
          <cell r="D249" t="str">
            <v>-</v>
          </cell>
          <cell r="E249" t="str">
            <v>ROD</v>
          </cell>
          <cell r="F249" t="str">
            <v>DEOVI-TO</v>
          </cell>
          <cell r="G249" t="str">
            <v>TO-020/BR-242-Santo Antonio/Peixe-Lote 17</v>
          </cell>
          <cell r="H249">
            <v>3694620</v>
          </cell>
          <cell r="J249">
            <v>34867</v>
          </cell>
          <cell r="K249" t="str">
            <v>-</v>
          </cell>
          <cell r="L249">
            <v>0</v>
          </cell>
          <cell r="M249" t="str">
            <v xml:space="preserve">Estudo de viabilidade </v>
          </cell>
        </row>
        <row r="250">
          <cell r="A250">
            <v>1995</v>
          </cell>
          <cell r="B250" t="str">
            <v>SE</v>
          </cell>
          <cell r="C250" t="str">
            <v>-</v>
          </cell>
          <cell r="D250" t="str">
            <v>-</v>
          </cell>
          <cell r="E250" t="str">
            <v>ROD</v>
          </cell>
          <cell r="F250" t="str">
            <v>DEOVI-TO</v>
          </cell>
          <cell r="G250" t="str">
            <v>TO-050-Santa Rita / Natividade-Lote 2</v>
          </cell>
          <cell r="H250">
            <v>4539560</v>
          </cell>
          <cell r="J250">
            <v>34880</v>
          </cell>
          <cell r="K250">
            <v>1</v>
          </cell>
          <cell r="L250">
            <v>1</v>
          </cell>
          <cell r="M250" t="str">
            <v>1º Lugar</v>
          </cell>
        </row>
        <row r="251">
          <cell r="A251">
            <v>1995</v>
          </cell>
          <cell r="B251" t="str">
            <v>SE</v>
          </cell>
          <cell r="C251" t="str">
            <v>-</v>
          </cell>
          <cell r="D251" t="str">
            <v>-</v>
          </cell>
          <cell r="E251" t="str">
            <v>ENE</v>
          </cell>
          <cell r="F251" t="str">
            <v>Petrobrás</v>
          </cell>
          <cell r="G251" t="str">
            <v>Gasoduto Lagoa Parda / Vitória</v>
          </cell>
          <cell r="H251">
            <v>5998530</v>
          </cell>
          <cell r="J251">
            <v>34900</v>
          </cell>
          <cell r="K251">
            <v>1</v>
          </cell>
          <cell r="L251">
            <v>1</v>
          </cell>
          <cell r="M251" t="str">
            <v>1º Lugar</v>
          </cell>
        </row>
        <row r="252">
          <cell r="A252">
            <v>1995</v>
          </cell>
          <cell r="B252" t="str">
            <v>SE</v>
          </cell>
          <cell r="C252" t="str">
            <v>-</v>
          </cell>
          <cell r="D252" t="str">
            <v>-</v>
          </cell>
          <cell r="E252" t="str">
            <v>SAN</v>
          </cell>
          <cell r="F252" t="str">
            <v>DEOP</v>
          </cell>
          <cell r="G252" t="str">
            <v>Canalização do Córrego Sarandi - Lote 2</v>
          </cell>
          <cell r="H252">
            <v>7597430</v>
          </cell>
          <cell r="J252">
            <v>34907</v>
          </cell>
          <cell r="K252" t="str">
            <v>-</v>
          </cell>
          <cell r="L252">
            <v>0</v>
          </cell>
          <cell r="M252" t="str">
            <v>Não entregue</v>
          </cell>
        </row>
        <row r="253">
          <cell r="A253">
            <v>1995</v>
          </cell>
          <cell r="B253" t="str">
            <v>SE</v>
          </cell>
          <cell r="C253" t="str">
            <v>-</v>
          </cell>
          <cell r="D253" t="str">
            <v>-</v>
          </cell>
          <cell r="E253" t="str">
            <v>SAN</v>
          </cell>
          <cell r="F253" t="str">
            <v>PM Lavras</v>
          </cell>
          <cell r="G253" t="str">
            <v>Canalização de Quatro Córregos-Lavras</v>
          </cell>
          <cell r="H253">
            <v>5171010</v>
          </cell>
          <cell r="J253">
            <v>34918</v>
          </cell>
          <cell r="K253" t="str">
            <v>-</v>
          </cell>
          <cell r="L253">
            <v>0</v>
          </cell>
          <cell r="M253" t="str">
            <v>CEISAN/Poços</v>
          </cell>
        </row>
        <row r="254">
          <cell r="A254">
            <v>1995</v>
          </cell>
          <cell r="B254" t="str">
            <v>SE</v>
          </cell>
          <cell r="C254" t="str">
            <v>-</v>
          </cell>
          <cell r="D254" t="str">
            <v>-</v>
          </cell>
          <cell r="E254" t="str">
            <v>SAN</v>
          </cell>
          <cell r="F254" t="str">
            <v>PM Nova lima</v>
          </cell>
          <cell r="G254" t="str">
            <v>Canalização Córrego Carioca e ligações</v>
          </cell>
          <cell r="H254">
            <v>1940300</v>
          </cell>
          <cell r="J254">
            <v>34928</v>
          </cell>
          <cell r="K254" t="str">
            <v>-</v>
          </cell>
          <cell r="L254">
            <v>0</v>
          </cell>
          <cell r="M254" t="str">
            <v>Conspar</v>
          </cell>
        </row>
        <row r="255">
          <cell r="A255">
            <v>1995</v>
          </cell>
          <cell r="B255" t="str">
            <v>SE</v>
          </cell>
          <cell r="C255" t="str">
            <v>-</v>
          </cell>
          <cell r="D255" t="str">
            <v>-</v>
          </cell>
          <cell r="E255" t="str">
            <v>IND</v>
          </cell>
          <cell r="F255" t="str">
            <v>CST</v>
          </cell>
          <cell r="G255" t="str">
            <v>Revisão Obras Civis - Alto Forno II</v>
          </cell>
          <cell r="H255">
            <v>12037620</v>
          </cell>
          <cell r="J255">
            <v>34936</v>
          </cell>
          <cell r="K255" t="str">
            <v>-</v>
          </cell>
          <cell r="L255">
            <v>0</v>
          </cell>
          <cell r="M255" t="str">
            <v>Estudo de viabilidade para Davy Mckee</v>
          </cell>
        </row>
        <row r="256">
          <cell r="A256">
            <v>1995</v>
          </cell>
          <cell r="B256" t="str">
            <v>SE</v>
          </cell>
          <cell r="C256" t="str">
            <v>-</v>
          </cell>
          <cell r="D256" t="str">
            <v>-</v>
          </cell>
          <cell r="E256" t="str">
            <v>ROD</v>
          </cell>
          <cell r="F256" t="str">
            <v>DER-MG</v>
          </cell>
          <cell r="G256" t="str">
            <v>BR-381-Lote 4</v>
          </cell>
          <cell r="H256">
            <v>17640720</v>
          </cell>
          <cell r="J256">
            <v>34956</v>
          </cell>
          <cell r="K256" t="str">
            <v>-</v>
          </cell>
          <cell r="L256">
            <v>0</v>
          </cell>
          <cell r="M256" t="str">
            <v>Tork</v>
          </cell>
        </row>
        <row r="257">
          <cell r="A257">
            <v>1995</v>
          </cell>
          <cell r="B257" t="str">
            <v>SE</v>
          </cell>
          <cell r="C257" t="str">
            <v>-</v>
          </cell>
          <cell r="D257" t="str">
            <v>-</v>
          </cell>
          <cell r="E257" t="str">
            <v>ROD</v>
          </cell>
          <cell r="F257" t="str">
            <v>DER-MG</v>
          </cell>
          <cell r="G257" t="str">
            <v>BR-381-Lote 5</v>
          </cell>
          <cell r="H257">
            <v>16926910</v>
          </cell>
          <cell r="J257">
            <v>34956</v>
          </cell>
          <cell r="K257" t="str">
            <v>-</v>
          </cell>
          <cell r="L257">
            <v>0</v>
          </cell>
          <cell r="M257" t="str">
            <v>Triunfo</v>
          </cell>
        </row>
        <row r="258">
          <cell r="A258">
            <v>1995</v>
          </cell>
          <cell r="B258" t="str">
            <v>SE</v>
          </cell>
          <cell r="C258" t="str">
            <v>-</v>
          </cell>
          <cell r="D258" t="str">
            <v>-</v>
          </cell>
          <cell r="E258" t="str">
            <v>ROD</v>
          </cell>
          <cell r="F258" t="str">
            <v>DER-MG</v>
          </cell>
          <cell r="G258" t="str">
            <v>BR-381-Lote 1</v>
          </cell>
          <cell r="H258">
            <v>39632320</v>
          </cell>
          <cell r="J258">
            <v>34956</v>
          </cell>
          <cell r="K258" t="str">
            <v>-</v>
          </cell>
          <cell r="L258">
            <v>0</v>
          </cell>
          <cell r="M258" t="str">
            <v>Triunfo</v>
          </cell>
        </row>
        <row r="259">
          <cell r="A259">
            <v>1995</v>
          </cell>
          <cell r="B259" t="str">
            <v>SE</v>
          </cell>
          <cell r="C259" t="str">
            <v>-</v>
          </cell>
          <cell r="D259" t="str">
            <v>-</v>
          </cell>
          <cell r="E259" t="str">
            <v>ROD</v>
          </cell>
          <cell r="F259" t="str">
            <v>DER-MG</v>
          </cell>
          <cell r="G259" t="str">
            <v>BR-381-Lote 3</v>
          </cell>
          <cell r="H259">
            <v>17762710</v>
          </cell>
          <cell r="J259">
            <v>34956</v>
          </cell>
          <cell r="K259" t="str">
            <v>-</v>
          </cell>
          <cell r="L259">
            <v>0</v>
          </cell>
          <cell r="M259" t="str">
            <v>Tork</v>
          </cell>
        </row>
        <row r="260">
          <cell r="A260">
            <v>1995</v>
          </cell>
          <cell r="B260" t="str">
            <v>SE</v>
          </cell>
          <cell r="C260" t="str">
            <v>-</v>
          </cell>
          <cell r="D260" t="str">
            <v>-</v>
          </cell>
          <cell r="E260" t="str">
            <v>ROD</v>
          </cell>
          <cell r="F260" t="str">
            <v>DER-MG</v>
          </cell>
          <cell r="G260" t="str">
            <v>BR-381-Lote 6</v>
          </cell>
          <cell r="H260">
            <v>17812710</v>
          </cell>
          <cell r="J260">
            <v>34956</v>
          </cell>
          <cell r="K260" t="str">
            <v>-</v>
          </cell>
          <cell r="L260">
            <v>0</v>
          </cell>
          <cell r="M260" t="str">
            <v>Triunfo</v>
          </cell>
        </row>
        <row r="261">
          <cell r="A261">
            <v>1995</v>
          </cell>
          <cell r="B261" t="str">
            <v>SE</v>
          </cell>
          <cell r="C261" t="str">
            <v>-</v>
          </cell>
          <cell r="D261" t="str">
            <v>-</v>
          </cell>
          <cell r="E261" t="str">
            <v>ROD</v>
          </cell>
          <cell r="F261" t="str">
            <v>DER-MG</v>
          </cell>
          <cell r="G261" t="str">
            <v>BR-381-Lote 2</v>
          </cell>
          <cell r="H261">
            <v>44415610</v>
          </cell>
          <cell r="J261">
            <v>34956</v>
          </cell>
          <cell r="K261" t="str">
            <v>-</v>
          </cell>
          <cell r="L261">
            <v>0</v>
          </cell>
          <cell r="M261" t="str">
            <v>Triunfo</v>
          </cell>
        </row>
        <row r="262">
          <cell r="A262">
            <v>1995</v>
          </cell>
          <cell r="B262" t="str">
            <v>SE</v>
          </cell>
          <cell r="C262" t="str">
            <v>-</v>
          </cell>
          <cell r="D262" t="str">
            <v>-</v>
          </cell>
          <cell r="E262" t="str">
            <v>ROD</v>
          </cell>
          <cell r="F262" t="str">
            <v>DER-MG</v>
          </cell>
          <cell r="G262" t="str">
            <v>BR-381-Lote 7</v>
          </cell>
          <cell r="H262">
            <v>31051780</v>
          </cell>
          <cell r="J262">
            <v>34956</v>
          </cell>
          <cell r="K262" t="str">
            <v>-</v>
          </cell>
          <cell r="L262">
            <v>0</v>
          </cell>
          <cell r="M262" t="str">
            <v>Triunfo</v>
          </cell>
        </row>
        <row r="263">
          <cell r="A263">
            <v>1995</v>
          </cell>
          <cell r="B263" t="str">
            <v>SE</v>
          </cell>
          <cell r="C263" t="str">
            <v>-</v>
          </cell>
          <cell r="D263" t="str">
            <v>-</v>
          </cell>
          <cell r="E263" t="str">
            <v>MIN</v>
          </cell>
          <cell r="F263" t="str">
            <v>INCO</v>
          </cell>
          <cell r="G263" t="str">
            <v>Planta Industrial-Mina de Níquel da INCO-GO</v>
          </cell>
          <cell r="H263">
            <v>22276620</v>
          </cell>
          <cell r="J263">
            <v>34962</v>
          </cell>
          <cell r="K263" t="str">
            <v>-</v>
          </cell>
          <cell r="L263">
            <v>0</v>
          </cell>
          <cell r="M263" t="str">
            <v>Estudo de Viabilidade</v>
          </cell>
        </row>
        <row r="264">
          <cell r="A264">
            <v>1995</v>
          </cell>
          <cell r="B264" t="str">
            <v>SE</v>
          </cell>
          <cell r="C264" t="str">
            <v>-</v>
          </cell>
          <cell r="D264" t="str">
            <v>-</v>
          </cell>
          <cell r="E264" t="str">
            <v>IND</v>
          </cell>
          <cell r="F264" t="str">
            <v>FIAT</v>
          </cell>
          <cell r="G264" t="str">
            <v>Estação de Tratamento de Efluentes - Betim</v>
          </cell>
          <cell r="H264">
            <v>1741100</v>
          </cell>
          <cell r="J264">
            <v>35002</v>
          </cell>
          <cell r="K264" t="str">
            <v>-</v>
          </cell>
          <cell r="L264">
            <v>0</v>
          </cell>
          <cell r="M264" t="str">
            <v>Perdemos</v>
          </cell>
        </row>
        <row r="265">
          <cell r="A265">
            <v>1995</v>
          </cell>
          <cell r="B265" t="str">
            <v>SE</v>
          </cell>
          <cell r="C265" t="str">
            <v>-</v>
          </cell>
          <cell r="D265" t="str">
            <v>-</v>
          </cell>
          <cell r="E265" t="str">
            <v>EDU</v>
          </cell>
          <cell r="F265" t="str">
            <v>UNITINS</v>
          </cell>
          <cell r="G265" t="str">
            <v>Universidade Federal do Tocantins</v>
          </cell>
          <cell r="H265">
            <v>6654775.9999999991</v>
          </cell>
          <cell r="J265">
            <v>35016</v>
          </cell>
          <cell r="K265" t="str">
            <v>-</v>
          </cell>
          <cell r="L265">
            <v>0</v>
          </cell>
          <cell r="M265" t="str">
            <v>Estudo de Viabilidade</v>
          </cell>
        </row>
        <row r="266">
          <cell r="A266">
            <v>1995</v>
          </cell>
          <cell r="B266" t="str">
            <v>SE</v>
          </cell>
          <cell r="C266" t="str">
            <v>-</v>
          </cell>
          <cell r="D266" t="str">
            <v>-</v>
          </cell>
          <cell r="E266" t="str">
            <v>SAN</v>
          </cell>
          <cell r="F266" t="str">
            <v>PM Divinópolis</v>
          </cell>
          <cell r="G266" t="str">
            <v>Canalização de Córrego- CP 002-Lote 1</v>
          </cell>
          <cell r="H266">
            <v>820980</v>
          </cell>
          <cell r="J266">
            <v>35034</v>
          </cell>
          <cell r="K266" t="str">
            <v>-</v>
          </cell>
          <cell r="L266">
            <v>0</v>
          </cell>
          <cell r="M266" t="str">
            <v>Pantheon</v>
          </cell>
        </row>
        <row r="267">
          <cell r="A267">
            <v>1995</v>
          </cell>
          <cell r="B267" t="str">
            <v>SE</v>
          </cell>
          <cell r="C267" t="str">
            <v>-</v>
          </cell>
          <cell r="D267" t="str">
            <v>-</v>
          </cell>
          <cell r="E267" t="str">
            <v>IND</v>
          </cell>
          <cell r="F267" t="str">
            <v>Cenibra</v>
          </cell>
          <cell r="G267" t="str">
            <v>Trecho Cocais/S. Paraíso - Terr. e Revest.-Lote 2</v>
          </cell>
          <cell r="H267">
            <v>993750</v>
          </cell>
          <cell r="J267">
            <v>35034</v>
          </cell>
          <cell r="K267" t="str">
            <v>-</v>
          </cell>
          <cell r="L267">
            <v>0</v>
          </cell>
          <cell r="M267" t="str">
            <v>Perdemos</v>
          </cell>
        </row>
        <row r="268">
          <cell r="A268">
            <v>1995</v>
          </cell>
          <cell r="B268" t="str">
            <v>SE</v>
          </cell>
          <cell r="C268" t="str">
            <v>-</v>
          </cell>
          <cell r="D268" t="str">
            <v>-</v>
          </cell>
          <cell r="E268" t="str">
            <v>IND</v>
          </cell>
          <cell r="F268" t="str">
            <v>Cenibra</v>
          </cell>
          <cell r="G268" t="str">
            <v>Trecho Cocais/S. Paraíso - Terr. e Revest.-Lote 1</v>
          </cell>
          <cell r="H268">
            <v>1087670</v>
          </cell>
          <cell r="J268">
            <v>35034</v>
          </cell>
          <cell r="K268" t="str">
            <v>-</v>
          </cell>
          <cell r="L268">
            <v>0</v>
          </cell>
          <cell r="M268" t="str">
            <v>Perdemos</v>
          </cell>
        </row>
        <row r="269">
          <cell r="A269">
            <v>1995</v>
          </cell>
          <cell r="B269" t="str">
            <v>SE</v>
          </cell>
          <cell r="C269" t="str">
            <v>-</v>
          </cell>
          <cell r="D269" t="str">
            <v>-</v>
          </cell>
          <cell r="E269" t="str">
            <v>SAN</v>
          </cell>
          <cell r="F269" t="str">
            <v>PM Divinópolis</v>
          </cell>
          <cell r="G269" t="str">
            <v>Canalização de Córrego- CP 003</v>
          </cell>
          <cell r="H269">
            <v>1810820</v>
          </cell>
          <cell r="J269">
            <v>35034</v>
          </cell>
          <cell r="K269" t="str">
            <v>-</v>
          </cell>
          <cell r="L269">
            <v>0</v>
          </cell>
          <cell r="M269" t="str">
            <v>Sagendra</v>
          </cell>
        </row>
        <row r="270">
          <cell r="A270">
            <v>1995</v>
          </cell>
          <cell r="B270" t="str">
            <v>SE</v>
          </cell>
          <cell r="C270" t="str">
            <v>-</v>
          </cell>
          <cell r="D270" t="str">
            <v>-</v>
          </cell>
          <cell r="E270" t="str">
            <v>SAN</v>
          </cell>
          <cell r="F270" t="str">
            <v>PM Divinópolis</v>
          </cell>
          <cell r="G270" t="str">
            <v>Canalização de Córrego- CP 006</v>
          </cell>
          <cell r="H270">
            <v>1050230</v>
          </cell>
          <cell r="J270">
            <v>35034</v>
          </cell>
          <cell r="K270" t="str">
            <v>-</v>
          </cell>
          <cell r="L270">
            <v>0</v>
          </cell>
          <cell r="M270" t="str">
            <v>Não entregue</v>
          </cell>
        </row>
        <row r="271">
          <cell r="A271">
            <v>1995</v>
          </cell>
          <cell r="B271" t="str">
            <v>SE</v>
          </cell>
          <cell r="C271" t="str">
            <v>-</v>
          </cell>
          <cell r="D271" t="str">
            <v>-</v>
          </cell>
          <cell r="E271" t="str">
            <v>SAN</v>
          </cell>
          <cell r="F271" t="str">
            <v>PM Divinópolis</v>
          </cell>
          <cell r="G271" t="str">
            <v>Canalização de Córrego- CP 002-Lote 2</v>
          </cell>
          <cell r="H271">
            <v>1111630</v>
          </cell>
          <cell r="J271">
            <v>35034</v>
          </cell>
          <cell r="K271" t="str">
            <v>-</v>
          </cell>
          <cell r="L271">
            <v>0</v>
          </cell>
          <cell r="M271" t="str">
            <v>Pantheon</v>
          </cell>
        </row>
        <row r="272">
          <cell r="A272">
            <v>1995</v>
          </cell>
          <cell r="B272" t="str">
            <v>SE</v>
          </cell>
          <cell r="C272" t="str">
            <v>-</v>
          </cell>
          <cell r="D272" t="str">
            <v>-</v>
          </cell>
          <cell r="E272" t="str">
            <v>SAN</v>
          </cell>
          <cell r="F272" t="str">
            <v>PM Divinópolis</v>
          </cell>
          <cell r="G272" t="str">
            <v>Canalização de Córrego- CP 004</v>
          </cell>
          <cell r="H272">
            <v>2388810</v>
          </cell>
          <cell r="J272">
            <v>35034</v>
          </cell>
          <cell r="K272" t="str">
            <v>-</v>
          </cell>
          <cell r="L272">
            <v>0</v>
          </cell>
          <cell r="M272" t="str">
            <v>Pantheon</v>
          </cell>
        </row>
        <row r="273">
          <cell r="A273">
            <v>1995</v>
          </cell>
          <cell r="B273" t="str">
            <v>SE</v>
          </cell>
          <cell r="C273" t="str">
            <v>-</v>
          </cell>
          <cell r="D273" t="str">
            <v>-</v>
          </cell>
          <cell r="E273" t="str">
            <v>SAN</v>
          </cell>
          <cell r="F273" t="str">
            <v>PM Divinópolis</v>
          </cell>
          <cell r="G273" t="str">
            <v>Canalização de Córrego- CP 005</v>
          </cell>
          <cell r="H273">
            <v>2338670</v>
          </cell>
          <cell r="J273">
            <v>35034</v>
          </cell>
          <cell r="K273" t="str">
            <v>-</v>
          </cell>
          <cell r="L273">
            <v>0</v>
          </cell>
          <cell r="M273" t="str">
            <v>Pantheon</v>
          </cell>
        </row>
        <row r="274">
          <cell r="A274">
            <v>1995</v>
          </cell>
          <cell r="B274" t="str">
            <v>SE</v>
          </cell>
          <cell r="C274" t="str">
            <v>-</v>
          </cell>
          <cell r="D274" t="str">
            <v>-</v>
          </cell>
          <cell r="E274" t="str">
            <v>SAN</v>
          </cell>
          <cell r="F274" t="str">
            <v>PM Divinópolis</v>
          </cell>
          <cell r="G274" t="str">
            <v>Canalização de Córrego- CP 002-Lote 3</v>
          </cell>
          <cell r="H274">
            <v>1099170</v>
          </cell>
          <cell r="J274">
            <v>35034</v>
          </cell>
          <cell r="K274" t="str">
            <v>-</v>
          </cell>
          <cell r="L274">
            <v>0</v>
          </cell>
          <cell r="M274" t="str">
            <v>Polienco</v>
          </cell>
        </row>
        <row r="275">
          <cell r="A275">
            <v>1995</v>
          </cell>
          <cell r="B275" t="str">
            <v>SE</v>
          </cell>
          <cell r="C275" t="str">
            <v>-</v>
          </cell>
          <cell r="D275" t="str">
            <v>-</v>
          </cell>
          <cell r="E275" t="str">
            <v>SAN</v>
          </cell>
          <cell r="F275" t="str">
            <v>DEOP</v>
          </cell>
          <cell r="G275" t="str">
            <v>Canalização do Córrego do Sarandi - Lote 3</v>
          </cell>
          <cell r="H275">
            <v>3803180</v>
          </cell>
          <cell r="J275">
            <v>35038</v>
          </cell>
          <cell r="K275" t="str">
            <v>-</v>
          </cell>
          <cell r="L275">
            <v>0</v>
          </cell>
          <cell r="M275" t="str">
            <v>Carvalho Alvim / CAEMGE</v>
          </cell>
        </row>
        <row r="276">
          <cell r="A276">
            <v>1995</v>
          </cell>
          <cell r="B276" t="str">
            <v>SE</v>
          </cell>
          <cell r="C276" t="str">
            <v>-</v>
          </cell>
          <cell r="D276" t="str">
            <v>-</v>
          </cell>
          <cell r="E276" t="str">
            <v>SAN</v>
          </cell>
          <cell r="F276" t="str">
            <v>DEOP</v>
          </cell>
          <cell r="G276" t="str">
            <v>Canalização do Córrego do Sarandi - Lote 1</v>
          </cell>
          <cell r="H276">
            <v>4220360</v>
          </cell>
          <cell r="J276">
            <v>35038</v>
          </cell>
          <cell r="K276" t="str">
            <v>-</v>
          </cell>
          <cell r="L276">
            <v>0</v>
          </cell>
          <cell r="M276" t="str">
            <v>Consórcio Aro / Libe</v>
          </cell>
        </row>
        <row r="277">
          <cell r="A277">
            <v>1995</v>
          </cell>
          <cell r="B277" t="str">
            <v>SE</v>
          </cell>
          <cell r="C277" t="str">
            <v>-</v>
          </cell>
          <cell r="D277" t="str">
            <v>-</v>
          </cell>
          <cell r="E277" t="str">
            <v>SAN</v>
          </cell>
          <cell r="F277" t="str">
            <v>DEOP</v>
          </cell>
          <cell r="G277" t="str">
            <v>Canalização do Córrego do Sarandi - Lote 2</v>
          </cell>
          <cell r="H277">
            <v>6438450</v>
          </cell>
          <cell r="J277">
            <v>35038</v>
          </cell>
          <cell r="K277" t="str">
            <v>-</v>
          </cell>
          <cell r="L277">
            <v>0</v>
          </cell>
          <cell r="M277" t="str">
            <v>Construtora Minas Sul</v>
          </cell>
        </row>
        <row r="278">
          <cell r="A278">
            <v>1995</v>
          </cell>
          <cell r="B278" t="str">
            <v>SE</v>
          </cell>
          <cell r="C278" t="str">
            <v>-</v>
          </cell>
          <cell r="D278" t="str">
            <v>-</v>
          </cell>
          <cell r="E278" t="str">
            <v>SAN</v>
          </cell>
          <cell r="F278" t="str">
            <v>DEOP</v>
          </cell>
          <cell r="G278" t="str">
            <v>Canalização do Córrego Ferrugem - Lote 1</v>
          </cell>
          <cell r="H278">
            <v>3664840</v>
          </cell>
          <cell r="J278">
            <v>35039</v>
          </cell>
          <cell r="K278" t="str">
            <v>-</v>
          </cell>
          <cell r="L278">
            <v>0</v>
          </cell>
          <cell r="M278" t="str">
            <v>Via Engª</v>
          </cell>
        </row>
        <row r="279">
          <cell r="A279">
            <v>1995</v>
          </cell>
          <cell r="B279" t="str">
            <v>SE</v>
          </cell>
          <cell r="C279" t="str">
            <v>-</v>
          </cell>
          <cell r="D279" t="str">
            <v>-</v>
          </cell>
          <cell r="E279" t="str">
            <v>SAN</v>
          </cell>
          <cell r="F279" t="str">
            <v>DEOP</v>
          </cell>
          <cell r="G279" t="str">
            <v>Canalização do Córrego Ferrugem - Lote 2</v>
          </cell>
          <cell r="H279">
            <v>5032160</v>
          </cell>
          <cell r="J279">
            <v>35039</v>
          </cell>
          <cell r="K279" t="str">
            <v>-</v>
          </cell>
          <cell r="L279">
            <v>0</v>
          </cell>
          <cell r="M279" t="str">
            <v>Construtora Minas Sul</v>
          </cell>
        </row>
        <row r="280">
          <cell r="A280">
            <v>1995</v>
          </cell>
          <cell r="B280" t="str">
            <v>SE</v>
          </cell>
          <cell r="C280" t="str">
            <v>-</v>
          </cell>
          <cell r="D280" t="str">
            <v>-</v>
          </cell>
          <cell r="E280" t="str">
            <v>SAN</v>
          </cell>
          <cell r="F280" t="str">
            <v>DEOP</v>
          </cell>
          <cell r="G280" t="str">
            <v>Canalização do Córrego do Onça - Lote 2</v>
          </cell>
          <cell r="H280">
            <v>7301360</v>
          </cell>
          <cell r="J280">
            <v>35040</v>
          </cell>
          <cell r="K280" t="str">
            <v>-</v>
          </cell>
          <cell r="L280">
            <v>0</v>
          </cell>
          <cell r="M280" t="str">
            <v>CAEMGE</v>
          </cell>
        </row>
        <row r="281">
          <cell r="A281">
            <v>1995</v>
          </cell>
          <cell r="B281" t="str">
            <v>SE</v>
          </cell>
          <cell r="C281" t="str">
            <v>-</v>
          </cell>
          <cell r="D281" t="str">
            <v>-</v>
          </cell>
          <cell r="E281" t="str">
            <v>SAN</v>
          </cell>
          <cell r="F281" t="str">
            <v>DEOP</v>
          </cell>
          <cell r="G281" t="str">
            <v>Canalização do Córrego do Onça - Lote 1</v>
          </cell>
          <cell r="H281">
            <v>9808560</v>
          </cell>
          <cell r="J281">
            <v>35040</v>
          </cell>
          <cell r="K281" t="str">
            <v>-</v>
          </cell>
          <cell r="L281">
            <v>0</v>
          </cell>
          <cell r="M281" t="str">
            <v>Construtora Minas Sul</v>
          </cell>
        </row>
        <row r="282">
          <cell r="A282">
            <v>1995</v>
          </cell>
          <cell r="B282" t="str">
            <v>SE</v>
          </cell>
          <cell r="C282" t="str">
            <v>-</v>
          </cell>
          <cell r="D282" t="str">
            <v>-</v>
          </cell>
          <cell r="E282" t="str">
            <v>URB</v>
          </cell>
          <cell r="F282" t="str">
            <v>PM J. de Fora</v>
          </cell>
          <cell r="G282" t="str">
            <v>Urbanização e Drenagem - Juiz de Fora</v>
          </cell>
          <cell r="H282">
            <v>6339830</v>
          </cell>
          <cell r="J282">
            <v>35045</v>
          </cell>
          <cell r="K282" t="str">
            <v>-</v>
          </cell>
          <cell r="L282">
            <v>0</v>
          </cell>
          <cell r="M282" t="str">
            <v>Perdemos</v>
          </cell>
        </row>
        <row r="283">
          <cell r="A283">
            <v>1995</v>
          </cell>
          <cell r="B283" t="str">
            <v>SL</v>
          </cell>
          <cell r="C283" t="str">
            <v>-</v>
          </cell>
          <cell r="D283" t="str">
            <v>-</v>
          </cell>
          <cell r="E283" t="str">
            <v>COM</v>
          </cell>
          <cell r="F283" t="str">
            <v>Carrefour</v>
          </cell>
          <cell r="G283" t="str">
            <v>Construção Hipermercado em Caxias do Sul</v>
          </cell>
          <cell r="H283">
            <v>4220220</v>
          </cell>
          <cell r="J283">
            <v>34827</v>
          </cell>
          <cell r="K283" t="str">
            <v>-</v>
          </cell>
          <cell r="L283">
            <v>0</v>
          </cell>
          <cell r="M283" t="str">
            <v>OAS</v>
          </cell>
        </row>
        <row r="284">
          <cell r="A284">
            <v>1995</v>
          </cell>
          <cell r="B284" t="str">
            <v>SL</v>
          </cell>
          <cell r="C284" t="str">
            <v>-</v>
          </cell>
          <cell r="D284" t="str">
            <v>-</v>
          </cell>
          <cell r="E284" t="str">
            <v>ROD</v>
          </cell>
          <cell r="F284" t="str">
            <v>CM BR / PAR</v>
          </cell>
          <cell r="G284" t="str">
            <v>Concessão da 2ª Ponte Brasil / Paraguai</v>
          </cell>
          <cell r="H284">
            <v>37568070</v>
          </cell>
          <cell r="J284">
            <v>34879</v>
          </cell>
          <cell r="K284" t="str">
            <v>-</v>
          </cell>
          <cell r="L284">
            <v>0</v>
          </cell>
          <cell r="M284" t="str">
            <v>Cancelada</v>
          </cell>
        </row>
        <row r="285">
          <cell r="A285">
            <v>1995</v>
          </cell>
          <cell r="B285" t="str">
            <v>SL</v>
          </cell>
          <cell r="C285" t="str">
            <v>-</v>
          </cell>
          <cell r="D285" t="str">
            <v>-</v>
          </cell>
          <cell r="E285" t="str">
            <v>ROD</v>
          </cell>
          <cell r="F285" t="str">
            <v>DNER</v>
          </cell>
          <cell r="G285" t="str">
            <v>BR-153- Trecho União da Vitória / Divisa PR/SC</v>
          </cell>
          <cell r="H285">
            <v>9302280</v>
          </cell>
          <cell r="J285">
            <v>34886</v>
          </cell>
          <cell r="K285" t="str">
            <v>-</v>
          </cell>
          <cell r="L285">
            <v>0</v>
          </cell>
          <cell r="M285" t="str">
            <v>Inabilitada</v>
          </cell>
        </row>
        <row r="286">
          <cell r="A286">
            <v>1995</v>
          </cell>
          <cell r="B286" t="str">
            <v>SL</v>
          </cell>
          <cell r="C286" t="str">
            <v>-</v>
          </cell>
          <cell r="D286" t="str">
            <v>-</v>
          </cell>
          <cell r="E286" t="str">
            <v>SAN</v>
          </cell>
          <cell r="F286" t="str">
            <v>A. Argentinas</v>
          </cell>
          <cell r="G286" t="str">
            <v>Sistema de Água e Esgoto de Buenos Aires - Sul</v>
          </cell>
          <cell r="H286">
            <v>126848800</v>
          </cell>
          <cell r="J286">
            <v>34898</v>
          </cell>
          <cell r="K286" t="str">
            <v>-</v>
          </cell>
          <cell r="L286">
            <v>0</v>
          </cell>
          <cell r="M286" t="str">
            <v>Sade CGTH SA / Ferromel SA</v>
          </cell>
        </row>
        <row r="287">
          <cell r="A287">
            <v>1995</v>
          </cell>
          <cell r="B287" t="str">
            <v>SL</v>
          </cell>
          <cell r="C287" t="str">
            <v>-</v>
          </cell>
          <cell r="D287" t="str">
            <v>-</v>
          </cell>
          <cell r="E287" t="str">
            <v>SAN</v>
          </cell>
          <cell r="F287" t="str">
            <v>A. Argentinas</v>
          </cell>
          <cell r="G287" t="str">
            <v>Sistema de Água e Esgoto de Buenos Aires - Norte</v>
          </cell>
          <cell r="H287">
            <v>65466510</v>
          </cell>
          <cell r="J287">
            <v>34898</v>
          </cell>
          <cell r="K287" t="str">
            <v>-</v>
          </cell>
          <cell r="L287">
            <v>0</v>
          </cell>
          <cell r="M287" t="str">
            <v>Dumez SA / Areco Ingª SA</v>
          </cell>
        </row>
        <row r="288">
          <cell r="A288">
            <v>1995</v>
          </cell>
          <cell r="B288" t="str">
            <v>SL</v>
          </cell>
          <cell r="C288" t="str">
            <v>-</v>
          </cell>
          <cell r="D288" t="str">
            <v>-</v>
          </cell>
          <cell r="E288" t="str">
            <v>SAN</v>
          </cell>
          <cell r="F288" t="str">
            <v>A. Argentinas</v>
          </cell>
          <cell r="G288" t="str">
            <v>Sistema de Água e Esgoto de Buenos Aires - Oeste</v>
          </cell>
          <cell r="H288">
            <v>52878900</v>
          </cell>
          <cell r="J288">
            <v>34898</v>
          </cell>
          <cell r="K288" t="str">
            <v>-</v>
          </cell>
          <cell r="L288">
            <v>0</v>
          </cell>
          <cell r="M288" t="str">
            <v>Techint SA / Abengoa / Huayqui</v>
          </cell>
        </row>
        <row r="289">
          <cell r="A289">
            <v>1995</v>
          </cell>
          <cell r="B289" t="str">
            <v>SL</v>
          </cell>
          <cell r="C289" t="str">
            <v>-</v>
          </cell>
          <cell r="D289" t="str">
            <v>-</v>
          </cell>
          <cell r="E289" t="str">
            <v>DIV</v>
          </cell>
          <cell r="F289" t="str">
            <v>SEBRAE</v>
          </cell>
          <cell r="G289" t="str">
            <v>Edifício Sede do SEBRAE - Paraná</v>
          </cell>
          <cell r="H289">
            <v>3560590</v>
          </cell>
          <cell r="J289">
            <v>34913</v>
          </cell>
          <cell r="K289" t="str">
            <v>-</v>
          </cell>
          <cell r="L289">
            <v>0</v>
          </cell>
          <cell r="M289" t="str">
            <v>Não entregue</v>
          </cell>
        </row>
        <row r="290">
          <cell r="A290">
            <v>1995</v>
          </cell>
          <cell r="B290" t="str">
            <v>SL</v>
          </cell>
          <cell r="C290" t="str">
            <v>-</v>
          </cell>
          <cell r="D290" t="str">
            <v>-</v>
          </cell>
          <cell r="E290" t="str">
            <v>IND</v>
          </cell>
          <cell r="F290" t="str">
            <v>Votorantin</v>
          </cell>
          <cell r="G290" t="str">
            <v>Serviços Civis - Rio Branco do Sul</v>
          </cell>
          <cell r="H290">
            <v>2047220</v>
          </cell>
          <cell r="J290">
            <v>34950</v>
          </cell>
          <cell r="K290" t="str">
            <v>-</v>
          </cell>
          <cell r="L290">
            <v>0</v>
          </cell>
          <cell r="M290" t="str">
            <v>Brotto Engª</v>
          </cell>
        </row>
        <row r="291">
          <cell r="A291">
            <v>1995</v>
          </cell>
          <cell r="B291" t="str">
            <v>SL</v>
          </cell>
          <cell r="C291" t="str">
            <v>-</v>
          </cell>
          <cell r="D291" t="str">
            <v>-</v>
          </cell>
          <cell r="E291" t="str">
            <v>JUST</v>
          </cell>
          <cell r="F291" t="str">
            <v>TJ Paraná</v>
          </cell>
          <cell r="G291" t="str">
            <v>Edifício do Forum de Foz de Iguaçu</v>
          </cell>
          <cell r="H291">
            <v>5782400</v>
          </cell>
          <cell r="J291">
            <v>34988</v>
          </cell>
          <cell r="K291" t="str">
            <v>-</v>
          </cell>
          <cell r="L291">
            <v>0</v>
          </cell>
          <cell r="M291" t="str">
            <v>JL Ltda</v>
          </cell>
        </row>
        <row r="292">
          <cell r="A292">
            <v>1995</v>
          </cell>
          <cell r="B292" t="str">
            <v>SL</v>
          </cell>
          <cell r="C292" t="str">
            <v>-</v>
          </cell>
          <cell r="D292" t="str">
            <v>-</v>
          </cell>
          <cell r="E292" t="str">
            <v>IND</v>
          </cell>
          <cell r="F292" t="str">
            <v>Inpacel</v>
          </cell>
          <cell r="G292" t="str">
            <v>Fábrica de Papel de Arapoti - Trecho 1</v>
          </cell>
          <cell r="H292">
            <v>5523140</v>
          </cell>
          <cell r="J292">
            <v>35032</v>
          </cell>
          <cell r="K292" t="str">
            <v>-</v>
          </cell>
          <cell r="L292">
            <v>0</v>
          </cell>
          <cell r="M292" t="str">
            <v>Perdemos</v>
          </cell>
        </row>
        <row r="293">
          <cell r="A293">
            <v>1995</v>
          </cell>
          <cell r="B293" t="str">
            <v>SL</v>
          </cell>
          <cell r="C293" t="str">
            <v>-</v>
          </cell>
          <cell r="D293" t="str">
            <v>-</v>
          </cell>
          <cell r="E293" t="str">
            <v>IND</v>
          </cell>
          <cell r="F293" t="str">
            <v>Inpacel</v>
          </cell>
          <cell r="G293" t="str">
            <v>Fábrica de Papel de Arapoti - Trecho 2</v>
          </cell>
          <cell r="H293">
            <v>4299200</v>
          </cell>
          <cell r="J293">
            <v>35032</v>
          </cell>
          <cell r="K293" t="str">
            <v>-</v>
          </cell>
          <cell r="L293">
            <v>0</v>
          </cell>
          <cell r="M293" t="str">
            <v>Perdemos</v>
          </cell>
        </row>
        <row r="294">
          <cell r="A294">
            <v>1995</v>
          </cell>
          <cell r="B294" t="str">
            <v>SL</v>
          </cell>
          <cell r="C294" t="str">
            <v>-</v>
          </cell>
          <cell r="D294" t="str">
            <v>-</v>
          </cell>
          <cell r="E294" t="str">
            <v>SAN</v>
          </cell>
          <cell r="F294" t="str">
            <v>Sanepar</v>
          </cell>
          <cell r="G294" t="str">
            <v>ETE de Atuba Sul - Lote 3</v>
          </cell>
          <cell r="H294">
            <v>8911430</v>
          </cell>
          <cell r="J294">
            <v>35038</v>
          </cell>
          <cell r="K294" t="str">
            <v>-</v>
          </cell>
          <cell r="L294">
            <v>0</v>
          </cell>
          <cell r="M294" t="str">
            <v>Perdemos</v>
          </cell>
        </row>
        <row r="295">
          <cell r="A295">
            <v>1995</v>
          </cell>
          <cell r="B295" t="str">
            <v>SL</v>
          </cell>
          <cell r="C295" t="str">
            <v>-</v>
          </cell>
          <cell r="D295" t="str">
            <v>-</v>
          </cell>
          <cell r="E295" t="str">
            <v>SAN</v>
          </cell>
          <cell r="F295" t="str">
            <v>Sanepar</v>
          </cell>
          <cell r="G295" t="str">
            <v>Redes Coletoras e Estação de Tratamento-Lote 5</v>
          </cell>
          <cell r="H295">
            <v>11996130</v>
          </cell>
          <cell r="J295">
            <v>35038</v>
          </cell>
          <cell r="K295" t="str">
            <v>-</v>
          </cell>
          <cell r="L295">
            <v>0</v>
          </cell>
          <cell r="M295" t="str">
            <v>Perdemos</v>
          </cell>
        </row>
        <row r="296">
          <cell r="A296">
            <v>1995</v>
          </cell>
          <cell r="B296" t="str">
            <v>SL</v>
          </cell>
          <cell r="C296" t="str">
            <v>-</v>
          </cell>
          <cell r="D296" t="str">
            <v>-</v>
          </cell>
          <cell r="E296" t="str">
            <v>ROD</v>
          </cell>
          <cell r="F296" t="str">
            <v>DNER</v>
          </cell>
          <cell r="G296" t="str">
            <v>BR-392-Cerro Largo/Porto Xavier-Lotes 1</v>
          </cell>
          <cell r="H296">
            <v>6584420</v>
          </cell>
          <cell r="J296">
            <v>35048</v>
          </cell>
          <cell r="K296">
            <v>1</v>
          </cell>
          <cell r="L296">
            <v>1</v>
          </cell>
          <cell r="M296" t="str">
            <v>AG - 1º Lugar</v>
          </cell>
        </row>
        <row r="297">
          <cell r="A297">
            <v>1995</v>
          </cell>
          <cell r="B297" t="str">
            <v>SL</v>
          </cell>
          <cell r="C297" t="str">
            <v>-</v>
          </cell>
          <cell r="D297" t="str">
            <v>-</v>
          </cell>
          <cell r="E297" t="str">
            <v>ROD</v>
          </cell>
          <cell r="F297" t="str">
            <v>DNER</v>
          </cell>
          <cell r="G297" t="str">
            <v>BR-392-Cerro Largo/Porto Xavier-Lotes 2</v>
          </cell>
          <cell r="H297">
            <v>5287260</v>
          </cell>
          <cell r="J297">
            <v>35048</v>
          </cell>
          <cell r="K297">
            <v>1</v>
          </cell>
          <cell r="L297">
            <v>1</v>
          </cell>
          <cell r="M297" t="str">
            <v>AG - 1º Lugar</v>
          </cell>
        </row>
        <row r="298">
          <cell r="A298">
            <v>1995</v>
          </cell>
          <cell r="B298" t="str">
            <v>SL</v>
          </cell>
          <cell r="C298" t="str">
            <v>-</v>
          </cell>
          <cell r="D298" t="str">
            <v>-</v>
          </cell>
          <cell r="E298" t="str">
            <v>SAN</v>
          </cell>
          <cell r="F298" t="str">
            <v>Sanepar</v>
          </cell>
          <cell r="G298" t="str">
            <v>PROSAN II - Lote 5</v>
          </cell>
          <cell r="H298">
            <v>5517440</v>
          </cell>
          <cell r="J298">
            <v>35051</v>
          </cell>
          <cell r="K298">
            <v>1</v>
          </cell>
          <cell r="L298">
            <v>1</v>
          </cell>
          <cell r="M298" t="str">
            <v>AG - 1º Lugar</v>
          </cell>
        </row>
        <row r="299">
          <cell r="A299">
            <v>1996</v>
          </cell>
          <cell r="B299" t="str">
            <v>NE</v>
          </cell>
          <cell r="C299" t="str">
            <v>-</v>
          </cell>
          <cell r="D299" t="str">
            <v>-</v>
          </cell>
          <cell r="E299" t="str">
            <v>SAN</v>
          </cell>
          <cell r="F299" t="str">
            <v>EMBASA</v>
          </cell>
          <cell r="G299" t="str">
            <v>Sistema de Esgotamento Sanitário  de Porto Seguro</v>
          </cell>
          <cell r="H299">
            <v>8008100</v>
          </cell>
          <cell r="J299">
            <v>35065</v>
          </cell>
          <cell r="K299" t="str">
            <v>-</v>
          </cell>
          <cell r="L299">
            <v>0</v>
          </cell>
          <cell r="M299" t="str">
            <v>-</v>
          </cell>
        </row>
        <row r="300">
          <cell r="A300">
            <v>1996</v>
          </cell>
          <cell r="B300" t="str">
            <v>NE</v>
          </cell>
          <cell r="C300" t="str">
            <v>-</v>
          </cell>
          <cell r="D300" t="str">
            <v>-</v>
          </cell>
          <cell r="E300" t="str">
            <v>SAN</v>
          </cell>
          <cell r="F300" t="str">
            <v>ALUMAR</v>
          </cell>
          <cell r="G300" t="str">
            <v>Construção do Lago de Resíduos de Bauxita</v>
          </cell>
          <cell r="H300">
            <v>6152190</v>
          </cell>
          <cell r="J300">
            <v>35065</v>
          </cell>
          <cell r="K300" t="str">
            <v>-</v>
          </cell>
          <cell r="L300">
            <v>0</v>
          </cell>
          <cell r="M300" t="str">
            <v>-</v>
          </cell>
        </row>
        <row r="301">
          <cell r="A301">
            <v>1996</v>
          </cell>
          <cell r="B301" t="str">
            <v>NE</v>
          </cell>
          <cell r="C301" t="str">
            <v>-</v>
          </cell>
          <cell r="D301" t="str">
            <v>-</v>
          </cell>
          <cell r="E301" t="str">
            <v>SAN</v>
          </cell>
          <cell r="F301" t="str">
            <v>EMBASA</v>
          </cell>
          <cell r="G301" t="str">
            <v>Sistema de Abastecimento de Água  de Jaguaguara / Itaquara</v>
          </cell>
          <cell r="H301">
            <v>5654370</v>
          </cell>
          <cell r="J301">
            <v>35186</v>
          </cell>
          <cell r="K301" t="str">
            <v>-</v>
          </cell>
          <cell r="L301">
            <v>0</v>
          </cell>
          <cell r="M301" t="str">
            <v>-</v>
          </cell>
        </row>
        <row r="302">
          <cell r="A302">
            <v>1996</v>
          </cell>
          <cell r="B302" t="str">
            <v>NE</v>
          </cell>
          <cell r="C302" t="str">
            <v>-</v>
          </cell>
          <cell r="D302" t="str">
            <v>-</v>
          </cell>
          <cell r="E302" t="str">
            <v>SAN</v>
          </cell>
          <cell r="F302" t="str">
            <v>EMBASA</v>
          </cell>
          <cell r="G302" t="str">
            <v>Bacia da Calafate - Salvador</v>
          </cell>
          <cell r="H302">
            <v>6751360</v>
          </cell>
          <cell r="J302">
            <v>35186</v>
          </cell>
          <cell r="K302" t="str">
            <v>-</v>
          </cell>
          <cell r="L302">
            <v>0</v>
          </cell>
          <cell r="M302" t="str">
            <v>-</v>
          </cell>
        </row>
        <row r="303">
          <cell r="A303">
            <v>1996</v>
          </cell>
          <cell r="B303" t="str">
            <v>NE</v>
          </cell>
          <cell r="C303" t="str">
            <v>-</v>
          </cell>
          <cell r="D303" t="str">
            <v>-</v>
          </cell>
          <cell r="E303" t="str">
            <v>SAN</v>
          </cell>
          <cell r="F303" t="str">
            <v>EMBASA</v>
          </cell>
          <cell r="G303" t="str">
            <v>Bacia do Médio Camarugipe - Salvador</v>
          </cell>
          <cell r="H303">
            <v>7812450</v>
          </cell>
          <cell r="J303">
            <v>35186</v>
          </cell>
          <cell r="K303" t="str">
            <v>-</v>
          </cell>
          <cell r="L303">
            <v>0</v>
          </cell>
          <cell r="M303" t="str">
            <v>-</v>
          </cell>
        </row>
        <row r="304">
          <cell r="A304">
            <v>1996</v>
          </cell>
          <cell r="B304" t="str">
            <v>NE</v>
          </cell>
          <cell r="C304" t="str">
            <v>-</v>
          </cell>
          <cell r="D304" t="str">
            <v>-</v>
          </cell>
          <cell r="E304" t="str">
            <v>ROD</v>
          </cell>
          <cell r="F304" t="str">
            <v>DERBA</v>
          </cell>
          <cell r="G304" t="str">
            <v>Caculé/L. Almeida - Lote 5</v>
          </cell>
          <cell r="H304">
            <v>3570190</v>
          </cell>
          <cell r="J304">
            <v>35217</v>
          </cell>
          <cell r="K304" t="str">
            <v>-</v>
          </cell>
          <cell r="L304">
            <v>0</v>
          </cell>
          <cell r="M304" t="str">
            <v>-</v>
          </cell>
        </row>
        <row r="305">
          <cell r="A305">
            <v>1996</v>
          </cell>
          <cell r="B305" t="str">
            <v>NE</v>
          </cell>
          <cell r="C305" t="str">
            <v>-</v>
          </cell>
          <cell r="D305" t="str">
            <v>-</v>
          </cell>
          <cell r="E305" t="str">
            <v>ROD</v>
          </cell>
          <cell r="F305" t="str">
            <v>DERBA</v>
          </cell>
          <cell r="G305" t="str">
            <v>BA-001/Prategi - Lote 2A</v>
          </cell>
          <cell r="H305">
            <v>3178240</v>
          </cell>
          <cell r="J305">
            <v>35217</v>
          </cell>
          <cell r="K305" t="str">
            <v>-</v>
          </cell>
          <cell r="L305">
            <v>0</v>
          </cell>
          <cell r="M305" t="str">
            <v>-</v>
          </cell>
        </row>
        <row r="306">
          <cell r="A306">
            <v>1996</v>
          </cell>
          <cell r="B306" t="str">
            <v>NE</v>
          </cell>
          <cell r="C306" t="str">
            <v>-</v>
          </cell>
          <cell r="D306" t="str">
            <v>-</v>
          </cell>
          <cell r="E306" t="str">
            <v>ROD</v>
          </cell>
          <cell r="F306" t="str">
            <v>DERBA</v>
          </cell>
          <cell r="G306" t="str">
            <v>BA-001/Prategi - Lote 2B</v>
          </cell>
          <cell r="H306">
            <v>2847860</v>
          </cell>
          <cell r="J306">
            <v>35217</v>
          </cell>
          <cell r="K306" t="str">
            <v>-</v>
          </cell>
          <cell r="L306">
            <v>0</v>
          </cell>
          <cell r="M306" t="str">
            <v>-</v>
          </cell>
        </row>
        <row r="307">
          <cell r="A307">
            <v>1996</v>
          </cell>
          <cell r="B307" t="str">
            <v>NE</v>
          </cell>
          <cell r="C307" t="str">
            <v>-</v>
          </cell>
          <cell r="D307" t="str">
            <v>-</v>
          </cell>
          <cell r="E307" t="str">
            <v>ROD</v>
          </cell>
          <cell r="F307" t="str">
            <v>DERBA</v>
          </cell>
          <cell r="G307" t="str">
            <v xml:space="preserve">BR-030 - Lote 6 A </v>
          </cell>
          <cell r="H307">
            <v>1697990</v>
          </cell>
          <cell r="J307">
            <v>35217</v>
          </cell>
          <cell r="K307" t="str">
            <v>-</v>
          </cell>
          <cell r="L307">
            <v>0</v>
          </cell>
          <cell r="M307" t="str">
            <v>-</v>
          </cell>
        </row>
        <row r="308">
          <cell r="A308">
            <v>1996</v>
          </cell>
          <cell r="B308" t="str">
            <v>NE</v>
          </cell>
          <cell r="C308" t="str">
            <v>-</v>
          </cell>
          <cell r="D308" t="str">
            <v>-</v>
          </cell>
          <cell r="E308" t="str">
            <v>ROD</v>
          </cell>
          <cell r="F308" t="str">
            <v>DERBA</v>
          </cell>
          <cell r="G308" t="str">
            <v>BR-030 - Lote 6 B</v>
          </cell>
          <cell r="H308">
            <v>1405280</v>
          </cell>
          <cell r="J308">
            <v>35217</v>
          </cell>
          <cell r="K308" t="str">
            <v>-</v>
          </cell>
          <cell r="L308">
            <v>0</v>
          </cell>
          <cell r="M308" t="str">
            <v>-</v>
          </cell>
        </row>
        <row r="309">
          <cell r="A309">
            <v>1996</v>
          </cell>
          <cell r="B309" t="str">
            <v>NE</v>
          </cell>
          <cell r="C309" t="str">
            <v>-</v>
          </cell>
          <cell r="D309" t="str">
            <v>-</v>
          </cell>
          <cell r="E309" t="str">
            <v>IND</v>
          </cell>
          <cell r="F309" t="str">
            <v>Schincariol</v>
          </cell>
          <cell r="G309" t="str">
            <v>SCHINCARIOL - Unidade Nordeste Alagoinhas - BA</v>
          </cell>
          <cell r="H309">
            <v>2421860</v>
          </cell>
          <cell r="J309">
            <v>35247</v>
          </cell>
          <cell r="K309" t="str">
            <v>-</v>
          </cell>
          <cell r="L309">
            <v>0</v>
          </cell>
          <cell r="M309" t="str">
            <v>-</v>
          </cell>
        </row>
        <row r="310">
          <cell r="A310">
            <v>1996</v>
          </cell>
          <cell r="B310" t="str">
            <v>NE</v>
          </cell>
          <cell r="C310" t="str">
            <v>-</v>
          </cell>
          <cell r="D310" t="str">
            <v>-</v>
          </cell>
          <cell r="E310" t="str">
            <v>IND</v>
          </cell>
          <cell r="F310" t="str">
            <v>Schincariol</v>
          </cell>
          <cell r="G310" t="str">
            <v>SCHINCARIOL - Unidade Nordeste Alagoinhas - BA</v>
          </cell>
          <cell r="H310">
            <v>15856980</v>
          </cell>
          <cell r="J310">
            <v>35247</v>
          </cell>
          <cell r="K310" t="str">
            <v>-</v>
          </cell>
          <cell r="L310">
            <v>0</v>
          </cell>
          <cell r="M310" t="str">
            <v>-</v>
          </cell>
        </row>
        <row r="311">
          <cell r="A311">
            <v>1996</v>
          </cell>
          <cell r="B311" t="str">
            <v>NE</v>
          </cell>
          <cell r="C311" t="str">
            <v>-</v>
          </cell>
          <cell r="D311" t="str">
            <v>-</v>
          </cell>
          <cell r="E311" t="str">
            <v>ROD</v>
          </cell>
          <cell r="F311" t="str">
            <v>DERBA</v>
          </cell>
          <cell r="G311" t="str">
            <v xml:space="preserve">Edital 002/96 - Lote 6  </v>
          </cell>
          <cell r="H311">
            <v>1405280</v>
          </cell>
          <cell r="J311">
            <v>35247</v>
          </cell>
          <cell r="K311" t="str">
            <v>-</v>
          </cell>
          <cell r="L311" t="str">
            <v>-</v>
          </cell>
          <cell r="M311" t="str">
            <v>-</v>
          </cell>
        </row>
        <row r="312">
          <cell r="A312">
            <v>1996</v>
          </cell>
          <cell r="B312" t="str">
            <v>NE</v>
          </cell>
          <cell r="C312" t="str">
            <v>-</v>
          </cell>
          <cell r="D312" t="str">
            <v>-</v>
          </cell>
          <cell r="E312" t="str">
            <v>ROD</v>
          </cell>
          <cell r="F312" t="str">
            <v>DERBA</v>
          </cell>
          <cell r="G312" t="str">
            <v>Edital 003/96 - Lote 12</v>
          </cell>
          <cell r="H312">
            <v>12776780</v>
          </cell>
          <cell r="J312">
            <v>35247</v>
          </cell>
          <cell r="K312" t="str">
            <v>-</v>
          </cell>
          <cell r="L312" t="str">
            <v>-</v>
          </cell>
          <cell r="M312" t="str">
            <v>-</v>
          </cell>
        </row>
        <row r="313">
          <cell r="A313">
            <v>1996</v>
          </cell>
          <cell r="B313" t="str">
            <v>NE</v>
          </cell>
          <cell r="C313" t="str">
            <v>-</v>
          </cell>
          <cell r="D313" t="str">
            <v>-</v>
          </cell>
          <cell r="E313" t="str">
            <v>ROD</v>
          </cell>
          <cell r="F313" t="str">
            <v>DERBA</v>
          </cell>
          <cell r="G313" t="str">
            <v>Edital 003/96 - Lote 12 - C</v>
          </cell>
          <cell r="H313">
            <v>15104780</v>
          </cell>
          <cell r="J313">
            <v>35247</v>
          </cell>
          <cell r="K313" t="str">
            <v>-</v>
          </cell>
          <cell r="L313" t="str">
            <v>-</v>
          </cell>
          <cell r="M313" t="str">
            <v>-</v>
          </cell>
        </row>
        <row r="314">
          <cell r="A314">
            <v>1996</v>
          </cell>
          <cell r="B314" t="str">
            <v>NE</v>
          </cell>
          <cell r="C314" t="str">
            <v>-</v>
          </cell>
          <cell r="D314" t="str">
            <v>-</v>
          </cell>
          <cell r="E314" t="str">
            <v>ROD</v>
          </cell>
          <cell r="F314" t="str">
            <v>DERBA</v>
          </cell>
          <cell r="G314" t="str">
            <v xml:space="preserve">Edital 002/96 - Lote 2  </v>
          </cell>
          <cell r="H314">
            <v>2847860</v>
          </cell>
          <cell r="J314">
            <v>35247</v>
          </cell>
          <cell r="K314" t="str">
            <v>-</v>
          </cell>
          <cell r="L314" t="str">
            <v>-</v>
          </cell>
          <cell r="M314" t="str">
            <v>-</v>
          </cell>
        </row>
        <row r="315">
          <cell r="A315">
            <v>1996</v>
          </cell>
          <cell r="B315" t="str">
            <v>NE</v>
          </cell>
          <cell r="C315" t="str">
            <v>-</v>
          </cell>
          <cell r="D315" t="str">
            <v>-</v>
          </cell>
          <cell r="E315" t="str">
            <v>ROD</v>
          </cell>
          <cell r="F315" t="str">
            <v>DERBA</v>
          </cell>
          <cell r="G315" t="str">
            <v>Edital 003/96 - Lote 11</v>
          </cell>
          <cell r="H315">
            <v>12076100</v>
          </cell>
          <cell r="J315">
            <v>35247</v>
          </cell>
          <cell r="K315" t="str">
            <v>-</v>
          </cell>
          <cell r="L315" t="str">
            <v>-</v>
          </cell>
          <cell r="M315" t="str">
            <v>-</v>
          </cell>
        </row>
        <row r="316">
          <cell r="A316">
            <v>1996</v>
          </cell>
          <cell r="B316" t="str">
            <v>NE</v>
          </cell>
          <cell r="C316" t="str">
            <v>-</v>
          </cell>
          <cell r="D316" t="str">
            <v>-</v>
          </cell>
          <cell r="E316" t="str">
            <v>ROD</v>
          </cell>
          <cell r="F316" t="str">
            <v>DERBA</v>
          </cell>
          <cell r="G316" t="str">
            <v xml:space="preserve">Edital 003/96 - Lote 3 </v>
          </cell>
          <cell r="H316">
            <v>8154390</v>
          </cell>
          <cell r="J316">
            <v>35247</v>
          </cell>
          <cell r="K316" t="str">
            <v>-</v>
          </cell>
          <cell r="L316" t="str">
            <v>-</v>
          </cell>
          <cell r="M316" t="str">
            <v>-</v>
          </cell>
        </row>
        <row r="317">
          <cell r="A317">
            <v>1996</v>
          </cell>
          <cell r="B317" t="str">
            <v>NE</v>
          </cell>
          <cell r="C317" t="str">
            <v>-</v>
          </cell>
          <cell r="D317" t="str">
            <v>-</v>
          </cell>
          <cell r="E317" t="str">
            <v>IND</v>
          </cell>
          <cell r="F317" t="str">
            <v>BRAHMA</v>
          </cell>
          <cell r="G317" t="str">
            <v>BRAHMA Unidade Águas Claras Estância - SE</v>
          </cell>
          <cell r="H317">
            <v>5275390</v>
          </cell>
          <cell r="J317">
            <v>35247</v>
          </cell>
          <cell r="K317" t="str">
            <v>-</v>
          </cell>
          <cell r="L317" t="str">
            <v>-</v>
          </cell>
          <cell r="M317" t="str">
            <v>-</v>
          </cell>
        </row>
        <row r="318">
          <cell r="A318">
            <v>1996</v>
          </cell>
          <cell r="B318" t="str">
            <v>NE</v>
          </cell>
          <cell r="C318" t="str">
            <v>-</v>
          </cell>
          <cell r="D318" t="str">
            <v>-</v>
          </cell>
          <cell r="E318" t="str">
            <v>ROD</v>
          </cell>
          <cell r="F318" t="str">
            <v>DERBA</v>
          </cell>
          <cell r="G318" t="str">
            <v>Edital 002/96 - Lote 5</v>
          </cell>
          <cell r="H318">
            <v>3570190</v>
          </cell>
          <cell r="J318">
            <v>35247</v>
          </cell>
          <cell r="K318" t="str">
            <v>-</v>
          </cell>
          <cell r="L318" t="str">
            <v>-</v>
          </cell>
          <cell r="M318" t="str">
            <v>-</v>
          </cell>
        </row>
        <row r="319">
          <cell r="A319">
            <v>1996</v>
          </cell>
          <cell r="B319" t="str">
            <v>NE</v>
          </cell>
          <cell r="C319" t="str">
            <v>-</v>
          </cell>
          <cell r="D319" t="str">
            <v>-</v>
          </cell>
          <cell r="E319" t="str">
            <v>ROD</v>
          </cell>
          <cell r="F319" t="str">
            <v>DERBA</v>
          </cell>
          <cell r="G319" t="str">
            <v>Edital 002/96 - Lote 2 - C</v>
          </cell>
          <cell r="H319">
            <v>3178240</v>
          </cell>
          <cell r="J319">
            <v>35247</v>
          </cell>
          <cell r="K319" t="str">
            <v>-</v>
          </cell>
          <cell r="L319" t="str">
            <v>-</v>
          </cell>
          <cell r="M319" t="str">
            <v>-</v>
          </cell>
        </row>
        <row r="320">
          <cell r="A320">
            <v>1996</v>
          </cell>
          <cell r="B320" t="str">
            <v>NE</v>
          </cell>
          <cell r="C320" t="str">
            <v>-</v>
          </cell>
          <cell r="D320" t="str">
            <v>-</v>
          </cell>
          <cell r="E320" t="str">
            <v>ROD</v>
          </cell>
          <cell r="F320" t="str">
            <v>DERBA</v>
          </cell>
          <cell r="G320" t="str">
            <v xml:space="preserve">Lote 2  -A  </v>
          </cell>
          <cell r="H320">
            <v>3178240</v>
          </cell>
          <cell r="J320">
            <v>35247</v>
          </cell>
          <cell r="K320" t="str">
            <v>-</v>
          </cell>
          <cell r="L320" t="str">
            <v>-</v>
          </cell>
          <cell r="M320" t="str">
            <v>-</v>
          </cell>
        </row>
        <row r="321">
          <cell r="A321">
            <v>1996</v>
          </cell>
          <cell r="B321" t="str">
            <v>NE</v>
          </cell>
          <cell r="C321" t="str">
            <v>-</v>
          </cell>
          <cell r="D321" t="str">
            <v>-</v>
          </cell>
          <cell r="E321" t="str">
            <v>ROD</v>
          </cell>
          <cell r="F321" t="str">
            <v>DERBA</v>
          </cell>
          <cell r="G321" t="str">
            <v>Edital 003/96 - Lote 3 - C</v>
          </cell>
          <cell r="H321">
            <v>10445130</v>
          </cell>
          <cell r="J321">
            <v>35247</v>
          </cell>
          <cell r="K321" t="str">
            <v>-</v>
          </cell>
          <cell r="L321" t="str">
            <v>-</v>
          </cell>
          <cell r="M321" t="str">
            <v>-</v>
          </cell>
        </row>
        <row r="322">
          <cell r="A322">
            <v>1996</v>
          </cell>
          <cell r="B322" t="str">
            <v>NE</v>
          </cell>
          <cell r="C322" t="str">
            <v>-</v>
          </cell>
          <cell r="D322" t="str">
            <v>-</v>
          </cell>
          <cell r="E322" t="str">
            <v>ROD</v>
          </cell>
          <cell r="F322" t="str">
            <v>DERBA</v>
          </cell>
          <cell r="G322" t="str">
            <v xml:space="preserve">Edital 002/96 - Lote 6 - C </v>
          </cell>
          <cell r="H322">
            <v>1697990</v>
          </cell>
          <cell r="J322">
            <v>35247</v>
          </cell>
          <cell r="K322" t="str">
            <v>-</v>
          </cell>
          <cell r="L322" t="str">
            <v>-</v>
          </cell>
          <cell r="M322" t="str">
            <v>-</v>
          </cell>
        </row>
        <row r="323">
          <cell r="A323">
            <v>1996</v>
          </cell>
          <cell r="B323" t="str">
            <v>NE</v>
          </cell>
          <cell r="C323" t="str">
            <v>-</v>
          </cell>
          <cell r="D323" t="str">
            <v>-</v>
          </cell>
          <cell r="E323" t="str">
            <v>ROD</v>
          </cell>
          <cell r="F323" t="str">
            <v>DERMA</v>
          </cell>
          <cell r="G323" t="str">
            <v>Melhorias e Pavimentação da BR-230 - S.J. dos Patos / B. de Grajaú</v>
          </cell>
          <cell r="H323">
            <v>3521300</v>
          </cell>
          <cell r="J323">
            <v>35309</v>
          </cell>
          <cell r="K323" t="str">
            <v>-</v>
          </cell>
          <cell r="L323" t="str">
            <v>-</v>
          </cell>
          <cell r="M323" t="str">
            <v>-</v>
          </cell>
        </row>
        <row r="324">
          <cell r="A324">
            <v>1996</v>
          </cell>
          <cell r="B324" t="str">
            <v>NE</v>
          </cell>
          <cell r="C324" t="str">
            <v>-</v>
          </cell>
          <cell r="D324" t="str">
            <v>-</v>
          </cell>
          <cell r="E324" t="str">
            <v>ROD</v>
          </cell>
          <cell r="F324" t="str">
            <v>DERMA</v>
          </cell>
          <cell r="G324" t="str">
            <v>Melhorias e Pavimentação da BR-230 - Rio Muquém / B. do Grajaú</v>
          </cell>
          <cell r="H324">
            <v>3723450</v>
          </cell>
          <cell r="J324">
            <v>35309</v>
          </cell>
          <cell r="K324" t="str">
            <v>-</v>
          </cell>
          <cell r="L324" t="str">
            <v>-</v>
          </cell>
          <cell r="M324" t="str">
            <v>-</v>
          </cell>
        </row>
        <row r="325">
          <cell r="A325">
            <v>1996</v>
          </cell>
          <cell r="B325" t="str">
            <v>NE</v>
          </cell>
          <cell r="C325" t="str">
            <v>-</v>
          </cell>
          <cell r="D325" t="str">
            <v>-</v>
          </cell>
          <cell r="E325" t="str">
            <v>ROD</v>
          </cell>
          <cell r="F325" t="str">
            <v>DERMA</v>
          </cell>
          <cell r="G325" t="str">
            <v>Melhorias e Pavimentação da BR-230 - Pastos Bons</v>
          </cell>
          <cell r="H325">
            <v>3934130</v>
          </cell>
          <cell r="J325">
            <v>35309</v>
          </cell>
          <cell r="K325">
            <v>1</v>
          </cell>
          <cell r="L325">
            <v>1</v>
          </cell>
          <cell r="M325" t="str">
            <v>AG - 1º Lugar</v>
          </cell>
        </row>
        <row r="326">
          <cell r="A326">
            <v>1996</v>
          </cell>
          <cell r="B326" t="str">
            <v>NE</v>
          </cell>
          <cell r="C326" t="str">
            <v>-</v>
          </cell>
          <cell r="D326" t="str">
            <v>-</v>
          </cell>
          <cell r="E326" t="str">
            <v>ROD</v>
          </cell>
          <cell r="F326" t="str">
            <v>DERMA</v>
          </cell>
          <cell r="G326" t="str">
            <v>Melhorias e Pavimentação da BR-230 - S.J. dos Patos / Rio Muquém</v>
          </cell>
          <cell r="H326">
            <v>4057220</v>
          </cell>
          <cell r="J326">
            <v>35309</v>
          </cell>
          <cell r="K326" t="str">
            <v>-</v>
          </cell>
          <cell r="L326">
            <v>0</v>
          </cell>
          <cell r="M326" t="str">
            <v>-</v>
          </cell>
        </row>
        <row r="327">
          <cell r="A327">
            <v>1996</v>
          </cell>
          <cell r="B327" t="str">
            <v>NE</v>
          </cell>
          <cell r="C327" t="str">
            <v>-</v>
          </cell>
          <cell r="D327" t="str">
            <v>-</v>
          </cell>
          <cell r="E327" t="str">
            <v>SAN</v>
          </cell>
          <cell r="F327" t="str">
            <v>CAERN</v>
          </cell>
          <cell r="G327" t="str">
            <v>Adutora do Trairi</v>
          </cell>
          <cell r="H327">
            <v>33125000</v>
          </cell>
          <cell r="J327">
            <v>35370</v>
          </cell>
          <cell r="K327" t="str">
            <v>-</v>
          </cell>
          <cell r="L327">
            <v>0</v>
          </cell>
          <cell r="M327" t="str">
            <v>Reajuste de Contrato</v>
          </cell>
        </row>
        <row r="328">
          <cell r="A328">
            <v>1996</v>
          </cell>
          <cell r="B328" t="str">
            <v>NE</v>
          </cell>
          <cell r="C328" t="str">
            <v>-</v>
          </cell>
          <cell r="D328" t="str">
            <v>-</v>
          </cell>
          <cell r="E328" t="str">
            <v>ROD</v>
          </cell>
          <cell r="F328" t="str">
            <v>DERMA</v>
          </cell>
          <cell r="G328" t="str">
            <v>Colinas - Orozimbo -   MA</v>
          </cell>
          <cell r="H328">
            <v>7275000</v>
          </cell>
          <cell r="J328">
            <v>35370</v>
          </cell>
          <cell r="K328" t="str">
            <v>-</v>
          </cell>
          <cell r="L328">
            <v>0</v>
          </cell>
          <cell r="M328" t="str">
            <v>-</v>
          </cell>
        </row>
        <row r="329">
          <cell r="A329">
            <v>1996</v>
          </cell>
          <cell r="B329" t="str">
            <v>NE</v>
          </cell>
          <cell r="C329" t="str">
            <v>-</v>
          </cell>
          <cell r="D329" t="str">
            <v>-</v>
          </cell>
          <cell r="E329" t="str">
            <v>ROD</v>
          </cell>
          <cell r="F329" t="str">
            <v>DERBA</v>
          </cell>
          <cell r="G329" t="str">
            <v>ED-008/96 - Lote 2 - Serviços de Manutenção Periódica de Rodovias</v>
          </cell>
          <cell r="H329">
            <v>3183000</v>
          </cell>
          <cell r="J329">
            <v>35400</v>
          </cell>
          <cell r="K329" t="str">
            <v>-</v>
          </cell>
          <cell r="L329">
            <v>0</v>
          </cell>
          <cell r="M329" t="str">
            <v>-</v>
          </cell>
        </row>
        <row r="330">
          <cell r="A330">
            <v>1996</v>
          </cell>
          <cell r="B330" t="str">
            <v>NE</v>
          </cell>
          <cell r="C330" t="str">
            <v>-</v>
          </cell>
          <cell r="D330" t="str">
            <v>-</v>
          </cell>
          <cell r="E330" t="str">
            <v>ROD</v>
          </cell>
          <cell r="F330" t="str">
            <v>DERBA</v>
          </cell>
          <cell r="G330" t="str">
            <v>ED-008/96 - Lote 1 - Serviços de Manutenção Periódica de Rodovias</v>
          </cell>
          <cell r="H330">
            <v>3004000</v>
          </cell>
          <cell r="J330">
            <v>35400</v>
          </cell>
          <cell r="K330" t="str">
            <v>-</v>
          </cell>
          <cell r="L330">
            <v>0</v>
          </cell>
          <cell r="M330" t="str">
            <v>-</v>
          </cell>
        </row>
        <row r="331">
          <cell r="A331">
            <v>1996</v>
          </cell>
          <cell r="B331" t="str">
            <v>NE</v>
          </cell>
          <cell r="C331" t="str">
            <v>-</v>
          </cell>
          <cell r="D331" t="str">
            <v>-</v>
          </cell>
          <cell r="E331" t="str">
            <v>ROD</v>
          </cell>
          <cell r="F331" t="str">
            <v>DERBA</v>
          </cell>
          <cell r="G331" t="str">
            <v>ED-008/96 - Lote 4 - Serviços de Manutenção Periódica de Rodovias</v>
          </cell>
          <cell r="H331">
            <v>3667000</v>
          </cell>
          <cell r="J331">
            <v>35400</v>
          </cell>
          <cell r="K331" t="str">
            <v>-</v>
          </cell>
          <cell r="L331">
            <v>0</v>
          </cell>
          <cell r="M331" t="str">
            <v>-</v>
          </cell>
        </row>
        <row r="332">
          <cell r="A332">
            <v>1996</v>
          </cell>
          <cell r="B332" t="str">
            <v>NE</v>
          </cell>
          <cell r="C332" t="str">
            <v>-</v>
          </cell>
          <cell r="D332" t="str">
            <v>-</v>
          </cell>
          <cell r="E332" t="str">
            <v>ROD</v>
          </cell>
          <cell r="F332" t="str">
            <v>DERBA</v>
          </cell>
          <cell r="G332" t="str">
            <v>ED-008/96 - Lote 6 - Serviços de Manutenção Periódica de Rodovias</v>
          </cell>
          <cell r="H332">
            <v>7752000</v>
          </cell>
          <cell r="J332">
            <v>35400</v>
          </cell>
          <cell r="K332" t="str">
            <v>-</v>
          </cell>
          <cell r="L332">
            <v>0</v>
          </cell>
          <cell r="M332" t="str">
            <v>-</v>
          </cell>
        </row>
        <row r="333">
          <cell r="A333">
            <v>1996</v>
          </cell>
          <cell r="B333" t="str">
            <v>NE</v>
          </cell>
          <cell r="C333" t="str">
            <v>-</v>
          </cell>
          <cell r="D333" t="str">
            <v>-</v>
          </cell>
          <cell r="E333" t="str">
            <v>ROD</v>
          </cell>
          <cell r="F333" t="str">
            <v>DERBA</v>
          </cell>
          <cell r="G333" t="str">
            <v>ED-008/96 - Lote 5 - Serviços de Manutenção Periódica de Rodovias</v>
          </cell>
          <cell r="H333">
            <v>1422000</v>
          </cell>
          <cell r="J333">
            <v>35400</v>
          </cell>
          <cell r="K333" t="str">
            <v>-</v>
          </cell>
          <cell r="L333">
            <v>0</v>
          </cell>
          <cell r="M333" t="str">
            <v>-</v>
          </cell>
        </row>
        <row r="334">
          <cell r="A334">
            <v>1996</v>
          </cell>
          <cell r="B334" t="str">
            <v>SE</v>
          </cell>
          <cell r="C334" t="str">
            <v>-</v>
          </cell>
          <cell r="D334" t="str">
            <v>-</v>
          </cell>
          <cell r="E334" t="str">
            <v>ROD</v>
          </cell>
          <cell r="F334" t="str">
            <v xml:space="preserve">SETO </v>
          </cell>
          <cell r="G334" t="str">
            <v>Rodovia TO - 050 - Lote 06 - C</v>
          </cell>
          <cell r="H334">
            <v>4474350</v>
          </cell>
          <cell r="J334">
            <v>35096</v>
          </cell>
          <cell r="K334" t="str">
            <v>-</v>
          </cell>
          <cell r="L334">
            <v>0</v>
          </cell>
          <cell r="M334" t="str">
            <v>-</v>
          </cell>
        </row>
        <row r="335">
          <cell r="A335">
            <v>1996</v>
          </cell>
          <cell r="B335" t="str">
            <v>SE</v>
          </cell>
          <cell r="C335" t="str">
            <v>-</v>
          </cell>
          <cell r="D335" t="str">
            <v>-</v>
          </cell>
          <cell r="E335" t="str">
            <v>ROD</v>
          </cell>
          <cell r="F335" t="str">
            <v xml:space="preserve">SETO </v>
          </cell>
          <cell r="G335" t="str">
            <v>Rodovia TO - 280 - Lote 09 - C</v>
          </cell>
          <cell r="H335">
            <v>4674370</v>
          </cell>
          <cell r="J335">
            <v>35096</v>
          </cell>
          <cell r="K335" t="str">
            <v>-</v>
          </cell>
          <cell r="L335">
            <v>0</v>
          </cell>
          <cell r="M335" t="str">
            <v>-</v>
          </cell>
        </row>
        <row r="336">
          <cell r="A336">
            <v>1996</v>
          </cell>
          <cell r="B336" t="str">
            <v>SE</v>
          </cell>
          <cell r="C336" t="str">
            <v>-</v>
          </cell>
          <cell r="D336" t="str">
            <v>-</v>
          </cell>
          <cell r="E336" t="str">
            <v>ROD</v>
          </cell>
          <cell r="F336" t="str">
            <v>P.M. Goiânia</v>
          </cell>
          <cell r="G336" t="str">
            <v>Pavimentação Asfáltica de 4,000 m2 - Lote 1</v>
          </cell>
          <cell r="H336">
            <v>40022480</v>
          </cell>
          <cell r="J336">
            <v>35096</v>
          </cell>
          <cell r="K336" t="str">
            <v>-</v>
          </cell>
          <cell r="L336">
            <v>0</v>
          </cell>
          <cell r="M336" t="str">
            <v>-</v>
          </cell>
        </row>
        <row r="337">
          <cell r="A337">
            <v>1996</v>
          </cell>
          <cell r="B337" t="str">
            <v>SE</v>
          </cell>
          <cell r="C337" t="str">
            <v>-</v>
          </cell>
          <cell r="D337" t="str">
            <v>-</v>
          </cell>
          <cell r="E337" t="str">
            <v>ROD</v>
          </cell>
          <cell r="F337" t="str">
            <v>P.M. Goiânia</v>
          </cell>
          <cell r="G337" t="str">
            <v>Pavimentação Asfáltica de 4,000 m2 - Lote 2</v>
          </cell>
          <cell r="H337">
            <v>38945660</v>
          </cell>
          <cell r="J337">
            <v>35096</v>
          </cell>
          <cell r="K337" t="str">
            <v>-</v>
          </cell>
          <cell r="L337">
            <v>0</v>
          </cell>
          <cell r="M337" t="str">
            <v>-</v>
          </cell>
        </row>
        <row r="338">
          <cell r="A338">
            <v>1996</v>
          </cell>
          <cell r="B338" t="str">
            <v>SE</v>
          </cell>
          <cell r="C338" t="str">
            <v>-</v>
          </cell>
          <cell r="D338" t="str">
            <v>-</v>
          </cell>
          <cell r="E338" t="str">
            <v>ROD</v>
          </cell>
          <cell r="F338" t="str">
            <v xml:space="preserve">SETO </v>
          </cell>
          <cell r="G338" t="str">
            <v>Rodovia TO - 280 - Lote 07 - C</v>
          </cell>
          <cell r="H338">
            <v>4914290</v>
          </cell>
          <cell r="J338">
            <v>35096</v>
          </cell>
          <cell r="K338" t="str">
            <v>-</v>
          </cell>
          <cell r="L338">
            <v>0</v>
          </cell>
          <cell r="M338" t="str">
            <v>-</v>
          </cell>
        </row>
        <row r="339">
          <cell r="A339">
            <v>1996</v>
          </cell>
          <cell r="B339" t="str">
            <v>SE</v>
          </cell>
          <cell r="C339" t="str">
            <v>-</v>
          </cell>
          <cell r="D339" t="str">
            <v>-</v>
          </cell>
          <cell r="E339" t="str">
            <v>ROD</v>
          </cell>
          <cell r="F339" t="str">
            <v xml:space="preserve">SETO </v>
          </cell>
          <cell r="G339" t="str">
            <v>Rodovia TO - 050 - Lote 15 - C</v>
          </cell>
          <cell r="H339">
            <v>4900000</v>
          </cell>
          <cell r="J339">
            <v>35096</v>
          </cell>
          <cell r="K339" t="str">
            <v>-</v>
          </cell>
          <cell r="L339">
            <v>0</v>
          </cell>
          <cell r="M339" t="str">
            <v>-</v>
          </cell>
        </row>
        <row r="340">
          <cell r="A340">
            <v>1996</v>
          </cell>
          <cell r="B340" t="str">
            <v>SE</v>
          </cell>
          <cell r="C340" t="str">
            <v>-</v>
          </cell>
          <cell r="D340" t="str">
            <v>-</v>
          </cell>
          <cell r="E340" t="str">
            <v>ROD</v>
          </cell>
          <cell r="F340" t="str">
            <v xml:space="preserve">SETO </v>
          </cell>
          <cell r="G340" t="str">
            <v>Rodovia TO - 280 - Lote 08 - C</v>
          </cell>
          <cell r="H340">
            <v>4882150</v>
          </cell>
          <cell r="J340">
            <v>35096</v>
          </cell>
          <cell r="K340" t="str">
            <v>-</v>
          </cell>
          <cell r="L340">
            <v>0</v>
          </cell>
          <cell r="M340" t="str">
            <v>-</v>
          </cell>
        </row>
        <row r="341">
          <cell r="A341">
            <v>1996</v>
          </cell>
          <cell r="B341" t="str">
            <v>SE</v>
          </cell>
          <cell r="C341" t="str">
            <v>-</v>
          </cell>
          <cell r="D341" t="str">
            <v>-</v>
          </cell>
          <cell r="E341" t="str">
            <v>SAN</v>
          </cell>
          <cell r="F341" t="str">
            <v>P.M. Timóteo</v>
          </cell>
          <cell r="G341" t="str">
            <v>Interceptores e Canalização do Córrego do Timóteo</v>
          </cell>
          <cell r="H341">
            <v>3591790</v>
          </cell>
          <cell r="J341">
            <v>35096</v>
          </cell>
          <cell r="K341" t="str">
            <v>-</v>
          </cell>
          <cell r="L341">
            <v>0</v>
          </cell>
          <cell r="M341" t="str">
            <v>-</v>
          </cell>
        </row>
        <row r="342">
          <cell r="A342">
            <v>1996</v>
          </cell>
          <cell r="B342" t="str">
            <v>SE</v>
          </cell>
          <cell r="C342" t="str">
            <v>-</v>
          </cell>
          <cell r="D342" t="str">
            <v>-</v>
          </cell>
          <cell r="E342" t="str">
            <v>ROD</v>
          </cell>
          <cell r="F342" t="str">
            <v xml:space="preserve">SETO </v>
          </cell>
          <cell r="G342" t="str">
            <v>Rodovia TO - 050 - Lote 14 - C</v>
          </cell>
          <cell r="H342">
            <v>4611270</v>
          </cell>
          <cell r="J342">
            <v>35096</v>
          </cell>
          <cell r="K342" t="str">
            <v>-</v>
          </cell>
          <cell r="L342">
            <v>0</v>
          </cell>
          <cell r="M342" t="str">
            <v>-</v>
          </cell>
        </row>
        <row r="343">
          <cell r="A343">
            <v>1996</v>
          </cell>
          <cell r="B343" t="str">
            <v>SE</v>
          </cell>
          <cell r="C343" t="str">
            <v>-</v>
          </cell>
          <cell r="D343" t="str">
            <v>-</v>
          </cell>
          <cell r="E343" t="str">
            <v>ROD</v>
          </cell>
          <cell r="F343" t="str">
            <v xml:space="preserve">SETO </v>
          </cell>
          <cell r="G343" t="str">
            <v>Rodovia TO - 050 - Lote 05 - A</v>
          </cell>
          <cell r="H343">
            <v>4394090</v>
          </cell>
          <cell r="J343">
            <v>35096</v>
          </cell>
          <cell r="K343">
            <v>1</v>
          </cell>
          <cell r="L343">
            <v>1</v>
          </cell>
          <cell r="M343" t="str">
            <v>AG - 1º Lugar</v>
          </cell>
        </row>
        <row r="344">
          <cell r="A344">
            <v>1996</v>
          </cell>
          <cell r="B344" t="str">
            <v>SE</v>
          </cell>
          <cell r="C344" t="str">
            <v>-</v>
          </cell>
          <cell r="D344" t="str">
            <v>-</v>
          </cell>
          <cell r="E344" t="str">
            <v>ROD</v>
          </cell>
          <cell r="F344" t="str">
            <v xml:space="preserve">SETO </v>
          </cell>
          <cell r="G344" t="str">
            <v>Rodovia TO - 280 - Lote 09 - B</v>
          </cell>
          <cell r="H344">
            <v>4299640</v>
          </cell>
          <cell r="J344">
            <v>35096</v>
          </cell>
          <cell r="K344" t="str">
            <v>-</v>
          </cell>
          <cell r="L344">
            <v>0</v>
          </cell>
          <cell r="M344" t="str">
            <v>não entregue</v>
          </cell>
        </row>
        <row r="345">
          <cell r="A345">
            <v>1996</v>
          </cell>
          <cell r="B345" t="str">
            <v>SE</v>
          </cell>
          <cell r="C345" t="str">
            <v>-</v>
          </cell>
          <cell r="D345" t="str">
            <v>-</v>
          </cell>
          <cell r="E345" t="str">
            <v>ROD</v>
          </cell>
          <cell r="F345" t="str">
            <v xml:space="preserve">SETO </v>
          </cell>
          <cell r="G345" t="str">
            <v>Rodovia TO - 050 - Lote 06 - B</v>
          </cell>
          <cell r="H345">
            <v>4053240</v>
          </cell>
          <cell r="J345">
            <v>35096</v>
          </cell>
          <cell r="K345" t="str">
            <v>-</v>
          </cell>
          <cell r="L345">
            <v>0</v>
          </cell>
          <cell r="M345" t="str">
            <v>não entregue</v>
          </cell>
        </row>
        <row r="346">
          <cell r="A346">
            <v>1996</v>
          </cell>
          <cell r="B346" t="str">
            <v>SE</v>
          </cell>
          <cell r="C346" t="str">
            <v>-</v>
          </cell>
          <cell r="D346" t="str">
            <v>-</v>
          </cell>
          <cell r="E346" t="str">
            <v>ROD</v>
          </cell>
          <cell r="F346" t="str">
            <v xml:space="preserve">SETO </v>
          </cell>
          <cell r="G346" t="str">
            <v>Rodovia TO - 050 - Lote 05 - B</v>
          </cell>
          <cell r="H346">
            <v>3984590</v>
          </cell>
          <cell r="J346">
            <v>35096</v>
          </cell>
          <cell r="K346" t="str">
            <v>-</v>
          </cell>
          <cell r="L346">
            <v>0</v>
          </cell>
          <cell r="M346" t="str">
            <v>não entregue</v>
          </cell>
        </row>
        <row r="347">
          <cell r="A347">
            <v>1996</v>
          </cell>
          <cell r="B347" t="str">
            <v>SE</v>
          </cell>
          <cell r="C347" t="str">
            <v>-</v>
          </cell>
          <cell r="D347" t="str">
            <v>-</v>
          </cell>
          <cell r="E347" t="str">
            <v>ROD</v>
          </cell>
          <cell r="F347" t="str">
            <v xml:space="preserve">SETO </v>
          </cell>
          <cell r="G347" t="str">
            <v>Rodovia TO - 050 - Lote 13 - C</v>
          </cell>
          <cell r="H347">
            <v>3557260</v>
          </cell>
          <cell r="J347">
            <v>35096</v>
          </cell>
          <cell r="K347" t="str">
            <v>-</v>
          </cell>
          <cell r="L347">
            <v>0</v>
          </cell>
          <cell r="M347" t="str">
            <v>-</v>
          </cell>
        </row>
        <row r="348">
          <cell r="A348">
            <v>1996</v>
          </cell>
          <cell r="B348" t="str">
            <v>SE</v>
          </cell>
          <cell r="C348" t="str">
            <v>-</v>
          </cell>
          <cell r="D348" t="str">
            <v>-</v>
          </cell>
          <cell r="E348" t="str">
            <v>URB</v>
          </cell>
          <cell r="F348" t="str">
            <v>P.M. Ipatinga</v>
          </cell>
          <cell r="G348" t="str">
            <v>Avenida Londrina -Obras de Infraestrutura</v>
          </cell>
          <cell r="H348">
            <v>2973500</v>
          </cell>
          <cell r="J348">
            <v>35125</v>
          </cell>
          <cell r="K348" t="str">
            <v>-</v>
          </cell>
          <cell r="L348">
            <v>0</v>
          </cell>
          <cell r="M348" t="str">
            <v>não entregue</v>
          </cell>
        </row>
        <row r="349">
          <cell r="A349">
            <v>1996</v>
          </cell>
          <cell r="B349" t="str">
            <v>SE</v>
          </cell>
          <cell r="C349" t="str">
            <v>-</v>
          </cell>
          <cell r="D349" t="str">
            <v>-</v>
          </cell>
          <cell r="E349" t="str">
            <v>SAN</v>
          </cell>
          <cell r="F349" t="str">
            <v>SUDECAP</v>
          </cell>
          <cell r="G349" t="str">
            <v>Desassoreamento da Lagoa da Pampulha em BH</v>
          </cell>
          <cell r="H349">
            <v>1435260</v>
          </cell>
          <cell r="J349">
            <v>35125</v>
          </cell>
          <cell r="K349" t="str">
            <v>-</v>
          </cell>
          <cell r="L349">
            <v>0</v>
          </cell>
          <cell r="M349" t="str">
            <v>-</v>
          </cell>
        </row>
        <row r="350">
          <cell r="A350">
            <v>1996</v>
          </cell>
          <cell r="B350" t="str">
            <v>SE</v>
          </cell>
          <cell r="C350" t="str">
            <v>-</v>
          </cell>
          <cell r="D350" t="str">
            <v>-</v>
          </cell>
          <cell r="E350" t="str">
            <v>ROD</v>
          </cell>
          <cell r="F350" t="str">
            <v>DNER</v>
          </cell>
          <cell r="G350" t="str">
            <v>Rodovia BR-040 Entrocamento Mg-424 / Anel Rodoviário</v>
          </cell>
          <cell r="H350">
            <v>6317160</v>
          </cell>
          <cell r="J350">
            <v>35125</v>
          </cell>
          <cell r="K350" t="str">
            <v>-</v>
          </cell>
          <cell r="L350">
            <v>0</v>
          </cell>
          <cell r="M350" t="str">
            <v>não houve fechamento</v>
          </cell>
        </row>
        <row r="351">
          <cell r="A351">
            <v>1996</v>
          </cell>
          <cell r="B351" t="str">
            <v>SE</v>
          </cell>
          <cell r="C351" t="str">
            <v>-</v>
          </cell>
          <cell r="D351" t="str">
            <v>-</v>
          </cell>
          <cell r="E351" t="str">
            <v>ROD</v>
          </cell>
          <cell r="F351" t="str">
            <v>SETO</v>
          </cell>
          <cell r="G351" t="str">
            <v>Rodovia TO - 020  -  Palmas / Aparecida do Rio Negro</v>
          </cell>
          <cell r="H351">
            <v>9066130</v>
          </cell>
          <cell r="J351">
            <v>35186</v>
          </cell>
          <cell r="K351" t="str">
            <v>-</v>
          </cell>
          <cell r="L351">
            <v>0</v>
          </cell>
          <cell r="M351" t="str">
            <v>Revisão de preços contratuais</v>
          </cell>
        </row>
        <row r="352">
          <cell r="A352">
            <v>1996</v>
          </cell>
          <cell r="B352" t="str">
            <v>SE</v>
          </cell>
          <cell r="C352" t="str">
            <v>-</v>
          </cell>
          <cell r="D352" t="str">
            <v>MIN</v>
          </cell>
          <cell r="E352" t="str">
            <v>MIN</v>
          </cell>
          <cell r="F352" t="str">
            <v>Tibrás - Rib.</v>
          </cell>
          <cell r="G352" t="str">
            <v>Mineração  Tibrás</v>
          </cell>
          <cell r="H352">
            <v>2006090</v>
          </cell>
          <cell r="J352">
            <v>35186</v>
          </cell>
          <cell r="K352" t="str">
            <v>-</v>
          </cell>
          <cell r="L352">
            <v>0</v>
          </cell>
          <cell r="M352" t="str">
            <v>Estudo</v>
          </cell>
        </row>
        <row r="353">
          <cell r="A353">
            <v>1996</v>
          </cell>
          <cell r="B353" t="str">
            <v>SE</v>
          </cell>
          <cell r="C353" t="str">
            <v>-</v>
          </cell>
          <cell r="D353" t="str">
            <v>-</v>
          </cell>
          <cell r="E353" t="str">
            <v>SAN</v>
          </cell>
          <cell r="F353" t="str">
            <v>P.M. Betim</v>
          </cell>
          <cell r="G353" t="str">
            <v>Canalização do Riacho das Areias</v>
          </cell>
          <cell r="H353">
            <v>16170630</v>
          </cell>
          <cell r="J353">
            <v>35186</v>
          </cell>
          <cell r="K353" t="str">
            <v>-</v>
          </cell>
          <cell r="L353">
            <v>0</v>
          </cell>
          <cell r="M353" t="str">
            <v>-</v>
          </cell>
        </row>
        <row r="354">
          <cell r="A354">
            <v>1996</v>
          </cell>
          <cell r="B354" t="str">
            <v>SE</v>
          </cell>
          <cell r="C354" t="str">
            <v>-</v>
          </cell>
          <cell r="D354" t="str">
            <v>-</v>
          </cell>
          <cell r="E354" t="str">
            <v>ROD</v>
          </cell>
          <cell r="F354" t="str">
            <v>DNER</v>
          </cell>
          <cell r="G354" t="str">
            <v>Implantação da Rodovia BR - 482</v>
          </cell>
          <cell r="H354">
            <v>3368820</v>
          </cell>
          <cell r="J354">
            <v>35217</v>
          </cell>
          <cell r="K354" t="str">
            <v>-</v>
          </cell>
          <cell r="L354">
            <v>0</v>
          </cell>
          <cell r="M354" t="str">
            <v>-</v>
          </cell>
        </row>
        <row r="355">
          <cell r="A355">
            <v>1996</v>
          </cell>
          <cell r="B355" t="str">
            <v>SE</v>
          </cell>
          <cell r="C355" t="str">
            <v>-</v>
          </cell>
          <cell r="D355" t="str">
            <v>-</v>
          </cell>
          <cell r="E355" t="str">
            <v>ENE</v>
          </cell>
          <cell r="F355" t="str">
            <v>CEMIG</v>
          </cell>
          <cell r="G355" t="str">
            <v>Gasoduto da CEMIG</v>
          </cell>
          <cell r="H355">
            <v>6881820</v>
          </cell>
          <cell r="J355">
            <v>35278</v>
          </cell>
          <cell r="K355">
            <v>1</v>
          </cell>
          <cell r="L355">
            <v>1</v>
          </cell>
          <cell r="M355" t="str">
            <v>AG - 1º Lugar</v>
          </cell>
        </row>
        <row r="356">
          <cell r="A356">
            <v>1996</v>
          </cell>
          <cell r="B356" t="str">
            <v>SE</v>
          </cell>
          <cell r="C356" t="str">
            <v>-</v>
          </cell>
          <cell r="D356" t="str">
            <v>-</v>
          </cell>
          <cell r="E356" t="str">
            <v>IND</v>
          </cell>
          <cell r="F356" t="str">
            <v>KOBRASCO</v>
          </cell>
          <cell r="G356" t="str">
            <v>Obras Civis da Usina da Kobrasco</v>
          </cell>
          <cell r="H356">
            <v>10038530</v>
          </cell>
          <cell r="J356">
            <v>35278</v>
          </cell>
          <cell r="K356" t="str">
            <v>-</v>
          </cell>
          <cell r="L356">
            <v>0</v>
          </cell>
          <cell r="M356" t="str">
            <v>-</v>
          </cell>
        </row>
        <row r="357">
          <cell r="A357">
            <v>1996</v>
          </cell>
          <cell r="B357" t="str">
            <v>SE</v>
          </cell>
          <cell r="C357" t="str">
            <v>-</v>
          </cell>
          <cell r="D357" t="str">
            <v>-</v>
          </cell>
          <cell r="E357" t="str">
            <v>SAN</v>
          </cell>
          <cell r="F357" t="str">
            <v>P.M. Goiânia</v>
          </cell>
          <cell r="G357" t="str">
            <v>Avenida Leste-Oeste - Goiânia - GO</v>
          </cell>
          <cell r="H357">
            <v>19149350</v>
          </cell>
          <cell r="J357">
            <v>35309</v>
          </cell>
          <cell r="K357" t="str">
            <v>-</v>
          </cell>
          <cell r="L357">
            <v>0</v>
          </cell>
          <cell r="M357" t="str">
            <v>Revisão de Preços Contratuais</v>
          </cell>
        </row>
        <row r="358">
          <cell r="A358">
            <v>1996</v>
          </cell>
          <cell r="B358" t="str">
            <v>SE</v>
          </cell>
          <cell r="C358" t="str">
            <v>-</v>
          </cell>
          <cell r="D358" t="str">
            <v>-</v>
          </cell>
          <cell r="E358" t="str">
            <v>ROD</v>
          </cell>
          <cell r="F358" t="str">
            <v>SETO</v>
          </cell>
          <cell r="G358" t="str">
            <v>Rodovia TO-010 - B.J. Tocantins / Pedro Afonso - TO</v>
          </cell>
          <cell r="H358">
            <v>5956470</v>
          </cell>
          <cell r="J358">
            <v>35309</v>
          </cell>
          <cell r="K358">
            <v>1</v>
          </cell>
          <cell r="L358">
            <v>1</v>
          </cell>
          <cell r="M358" t="str">
            <v>AG - 1º Lugar</v>
          </cell>
        </row>
        <row r="359">
          <cell r="A359">
            <v>1996</v>
          </cell>
          <cell r="B359" t="str">
            <v>SE</v>
          </cell>
          <cell r="C359" t="str">
            <v>-</v>
          </cell>
          <cell r="D359" t="str">
            <v>-</v>
          </cell>
          <cell r="E359" t="str">
            <v>TUR</v>
          </cell>
          <cell r="F359" t="str">
            <v>BEPREM</v>
          </cell>
          <cell r="G359" t="str">
            <v>Clube dos Servidores Municipais P.M. de BH</v>
          </cell>
          <cell r="H359">
            <v>5297000</v>
          </cell>
          <cell r="J359">
            <v>35339</v>
          </cell>
          <cell r="K359">
            <v>1</v>
          </cell>
          <cell r="L359">
            <v>1</v>
          </cell>
          <cell r="M359" t="str">
            <v>AG - 1º Lugar</v>
          </cell>
        </row>
        <row r="360">
          <cell r="A360">
            <v>1996</v>
          </cell>
          <cell r="B360" t="str">
            <v>SE</v>
          </cell>
          <cell r="C360" t="str">
            <v>-</v>
          </cell>
          <cell r="D360" t="str">
            <v>-</v>
          </cell>
          <cell r="E360" t="str">
            <v>SAN</v>
          </cell>
          <cell r="F360" t="str">
            <v>COPASA</v>
          </cell>
          <cell r="G360" t="str">
            <v xml:space="preserve">Adutora de Água Tratada </v>
          </cell>
          <cell r="H360">
            <v>109000</v>
          </cell>
          <cell r="J360">
            <v>35339</v>
          </cell>
          <cell r="K360">
            <v>1</v>
          </cell>
          <cell r="L360">
            <v>1</v>
          </cell>
          <cell r="M360" t="str">
            <v>Aditivo de contrato do Arrudas / AG - 1º Lugar</v>
          </cell>
        </row>
        <row r="361">
          <cell r="A361">
            <v>1996</v>
          </cell>
          <cell r="B361" t="str">
            <v>SE</v>
          </cell>
          <cell r="C361" t="str">
            <v>-</v>
          </cell>
          <cell r="D361" t="str">
            <v>-</v>
          </cell>
          <cell r="E361" t="str">
            <v>MIN</v>
          </cell>
          <cell r="F361" t="str">
            <v xml:space="preserve">USIMINAS </v>
          </cell>
          <cell r="G361" t="str">
            <v>Obras Civis do Prédio de Laminação de Tiras à Frio</v>
          </cell>
          <cell r="H361">
            <v>5894000</v>
          </cell>
          <cell r="J361">
            <v>35339</v>
          </cell>
          <cell r="K361" t="str">
            <v>-</v>
          </cell>
          <cell r="L361">
            <v>0</v>
          </cell>
          <cell r="M361" t="str">
            <v>-</v>
          </cell>
        </row>
        <row r="362">
          <cell r="A362">
            <v>1996</v>
          </cell>
          <cell r="B362" t="str">
            <v>SE</v>
          </cell>
          <cell r="C362" t="str">
            <v>-</v>
          </cell>
          <cell r="D362" t="str">
            <v>-</v>
          </cell>
          <cell r="E362" t="str">
            <v>ROD</v>
          </cell>
          <cell r="F362" t="str">
            <v>SETO</v>
          </cell>
          <cell r="G362" t="str">
            <v>UNITINS</v>
          </cell>
          <cell r="H362">
            <v>8813460</v>
          </cell>
          <cell r="J362">
            <v>35339</v>
          </cell>
          <cell r="K362">
            <v>1</v>
          </cell>
          <cell r="L362">
            <v>1</v>
          </cell>
          <cell r="M362" t="str">
            <v>AG - 1º Lugar</v>
          </cell>
        </row>
        <row r="363">
          <cell r="A363">
            <v>1996</v>
          </cell>
          <cell r="B363" t="str">
            <v>SE</v>
          </cell>
          <cell r="C363" t="str">
            <v>-</v>
          </cell>
          <cell r="D363" t="str">
            <v>-</v>
          </cell>
          <cell r="E363" t="str">
            <v>ROD</v>
          </cell>
          <cell r="F363" t="str">
            <v>SETO</v>
          </cell>
          <cell r="G363" t="str">
            <v>TO - 485 - Trecho Ananás / Xambioá - TO</v>
          </cell>
          <cell r="H363">
            <v>14682000</v>
          </cell>
          <cell r="J363">
            <v>35339</v>
          </cell>
          <cell r="K363" t="str">
            <v>-</v>
          </cell>
          <cell r="L363">
            <v>0</v>
          </cell>
          <cell r="M363" t="str">
            <v>-</v>
          </cell>
        </row>
        <row r="364">
          <cell r="A364">
            <v>1996</v>
          </cell>
          <cell r="B364" t="str">
            <v>SE</v>
          </cell>
          <cell r="C364" t="str">
            <v>-</v>
          </cell>
          <cell r="D364" t="str">
            <v>-</v>
          </cell>
          <cell r="E364" t="str">
            <v>ROD</v>
          </cell>
          <cell r="F364" t="str">
            <v>WARRE</v>
          </cell>
          <cell r="G364" t="str">
            <v>TO-WARRE</v>
          </cell>
          <cell r="H364">
            <v>1142000</v>
          </cell>
          <cell r="J364">
            <v>35370</v>
          </cell>
          <cell r="K364" t="str">
            <v>-</v>
          </cell>
          <cell r="L364">
            <v>0</v>
          </cell>
          <cell r="M364" t="str">
            <v>Estudo de Viabilidade Econômica</v>
          </cell>
        </row>
        <row r="365">
          <cell r="A365">
            <v>1996</v>
          </cell>
          <cell r="B365" t="str">
            <v>SE</v>
          </cell>
          <cell r="C365" t="str">
            <v>-</v>
          </cell>
          <cell r="D365" t="str">
            <v>-</v>
          </cell>
          <cell r="E365" t="str">
            <v>ENE</v>
          </cell>
          <cell r="F365" t="str">
            <v>PETROBRÁS</v>
          </cell>
          <cell r="G365" t="str">
            <v>Poliduto Urucu-Coari</v>
          </cell>
          <cell r="H365">
            <v>79991000</v>
          </cell>
          <cell r="J365">
            <v>35370</v>
          </cell>
          <cell r="K365" t="str">
            <v>-</v>
          </cell>
          <cell r="L365">
            <v>0</v>
          </cell>
          <cell r="M365" t="str">
            <v>-</v>
          </cell>
        </row>
        <row r="366">
          <cell r="A366">
            <v>1996</v>
          </cell>
          <cell r="B366" t="str">
            <v>SE</v>
          </cell>
          <cell r="C366" t="str">
            <v>-</v>
          </cell>
          <cell r="D366" t="str">
            <v>-</v>
          </cell>
          <cell r="E366" t="str">
            <v>MIN</v>
          </cell>
          <cell r="F366" t="str">
            <v>USIMINAS</v>
          </cell>
          <cell r="G366" t="str">
            <v>Obras Civis do Prédio de Laminação de Tiras à Frio nº 2</v>
          </cell>
          <cell r="H366">
            <v>5006000</v>
          </cell>
          <cell r="J366">
            <v>35370</v>
          </cell>
          <cell r="K366" t="str">
            <v>-</v>
          </cell>
          <cell r="L366">
            <v>0</v>
          </cell>
          <cell r="M366" t="str">
            <v>-</v>
          </cell>
        </row>
        <row r="367">
          <cell r="A367">
            <v>1996</v>
          </cell>
          <cell r="B367" t="str">
            <v>SE</v>
          </cell>
          <cell r="C367" t="str">
            <v>-</v>
          </cell>
          <cell r="D367" t="str">
            <v>-</v>
          </cell>
          <cell r="E367" t="str">
            <v>DIV</v>
          </cell>
          <cell r="F367" t="str">
            <v>DEOP</v>
          </cell>
          <cell r="G367" t="str">
            <v>Palácio das Artes</v>
          </cell>
          <cell r="H367">
            <v>1160000</v>
          </cell>
          <cell r="J367">
            <v>35370</v>
          </cell>
          <cell r="K367" t="str">
            <v>-</v>
          </cell>
          <cell r="L367">
            <v>0</v>
          </cell>
          <cell r="M367" t="str">
            <v>-</v>
          </cell>
        </row>
        <row r="368">
          <cell r="A368">
            <v>1996</v>
          </cell>
          <cell r="B368" t="str">
            <v>SE</v>
          </cell>
          <cell r="C368" t="str">
            <v>-</v>
          </cell>
          <cell r="D368" t="str">
            <v>-</v>
          </cell>
          <cell r="E368" t="str">
            <v>EDU</v>
          </cell>
          <cell r="F368" t="str">
            <v>SETO</v>
          </cell>
          <cell r="G368" t="str">
            <v>Construção de Prédios da Secretaria</v>
          </cell>
          <cell r="H368">
            <v>1457000</v>
          </cell>
          <cell r="J368">
            <v>35370</v>
          </cell>
          <cell r="K368">
            <v>1</v>
          </cell>
          <cell r="L368">
            <v>1</v>
          </cell>
          <cell r="M368" t="str">
            <v>AG - 1º Lugar</v>
          </cell>
        </row>
        <row r="369">
          <cell r="A369">
            <v>1996</v>
          </cell>
          <cell r="B369" t="str">
            <v>SE</v>
          </cell>
          <cell r="C369" t="str">
            <v>-</v>
          </cell>
          <cell r="D369" t="str">
            <v>-</v>
          </cell>
          <cell r="E369" t="str">
            <v>AGR</v>
          </cell>
          <cell r="F369" t="str">
            <v>CODETINS</v>
          </cell>
          <cell r="G369" t="str">
            <v>Canal Adutor do Rio Formoso - Lote 01</v>
          </cell>
          <cell r="H369">
            <v>5498000</v>
          </cell>
          <cell r="J369">
            <v>35400</v>
          </cell>
          <cell r="K369" t="str">
            <v>-</v>
          </cell>
          <cell r="L369">
            <v>0</v>
          </cell>
          <cell r="M369" t="str">
            <v>-</v>
          </cell>
        </row>
        <row r="370">
          <cell r="A370">
            <v>1996</v>
          </cell>
          <cell r="B370" t="str">
            <v>SE</v>
          </cell>
          <cell r="C370" t="str">
            <v>-</v>
          </cell>
          <cell r="D370" t="str">
            <v>-</v>
          </cell>
          <cell r="E370" t="str">
            <v>AGR</v>
          </cell>
          <cell r="F370" t="str">
            <v>SEPLAN-GO</v>
          </cell>
          <cell r="G370" t="str">
            <v>Projeto de Irrigação Luís Alves do Araguaia</v>
          </cell>
          <cell r="H370">
            <v>43650000</v>
          </cell>
          <cell r="J370">
            <v>35400</v>
          </cell>
          <cell r="K370" t="str">
            <v>-</v>
          </cell>
          <cell r="L370">
            <v>0</v>
          </cell>
          <cell r="M370" t="str">
            <v>-</v>
          </cell>
        </row>
        <row r="371">
          <cell r="A371">
            <v>1996</v>
          </cell>
          <cell r="B371" t="str">
            <v>SE</v>
          </cell>
          <cell r="C371" t="str">
            <v>-</v>
          </cell>
          <cell r="D371" t="str">
            <v>-</v>
          </cell>
          <cell r="E371" t="str">
            <v>AGR</v>
          </cell>
          <cell r="F371" t="str">
            <v>CODETINS</v>
          </cell>
          <cell r="G371" t="str">
            <v>Canal Adutor do Rio Formoso - Lote 02</v>
          </cell>
          <cell r="H371">
            <v>11783000</v>
          </cell>
          <cell r="J371">
            <v>35401</v>
          </cell>
          <cell r="K371" t="str">
            <v>-</v>
          </cell>
          <cell r="L371">
            <v>0</v>
          </cell>
          <cell r="M371" t="str">
            <v>-</v>
          </cell>
        </row>
        <row r="372">
          <cell r="A372">
            <v>1996</v>
          </cell>
          <cell r="B372" t="str">
            <v>SE</v>
          </cell>
          <cell r="C372" t="str">
            <v>-</v>
          </cell>
          <cell r="D372" t="str">
            <v>-</v>
          </cell>
          <cell r="E372" t="str">
            <v>ROD</v>
          </cell>
          <cell r="F372" t="str">
            <v>SETO</v>
          </cell>
          <cell r="G372" t="str">
            <v>BR - 153 - Vanderlândia / Xambioá</v>
          </cell>
          <cell r="H372">
            <v>25158000</v>
          </cell>
          <cell r="J372">
            <v>35422</v>
          </cell>
          <cell r="K372" t="str">
            <v>-</v>
          </cell>
          <cell r="L372">
            <v>0</v>
          </cell>
          <cell r="M372" t="str">
            <v>-</v>
          </cell>
        </row>
        <row r="373">
          <cell r="A373">
            <v>1996</v>
          </cell>
          <cell r="B373" t="str">
            <v>SL</v>
          </cell>
          <cell r="C373" t="str">
            <v>-</v>
          </cell>
          <cell r="D373" t="str">
            <v>-</v>
          </cell>
          <cell r="E373" t="str">
            <v>ROD</v>
          </cell>
          <cell r="F373" t="str">
            <v>DNER</v>
          </cell>
          <cell r="G373" t="str">
            <v>BR-116 - Lote 7</v>
          </cell>
          <cell r="H373">
            <v>6894270</v>
          </cell>
          <cell r="J373">
            <v>35186</v>
          </cell>
          <cell r="K373" t="str">
            <v>-</v>
          </cell>
          <cell r="L373">
            <v>0</v>
          </cell>
          <cell r="M373" t="str">
            <v>-</v>
          </cell>
        </row>
        <row r="374">
          <cell r="A374">
            <v>1996</v>
          </cell>
          <cell r="B374" t="str">
            <v>SL</v>
          </cell>
          <cell r="C374" t="str">
            <v>-</v>
          </cell>
          <cell r="D374" t="str">
            <v>-</v>
          </cell>
          <cell r="E374" t="str">
            <v>ROD</v>
          </cell>
          <cell r="F374" t="str">
            <v>DNER</v>
          </cell>
          <cell r="G374" t="str">
            <v>BR-101 - Lote 8</v>
          </cell>
          <cell r="H374">
            <v>11545460</v>
          </cell>
          <cell r="J374">
            <v>35186</v>
          </cell>
          <cell r="K374">
            <v>1</v>
          </cell>
          <cell r="L374">
            <v>1</v>
          </cell>
          <cell r="M374" t="str">
            <v>AG - 1º Lugar</v>
          </cell>
        </row>
        <row r="375">
          <cell r="A375">
            <v>1996</v>
          </cell>
          <cell r="B375" t="str">
            <v>SL</v>
          </cell>
          <cell r="C375" t="str">
            <v>-</v>
          </cell>
          <cell r="D375" t="str">
            <v>-</v>
          </cell>
          <cell r="E375" t="str">
            <v>ROD</v>
          </cell>
          <cell r="F375" t="str">
            <v>DNER</v>
          </cell>
          <cell r="G375" t="str">
            <v>BR-116 - Lote 4</v>
          </cell>
          <cell r="H375">
            <v>20106470</v>
          </cell>
          <cell r="J375">
            <v>35186</v>
          </cell>
          <cell r="K375" t="str">
            <v>-</v>
          </cell>
          <cell r="L375">
            <v>0</v>
          </cell>
          <cell r="M375" t="str">
            <v>-</v>
          </cell>
        </row>
        <row r="376">
          <cell r="A376">
            <v>1996</v>
          </cell>
          <cell r="B376" t="str">
            <v>SL</v>
          </cell>
          <cell r="C376" t="str">
            <v>-</v>
          </cell>
          <cell r="D376" t="str">
            <v>-</v>
          </cell>
          <cell r="E376" t="str">
            <v>ROD</v>
          </cell>
          <cell r="F376" t="str">
            <v>DNER</v>
          </cell>
          <cell r="G376" t="str">
            <v>BR-101 - Lote 7</v>
          </cell>
          <cell r="H376">
            <v>22842600</v>
          </cell>
          <cell r="J376">
            <v>35186</v>
          </cell>
          <cell r="K376" t="str">
            <v>-</v>
          </cell>
          <cell r="L376">
            <v>0</v>
          </cell>
          <cell r="M376" t="str">
            <v>-</v>
          </cell>
        </row>
        <row r="377">
          <cell r="A377">
            <v>1996</v>
          </cell>
          <cell r="B377" t="str">
            <v>SL</v>
          </cell>
          <cell r="C377" t="str">
            <v>-</v>
          </cell>
          <cell r="D377" t="str">
            <v>-</v>
          </cell>
          <cell r="E377" t="str">
            <v>ROD</v>
          </cell>
          <cell r="F377" t="str">
            <v>DAER</v>
          </cell>
          <cell r="G377" t="str">
            <v>RS-640 - Cacequi / Rosário do Sul</v>
          </cell>
          <cell r="H377">
            <v>299430</v>
          </cell>
          <cell r="J377">
            <v>35217</v>
          </cell>
          <cell r="K377">
            <v>1</v>
          </cell>
          <cell r="L377">
            <v>1</v>
          </cell>
          <cell r="M377" t="str">
            <v>AG - 1º Lugar</v>
          </cell>
        </row>
        <row r="378">
          <cell r="A378">
            <v>1996</v>
          </cell>
          <cell r="B378" t="str">
            <v>SL</v>
          </cell>
          <cell r="C378" t="str">
            <v>-</v>
          </cell>
          <cell r="D378" t="str">
            <v>-</v>
          </cell>
          <cell r="E378" t="str">
            <v>AER</v>
          </cell>
          <cell r="F378" t="str">
            <v>GERS</v>
          </cell>
          <cell r="G378" t="str">
            <v>Aeroporto de Torres</v>
          </cell>
          <cell r="H378">
            <v>2317430</v>
          </cell>
          <cell r="J378">
            <v>35247</v>
          </cell>
          <cell r="K378" t="str">
            <v>-</v>
          </cell>
          <cell r="L378">
            <v>0</v>
          </cell>
          <cell r="M378" t="str">
            <v>-</v>
          </cell>
        </row>
        <row r="379">
          <cell r="A379">
            <v>1996</v>
          </cell>
          <cell r="B379" t="str">
            <v>SL</v>
          </cell>
          <cell r="C379" t="str">
            <v>-</v>
          </cell>
          <cell r="D379" t="str">
            <v>-</v>
          </cell>
          <cell r="E379" t="str">
            <v>ROD</v>
          </cell>
          <cell r="F379" t="str">
            <v>DER-PR</v>
          </cell>
          <cell r="G379" t="str">
            <v>Concessões de Rodovias do Paraná - Lote 2</v>
          </cell>
          <cell r="H379">
            <v>0</v>
          </cell>
          <cell r="J379">
            <v>35278</v>
          </cell>
          <cell r="K379" t="str">
            <v>-</v>
          </cell>
          <cell r="L379">
            <v>0</v>
          </cell>
          <cell r="M379" t="str">
            <v>Habilitada</v>
          </cell>
        </row>
        <row r="380">
          <cell r="A380">
            <v>1996</v>
          </cell>
          <cell r="B380" t="str">
            <v>SL</v>
          </cell>
          <cell r="C380" t="str">
            <v>-</v>
          </cell>
          <cell r="D380" t="str">
            <v>-</v>
          </cell>
          <cell r="E380" t="str">
            <v>ROD</v>
          </cell>
          <cell r="F380" t="str">
            <v>DER-PR</v>
          </cell>
          <cell r="G380" t="str">
            <v>Concessões de Rodovias do Paraná - Lote 4</v>
          </cell>
          <cell r="H380">
            <v>0</v>
          </cell>
          <cell r="J380">
            <v>35278</v>
          </cell>
          <cell r="K380" t="str">
            <v>-</v>
          </cell>
          <cell r="L380">
            <v>0</v>
          </cell>
          <cell r="M380" t="str">
            <v>Habilitada</v>
          </cell>
        </row>
        <row r="381">
          <cell r="A381">
            <v>1996</v>
          </cell>
          <cell r="B381" t="str">
            <v>SL</v>
          </cell>
          <cell r="C381" t="str">
            <v>-</v>
          </cell>
          <cell r="D381" t="str">
            <v>-</v>
          </cell>
          <cell r="E381" t="str">
            <v>ROD</v>
          </cell>
          <cell r="F381" t="str">
            <v>DER-PR</v>
          </cell>
          <cell r="G381" t="str">
            <v>Concessões de Rodovias do Paraná - Lote 6</v>
          </cell>
          <cell r="H381">
            <v>0</v>
          </cell>
          <cell r="J381">
            <v>35278</v>
          </cell>
          <cell r="K381" t="str">
            <v>-</v>
          </cell>
          <cell r="L381">
            <v>0</v>
          </cell>
          <cell r="M381" t="str">
            <v>Habilitada</v>
          </cell>
        </row>
        <row r="382">
          <cell r="A382">
            <v>1996</v>
          </cell>
          <cell r="B382" t="str">
            <v>SL</v>
          </cell>
          <cell r="C382" t="str">
            <v>-</v>
          </cell>
          <cell r="D382" t="str">
            <v>-</v>
          </cell>
          <cell r="E382" t="str">
            <v>ROD</v>
          </cell>
          <cell r="F382" t="str">
            <v>DER-PR</v>
          </cell>
          <cell r="G382" t="str">
            <v>Concessões de Rodovias do Paraná - Lote 1</v>
          </cell>
          <cell r="H382">
            <v>0</v>
          </cell>
          <cell r="J382">
            <v>35278</v>
          </cell>
          <cell r="K382" t="str">
            <v>-</v>
          </cell>
          <cell r="L382">
            <v>0</v>
          </cell>
          <cell r="M382" t="str">
            <v>Habilitada</v>
          </cell>
        </row>
        <row r="383">
          <cell r="A383">
            <v>1996</v>
          </cell>
          <cell r="B383" t="str">
            <v>SL</v>
          </cell>
          <cell r="C383" t="str">
            <v>-</v>
          </cell>
          <cell r="D383" t="str">
            <v>-</v>
          </cell>
          <cell r="E383" t="str">
            <v>ROD</v>
          </cell>
          <cell r="F383" t="str">
            <v>DER-PR</v>
          </cell>
          <cell r="G383" t="str">
            <v>Concessões de Rodovias do Paraná - Lote 3</v>
          </cell>
          <cell r="H383">
            <v>0</v>
          </cell>
          <cell r="J383">
            <v>35278</v>
          </cell>
          <cell r="K383" t="str">
            <v>-</v>
          </cell>
          <cell r="L383">
            <v>0</v>
          </cell>
          <cell r="M383" t="str">
            <v>Habilitada</v>
          </cell>
        </row>
        <row r="384">
          <cell r="A384">
            <v>1996</v>
          </cell>
          <cell r="B384" t="str">
            <v>SL</v>
          </cell>
          <cell r="C384" t="str">
            <v>-</v>
          </cell>
          <cell r="D384" t="str">
            <v>-</v>
          </cell>
          <cell r="E384" t="str">
            <v>ROD</v>
          </cell>
          <cell r="F384" t="str">
            <v>DER-PR</v>
          </cell>
          <cell r="G384" t="str">
            <v>Concessões de Rodovias do Paraná - Lote 5</v>
          </cell>
          <cell r="H384">
            <v>0</v>
          </cell>
          <cell r="J384">
            <v>35278</v>
          </cell>
          <cell r="K384" t="str">
            <v>-</v>
          </cell>
          <cell r="L384">
            <v>0</v>
          </cell>
          <cell r="M384" t="str">
            <v>Habilitada</v>
          </cell>
        </row>
        <row r="385">
          <cell r="A385">
            <v>1996</v>
          </cell>
          <cell r="B385" t="str">
            <v>SL</v>
          </cell>
          <cell r="C385" t="str">
            <v>-</v>
          </cell>
          <cell r="D385" t="str">
            <v>-</v>
          </cell>
          <cell r="E385" t="str">
            <v>NAV</v>
          </cell>
          <cell r="F385" t="str">
            <v>S.P.Rio Grande</v>
          </cell>
          <cell r="G385" t="str">
            <v>Terminal de Contêineres do Porto de Rio Grande</v>
          </cell>
          <cell r="H385">
            <v>34802020</v>
          </cell>
          <cell r="J385">
            <v>35309</v>
          </cell>
          <cell r="K385" t="str">
            <v>-</v>
          </cell>
          <cell r="L385">
            <v>0</v>
          </cell>
          <cell r="M385" t="str">
            <v>-</v>
          </cell>
        </row>
        <row r="386">
          <cell r="A386">
            <v>1996</v>
          </cell>
          <cell r="B386" t="str">
            <v>SL</v>
          </cell>
          <cell r="C386" t="str">
            <v>-</v>
          </cell>
          <cell r="D386" t="str">
            <v>-</v>
          </cell>
          <cell r="E386" t="str">
            <v>AER</v>
          </cell>
          <cell r="F386" t="str">
            <v>INFRAERO</v>
          </cell>
          <cell r="G386" t="str">
            <v>Terminal de Cargas Aéreas AFP</v>
          </cell>
          <cell r="H386">
            <v>721180</v>
          </cell>
          <cell r="J386">
            <v>35309</v>
          </cell>
          <cell r="K386" t="str">
            <v>-</v>
          </cell>
          <cell r="L386">
            <v>0</v>
          </cell>
          <cell r="M386" t="str">
            <v>-</v>
          </cell>
        </row>
        <row r="387">
          <cell r="A387">
            <v>1996</v>
          </cell>
          <cell r="B387" t="str">
            <v>SL</v>
          </cell>
          <cell r="C387" t="str">
            <v>-</v>
          </cell>
          <cell r="D387" t="str">
            <v>-</v>
          </cell>
          <cell r="E387" t="str">
            <v>SAN</v>
          </cell>
          <cell r="F387" t="str">
            <v>SANEPAR</v>
          </cell>
          <cell r="G387" t="str">
            <v>Prosan - Lote 2</v>
          </cell>
          <cell r="H387">
            <v>3878700</v>
          </cell>
          <cell r="J387">
            <v>35339</v>
          </cell>
          <cell r="K387" t="str">
            <v>-</v>
          </cell>
          <cell r="L387">
            <v>0</v>
          </cell>
          <cell r="M387" t="str">
            <v>-</v>
          </cell>
        </row>
        <row r="388">
          <cell r="A388">
            <v>1996</v>
          </cell>
          <cell r="B388" t="str">
            <v>SL</v>
          </cell>
          <cell r="C388" t="str">
            <v>-</v>
          </cell>
          <cell r="D388" t="str">
            <v>-</v>
          </cell>
          <cell r="E388" t="str">
            <v>DIV</v>
          </cell>
          <cell r="F388" t="str">
            <v>ECT</v>
          </cell>
          <cell r="G388" t="str">
            <v>ECT - Paraná</v>
          </cell>
          <cell r="H388">
            <v>26320360</v>
          </cell>
          <cell r="J388">
            <v>35339</v>
          </cell>
          <cell r="K388" t="str">
            <v>-</v>
          </cell>
          <cell r="L388">
            <v>0</v>
          </cell>
          <cell r="M388" t="str">
            <v>-</v>
          </cell>
        </row>
        <row r="389">
          <cell r="A389">
            <v>1996</v>
          </cell>
          <cell r="B389" t="str">
            <v>SL</v>
          </cell>
          <cell r="C389" t="str">
            <v>-</v>
          </cell>
          <cell r="D389" t="str">
            <v>-</v>
          </cell>
          <cell r="E389" t="str">
            <v>ROD</v>
          </cell>
          <cell r="F389" t="str">
            <v>DNER</v>
          </cell>
          <cell r="G389" t="str">
            <v>Duplicação BR-316/SP - Lote 7</v>
          </cell>
          <cell r="H389">
            <v>11688650</v>
          </cell>
          <cell r="J389">
            <v>35339</v>
          </cell>
          <cell r="K389" t="str">
            <v>-</v>
          </cell>
          <cell r="L389">
            <v>0</v>
          </cell>
          <cell r="M389" t="str">
            <v>-</v>
          </cell>
        </row>
        <row r="390">
          <cell r="A390">
            <v>1996</v>
          </cell>
          <cell r="B390" t="str">
            <v>SL</v>
          </cell>
          <cell r="C390" t="str">
            <v>-</v>
          </cell>
          <cell r="D390" t="str">
            <v>-</v>
          </cell>
          <cell r="E390" t="str">
            <v>SAN</v>
          </cell>
          <cell r="F390" t="str">
            <v>SANEPAR</v>
          </cell>
          <cell r="G390" t="str">
            <v>Prosan - Lote 1</v>
          </cell>
          <cell r="H390">
            <v>5222630</v>
          </cell>
          <cell r="J390">
            <v>35339</v>
          </cell>
          <cell r="K390" t="str">
            <v>-</v>
          </cell>
          <cell r="L390">
            <v>0</v>
          </cell>
          <cell r="M390" t="str">
            <v>-</v>
          </cell>
        </row>
        <row r="391">
          <cell r="A391">
            <v>1996</v>
          </cell>
          <cell r="B391" t="str">
            <v>SL</v>
          </cell>
          <cell r="C391" t="str">
            <v>-</v>
          </cell>
          <cell r="D391" t="str">
            <v>-</v>
          </cell>
          <cell r="E391" t="str">
            <v>ROD</v>
          </cell>
          <cell r="F391" t="str">
            <v>DNER</v>
          </cell>
          <cell r="G391" t="str">
            <v>Duplicação BR-101/SC - Lote 6</v>
          </cell>
          <cell r="H391">
            <v>3863900</v>
          </cell>
          <cell r="J391">
            <v>35339</v>
          </cell>
          <cell r="K391">
            <v>1</v>
          </cell>
          <cell r="L391">
            <v>1</v>
          </cell>
          <cell r="M391" t="str">
            <v>AG - 1º Lugar</v>
          </cell>
        </row>
        <row r="392">
          <cell r="A392">
            <v>1996</v>
          </cell>
          <cell r="B392" t="str">
            <v>SL</v>
          </cell>
          <cell r="C392" t="str">
            <v>-</v>
          </cell>
          <cell r="D392" t="str">
            <v>-</v>
          </cell>
          <cell r="E392" t="str">
            <v>SAN</v>
          </cell>
          <cell r="F392" t="str">
            <v>SANEPAR</v>
          </cell>
          <cell r="G392" t="str">
            <v>Barragem do Iraí</v>
          </cell>
          <cell r="H392">
            <v>3232000</v>
          </cell>
          <cell r="J392">
            <v>35400</v>
          </cell>
          <cell r="K392">
            <v>1</v>
          </cell>
          <cell r="L392">
            <v>1</v>
          </cell>
          <cell r="M392" t="str">
            <v>AG - 1º Lugar</v>
          </cell>
        </row>
        <row r="393">
          <cell r="A393">
            <v>1997</v>
          </cell>
          <cell r="B393" t="str">
            <v>NE</v>
          </cell>
          <cell r="C393" t="str">
            <v>RPol</v>
          </cell>
          <cell r="D393" t="str">
            <v>PUB</v>
          </cell>
          <cell r="E393" t="str">
            <v>ROD</v>
          </cell>
          <cell r="F393" t="str">
            <v>DERMA</v>
          </cell>
          <cell r="G393" t="str">
            <v>Rodovia Babilônia / Km 38 - Lote 3 - 33,78 km</v>
          </cell>
          <cell r="H393">
            <v>3409000</v>
          </cell>
          <cell r="J393">
            <v>35431</v>
          </cell>
          <cell r="K393" t="str">
            <v>-</v>
          </cell>
          <cell r="L393">
            <v>0</v>
          </cell>
          <cell r="M393" t="str">
            <v>-</v>
          </cell>
        </row>
        <row r="394">
          <cell r="A394">
            <v>1997</v>
          </cell>
          <cell r="B394" t="str">
            <v>NE</v>
          </cell>
          <cell r="C394" t="str">
            <v>RPol</v>
          </cell>
          <cell r="D394" t="str">
            <v>PUB</v>
          </cell>
          <cell r="E394" t="str">
            <v>ROD</v>
          </cell>
          <cell r="F394" t="str">
            <v>DERMA</v>
          </cell>
          <cell r="G394" t="str">
            <v>Rodovia Balsas / Km 38 - Lote 1 - 38 km</v>
          </cell>
          <cell r="H394">
            <v>3282000</v>
          </cell>
          <cell r="J394">
            <v>35431</v>
          </cell>
          <cell r="K394" t="str">
            <v>-</v>
          </cell>
          <cell r="L394">
            <v>0</v>
          </cell>
          <cell r="M394" t="str">
            <v>-</v>
          </cell>
        </row>
        <row r="395">
          <cell r="A395">
            <v>1997</v>
          </cell>
          <cell r="B395" t="str">
            <v>NE</v>
          </cell>
          <cell r="C395" t="str">
            <v>RPol</v>
          </cell>
          <cell r="D395" t="str">
            <v>PUB</v>
          </cell>
          <cell r="E395" t="str">
            <v>ROD</v>
          </cell>
          <cell r="F395" t="str">
            <v>DERMA</v>
          </cell>
          <cell r="G395" t="str">
            <v>Rodovia Km 33,78 km / Tasso Fragoso - Lote 4 - 33,78 km</v>
          </cell>
          <cell r="H395">
            <v>3533000</v>
          </cell>
          <cell r="J395">
            <v>35431</v>
          </cell>
          <cell r="K395" t="str">
            <v>-</v>
          </cell>
          <cell r="L395">
            <v>0</v>
          </cell>
          <cell r="M395" t="str">
            <v>-</v>
          </cell>
        </row>
        <row r="396">
          <cell r="A396">
            <v>1997</v>
          </cell>
          <cell r="B396" t="str">
            <v>NE</v>
          </cell>
          <cell r="C396" t="str">
            <v>RPol</v>
          </cell>
          <cell r="D396" t="str">
            <v>PUB</v>
          </cell>
          <cell r="E396" t="str">
            <v>ROD</v>
          </cell>
          <cell r="F396" t="str">
            <v>DERMA</v>
          </cell>
          <cell r="G396" t="str">
            <v>Rodovia Km 38 / Babilônia - Lote 2 - 38,44 km</v>
          </cell>
          <cell r="H396">
            <v>3611000</v>
          </cell>
          <cell r="J396">
            <v>35431</v>
          </cell>
          <cell r="K396" t="str">
            <v>-</v>
          </cell>
          <cell r="L396">
            <v>0</v>
          </cell>
          <cell r="M396" t="str">
            <v>-</v>
          </cell>
        </row>
        <row r="397">
          <cell r="A397">
            <v>1997</v>
          </cell>
          <cell r="B397" t="str">
            <v>NE</v>
          </cell>
          <cell r="C397" t="str">
            <v>RPol</v>
          </cell>
          <cell r="D397" t="str">
            <v>PUB</v>
          </cell>
          <cell r="E397" t="str">
            <v>ROD</v>
          </cell>
          <cell r="F397" t="str">
            <v>DERMA</v>
          </cell>
          <cell r="G397" t="str">
            <v>Rodovia MA-006 - Tasso Fragoso / Parnaíba</v>
          </cell>
          <cell r="H397">
            <v>7137000</v>
          </cell>
          <cell r="J397">
            <v>35462</v>
          </cell>
          <cell r="K397" t="str">
            <v>-</v>
          </cell>
          <cell r="L397">
            <v>0</v>
          </cell>
          <cell r="M397" t="str">
            <v>-</v>
          </cell>
        </row>
        <row r="398">
          <cell r="A398">
            <v>1997</v>
          </cell>
          <cell r="B398" t="str">
            <v>NE</v>
          </cell>
          <cell r="C398" t="str">
            <v>MAC</v>
          </cell>
          <cell r="D398" t="str">
            <v>SPB</v>
          </cell>
          <cell r="E398" t="str">
            <v>DIV</v>
          </cell>
          <cell r="F398" t="str">
            <v>FUNCEF</v>
          </cell>
          <cell r="G398" t="str">
            <v>Centro Empresarial Nações Unidas - Brasília</v>
          </cell>
          <cell r="H398">
            <v>14449000</v>
          </cell>
          <cell r="J398">
            <v>35490</v>
          </cell>
          <cell r="K398" t="str">
            <v>-</v>
          </cell>
          <cell r="L398">
            <v>0</v>
          </cell>
          <cell r="M398" t="str">
            <v>-</v>
          </cell>
        </row>
        <row r="399">
          <cell r="A399">
            <v>1997</v>
          </cell>
          <cell r="B399" t="str">
            <v>NE</v>
          </cell>
          <cell r="C399" t="str">
            <v>RPol</v>
          </cell>
          <cell r="D399" t="str">
            <v>PUB</v>
          </cell>
          <cell r="E399" t="str">
            <v>ROD</v>
          </cell>
          <cell r="F399" t="str">
            <v>DERMA</v>
          </cell>
          <cell r="G399" t="str">
            <v>BR-226 - Lote 1 - 118,4 km</v>
          </cell>
          <cell r="H399">
            <v>13027000</v>
          </cell>
          <cell r="J399">
            <v>35582</v>
          </cell>
          <cell r="K399" t="str">
            <v>-</v>
          </cell>
          <cell r="L399">
            <v>0</v>
          </cell>
          <cell r="M399" t="str">
            <v>-</v>
          </cell>
        </row>
        <row r="400">
          <cell r="A400">
            <v>1997</v>
          </cell>
          <cell r="B400" t="str">
            <v>NE</v>
          </cell>
          <cell r="C400" t="str">
            <v>RPol</v>
          </cell>
          <cell r="D400" t="str">
            <v>PUB</v>
          </cell>
          <cell r="E400" t="str">
            <v>ROD</v>
          </cell>
          <cell r="F400" t="str">
            <v>DERMA</v>
          </cell>
          <cell r="G400" t="str">
            <v>BR-226 - Lote 2 - 123,4 km</v>
          </cell>
          <cell r="H400">
            <v>16748000</v>
          </cell>
          <cell r="J400">
            <v>35582</v>
          </cell>
          <cell r="K400" t="str">
            <v>-</v>
          </cell>
          <cell r="L400">
            <v>0</v>
          </cell>
          <cell r="M400" t="str">
            <v>-</v>
          </cell>
        </row>
        <row r="401">
          <cell r="A401">
            <v>1997</v>
          </cell>
          <cell r="B401" t="str">
            <v>NE</v>
          </cell>
          <cell r="C401" t="str">
            <v>RPol</v>
          </cell>
          <cell r="D401" t="str">
            <v>PUB</v>
          </cell>
          <cell r="E401" t="str">
            <v>ROD</v>
          </cell>
          <cell r="F401" t="str">
            <v>DERMA</v>
          </cell>
          <cell r="G401" t="str">
            <v>Rodovia do Arroz</v>
          </cell>
          <cell r="H401">
            <v>9244000</v>
          </cell>
          <cell r="J401">
            <v>35612</v>
          </cell>
          <cell r="K401">
            <v>1</v>
          </cell>
          <cell r="L401">
            <v>1</v>
          </cell>
          <cell r="M401" t="str">
            <v>AG - 1º Lugar</v>
          </cell>
        </row>
        <row r="402">
          <cell r="A402">
            <v>1997</v>
          </cell>
          <cell r="B402" t="str">
            <v>NE</v>
          </cell>
          <cell r="C402" t="str">
            <v>RVal</v>
          </cell>
          <cell r="D402" t="str">
            <v>SPB</v>
          </cell>
          <cell r="E402" t="str">
            <v>SAN</v>
          </cell>
          <cell r="F402" t="str">
            <v>EMBASA</v>
          </cell>
          <cell r="G402" t="str">
            <v>Barragem de Santa Helena - Reversão do Rio Joanes II</v>
          </cell>
          <cell r="H402">
            <v>29280000</v>
          </cell>
          <cell r="J402">
            <v>35674</v>
          </cell>
          <cell r="K402" t="str">
            <v>-</v>
          </cell>
          <cell r="L402">
            <v>0</v>
          </cell>
          <cell r="M402" t="str">
            <v>-</v>
          </cell>
        </row>
        <row r="403">
          <cell r="A403">
            <v>1997</v>
          </cell>
          <cell r="B403" t="str">
            <v>NE</v>
          </cell>
          <cell r="C403" t="str">
            <v>-</v>
          </cell>
          <cell r="D403" t="str">
            <v>PET</v>
          </cell>
          <cell r="E403" t="str">
            <v>ENE</v>
          </cell>
          <cell r="F403" t="str">
            <v>Petrobrás</v>
          </cell>
          <cell r="G403" t="str">
            <v>GASALP - 212 km</v>
          </cell>
          <cell r="H403">
            <v>13005000</v>
          </cell>
          <cell r="J403">
            <v>35704</v>
          </cell>
          <cell r="K403" t="str">
            <v>-</v>
          </cell>
          <cell r="L403">
            <v>0</v>
          </cell>
          <cell r="M403" t="str">
            <v>-</v>
          </cell>
        </row>
        <row r="404">
          <cell r="A404">
            <v>1997</v>
          </cell>
          <cell r="B404" t="str">
            <v>NE</v>
          </cell>
          <cell r="C404" t="str">
            <v>MAC</v>
          </cell>
          <cell r="D404" t="str">
            <v>SPB</v>
          </cell>
          <cell r="E404" t="str">
            <v>AER</v>
          </cell>
          <cell r="F404" t="str">
            <v>INFRAERO</v>
          </cell>
          <cell r="G404" t="str">
            <v>Aeroporto de Salvador</v>
          </cell>
          <cell r="H404">
            <v>98918000</v>
          </cell>
          <cell r="J404">
            <v>35735</v>
          </cell>
          <cell r="K404" t="str">
            <v>-</v>
          </cell>
          <cell r="L404">
            <v>0</v>
          </cell>
          <cell r="M404" t="str">
            <v>Em julgamento</v>
          </cell>
        </row>
        <row r="405">
          <cell r="A405">
            <v>1997</v>
          </cell>
          <cell r="B405" t="str">
            <v>SE</v>
          </cell>
          <cell r="C405" t="str">
            <v>FF</v>
          </cell>
          <cell r="D405" t="str">
            <v>Comunicações</v>
          </cell>
          <cell r="E405" t="str">
            <v>IND</v>
          </cell>
          <cell r="F405" t="str">
            <v>GLOBO</v>
          </cell>
          <cell r="G405" t="str">
            <v>Parque Gráfico de "O Globo"</v>
          </cell>
          <cell r="H405">
            <v>8193000</v>
          </cell>
          <cell r="J405">
            <v>35431</v>
          </cell>
          <cell r="K405" t="str">
            <v>-</v>
          </cell>
          <cell r="L405">
            <v>0</v>
          </cell>
          <cell r="M405" t="str">
            <v>-</v>
          </cell>
        </row>
        <row r="406">
          <cell r="A406">
            <v>1997</v>
          </cell>
          <cell r="B406" t="str">
            <v>SE</v>
          </cell>
          <cell r="C406" t="str">
            <v>GM</v>
          </cell>
          <cell r="D406" t="str">
            <v>PUB</v>
          </cell>
          <cell r="E406" t="str">
            <v>SAN</v>
          </cell>
          <cell r="F406" t="str">
            <v>SUDECAP</v>
          </cell>
          <cell r="G406" t="str">
            <v xml:space="preserve">Recuperação da Galeria da Silva Lobo </v>
          </cell>
          <cell r="H406">
            <v>1305000</v>
          </cell>
          <cell r="J406">
            <v>35462</v>
          </cell>
          <cell r="K406">
            <v>1</v>
          </cell>
          <cell r="L406">
            <v>1</v>
          </cell>
          <cell r="M406" t="str">
            <v>AG - 1º Lugar</v>
          </cell>
        </row>
        <row r="407">
          <cell r="A407">
            <v>1997</v>
          </cell>
          <cell r="B407" t="str">
            <v>SE</v>
          </cell>
          <cell r="C407" t="str">
            <v>CV</v>
          </cell>
          <cell r="D407" t="str">
            <v>PUB</v>
          </cell>
          <cell r="E407" t="str">
            <v>ROD</v>
          </cell>
          <cell r="F407" t="str">
            <v>DER-MG</v>
          </cell>
          <cell r="G407" t="str">
            <v>Erosão BR-040</v>
          </cell>
          <cell r="H407">
            <v>553000</v>
          </cell>
          <cell r="J407">
            <v>35462</v>
          </cell>
          <cell r="K407">
            <v>1</v>
          </cell>
          <cell r="L407">
            <v>1</v>
          </cell>
          <cell r="M407" t="str">
            <v>AG - 1º Lugar</v>
          </cell>
        </row>
        <row r="408">
          <cell r="A408">
            <v>1997</v>
          </cell>
          <cell r="B408" t="str">
            <v>SE</v>
          </cell>
          <cell r="C408" t="str">
            <v>MAA</v>
          </cell>
          <cell r="D408" t="str">
            <v>PUB</v>
          </cell>
          <cell r="E408" t="str">
            <v>AGR</v>
          </cell>
          <cell r="F408" t="str">
            <v>SEPLAN - GO</v>
          </cell>
          <cell r="G408" t="str">
            <v>Projeto Luís Alves do Araguaia</v>
          </cell>
          <cell r="H408">
            <v>51138000</v>
          </cell>
          <cell r="J408">
            <v>35490</v>
          </cell>
          <cell r="K408" t="str">
            <v>-</v>
          </cell>
          <cell r="L408">
            <v>0</v>
          </cell>
          <cell r="M408" t="str">
            <v>-</v>
          </cell>
        </row>
        <row r="409">
          <cell r="A409">
            <v>1997</v>
          </cell>
          <cell r="B409" t="str">
            <v>SE</v>
          </cell>
          <cell r="C409" t="str">
            <v>-</v>
          </cell>
          <cell r="D409" t="str">
            <v>Serviços Diversos</v>
          </cell>
          <cell r="E409" t="str">
            <v>HAB</v>
          </cell>
          <cell r="F409" t="str">
            <v>AGEM</v>
          </cell>
          <cell r="G409" t="str">
            <v xml:space="preserve">Ilhas Perynas </v>
          </cell>
          <cell r="H409">
            <v>21472000</v>
          </cell>
          <cell r="J409">
            <v>35490</v>
          </cell>
          <cell r="K409" t="str">
            <v>-</v>
          </cell>
          <cell r="L409">
            <v>0</v>
          </cell>
          <cell r="M409" t="str">
            <v>Orçamento Básico</v>
          </cell>
        </row>
        <row r="410">
          <cell r="A410">
            <v>1997</v>
          </cell>
          <cell r="B410" t="str">
            <v>SE</v>
          </cell>
          <cell r="C410" t="str">
            <v>CV</v>
          </cell>
          <cell r="D410" t="str">
            <v>SPB</v>
          </cell>
          <cell r="E410" t="str">
            <v>DIV</v>
          </cell>
          <cell r="F410" t="str">
            <v>P. M. Contagem</v>
          </cell>
          <cell r="G410" t="str">
            <v>Coleta de Lixo de Contagem</v>
          </cell>
          <cell r="H410">
            <v>8897000</v>
          </cell>
          <cell r="J410">
            <v>35521</v>
          </cell>
          <cell r="K410">
            <v>1</v>
          </cell>
          <cell r="L410">
            <v>1</v>
          </cell>
          <cell r="M410" t="str">
            <v>AG - 1º Lugar</v>
          </cell>
        </row>
        <row r="411">
          <cell r="A411">
            <v>1997</v>
          </cell>
          <cell r="B411" t="str">
            <v>SE</v>
          </cell>
          <cell r="C411" t="str">
            <v>FF</v>
          </cell>
          <cell r="D411" t="str">
            <v>Material de Construção</v>
          </cell>
          <cell r="E411" t="str">
            <v>IND</v>
          </cell>
          <cell r="F411" t="str">
            <v>CIMINAS</v>
          </cell>
          <cell r="G411" t="str">
            <v>Ampliação da Fábrica de Cimento da Ciminas</v>
          </cell>
          <cell r="H411">
            <v>4000000</v>
          </cell>
          <cell r="J411">
            <v>35521</v>
          </cell>
          <cell r="K411" t="str">
            <v>-</v>
          </cell>
          <cell r="L411">
            <v>0</v>
          </cell>
          <cell r="M411" t="str">
            <v>-</v>
          </cell>
        </row>
        <row r="412">
          <cell r="A412">
            <v>1997</v>
          </cell>
          <cell r="B412" t="str">
            <v>SE</v>
          </cell>
          <cell r="C412" t="str">
            <v>FF</v>
          </cell>
          <cell r="D412" t="str">
            <v>Serviços Diversos</v>
          </cell>
          <cell r="E412" t="str">
            <v>EDU</v>
          </cell>
          <cell r="F412" t="str">
            <v>UBEE</v>
          </cell>
          <cell r="G412" t="str">
            <v>Ampliação do Colégio Marista</v>
          </cell>
          <cell r="H412">
            <v>2449000</v>
          </cell>
          <cell r="J412">
            <v>35521</v>
          </cell>
          <cell r="K412" t="str">
            <v>-</v>
          </cell>
          <cell r="L412">
            <v>0</v>
          </cell>
          <cell r="M412" t="str">
            <v>-</v>
          </cell>
        </row>
        <row r="413">
          <cell r="A413">
            <v>1997</v>
          </cell>
          <cell r="B413" t="str">
            <v>SE</v>
          </cell>
          <cell r="C413" t="str">
            <v>CV</v>
          </cell>
          <cell r="D413" t="str">
            <v>SPB</v>
          </cell>
          <cell r="E413" t="str">
            <v>TRMA</v>
          </cell>
          <cell r="F413" t="str">
            <v>CBTU</v>
          </cell>
          <cell r="G413" t="str">
            <v>Metrô de Belo Horizonte - Lote 3</v>
          </cell>
          <cell r="H413">
            <v>9572000</v>
          </cell>
          <cell r="J413">
            <v>35551</v>
          </cell>
          <cell r="K413" t="str">
            <v>-</v>
          </cell>
          <cell r="L413">
            <v>0</v>
          </cell>
          <cell r="M413" t="str">
            <v>Cobertura</v>
          </cell>
        </row>
        <row r="414">
          <cell r="A414">
            <v>1997</v>
          </cell>
          <cell r="B414" t="str">
            <v>SE</v>
          </cell>
          <cell r="C414" t="str">
            <v>CV</v>
          </cell>
          <cell r="D414" t="str">
            <v>SPB</v>
          </cell>
          <cell r="E414" t="str">
            <v>TRMA</v>
          </cell>
          <cell r="F414" t="str">
            <v>CBTU</v>
          </cell>
          <cell r="G414" t="str">
            <v>Metrô de Belo Horizonte - Lote 2</v>
          </cell>
          <cell r="H414">
            <v>6569000</v>
          </cell>
          <cell r="J414">
            <v>35551</v>
          </cell>
          <cell r="K414">
            <v>1</v>
          </cell>
          <cell r="L414">
            <v>1</v>
          </cell>
          <cell r="M414" t="str">
            <v>AG / CCCC - 1º Lugar</v>
          </cell>
        </row>
        <row r="415">
          <cell r="A415">
            <v>1997</v>
          </cell>
          <cell r="B415" t="str">
            <v>SE</v>
          </cell>
          <cell r="C415" t="str">
            <v>CV</v>
          </cell>
          <cell r="D415" t="str">
            <v>SPB</v>
          </cell>
          <cell r="E415" t="str">
            <v>TRMA</v>
          </cell>
          <cell r="F415" t="str">
            <v>CBTU</v>
          </cell>
          <cell r="G415" t="str">
            <v>Metrô de Belo Horizonte - Lote 4</v>
          </cell>
          <cell r="H415">
            <v>9990000</v>
          </cell>
          <cell r="J415">
            <v>35551</v>
          </cell>
          <cell r="K415" t="str">
            <v>-</v>
          </cell>
          <cell r="L415">
            <v>0</v>
          </cell>
          <cell r="M415" t="str">
            <v>Cobertura</v>
          </cell>
        </row>
        <row r="416">
          <cell r="A416">
            <v>1997</v>
          </cell>
          <cell r="B416" t="str">
            <v>SE</v>
          </cell>
          <cell r="C416" t="str">
            <v>FF</v>
          </cell>
          <cell r="D416" t="str">
            <v>SID</v>
          </cell>
          <cell r="E416" t="str">
            <v>MIN</v>
          </cell>
          <cell r="F416" t="str">
            <v>C. S. de Tubarão</v>
          </cell>
          <cell r="G416" t="str">
            <v>Laminação de Tiras à Frio</v>
          </cell>
          <cell r="H416">
            <v>69638000</v>
          </cell>
          <cell r="J416">
            <v>35551</v>
          </cell>
          <cell r="K416" t="str">
            <v>-</v>
          </cell>
          <cell r="L416">
            <v>0</v>
          </cell>
          <cell r="M416" t="str">
            <v>-</v>
          </cell>
        </row>
        <row r="417">
          <cell r="A417">
            <v>1997</v>
          </cell>
          <cell r="B417" t="str">
            <v>SE</v>
          </cell>
          <cell r="C417" t="str">
            <v>CV</v>
          </cell>
          <cell r="D417" t="str">
            <v>SPB</v>
          </cell>
          <cell r="E417" t="str">
            <v>TRMA</v>
          </cell>
          <cell r="F417" t="str">
            <v>CBTU</v>
          </cell>
          <cell r="G417" t="str">
            <v>Metrô de Belo Horizonte - Lote 1</v>
          </cell>
          <cell r="H417">
            <v>14949000</v>
          </cell>
          <cell r="J417">
            <v>35551</v>
          </cell>
          <cell r="K417" t="str">
            <v>-</v>
          </cell>
          <cell r="L417">
            <v>0</v>
          </cell>
          <cell r="M417" t="str">
            <v>Cobertura</v>
          </cell>
        </row>
        <row r="418">
          <cell r="A418">
            <v>1997</v>
          </cell>
          <cell r="B418" t="str">
            <v>SE</v>
          </cell>
          <cell r="C418" t="str">
            <v>-</v>
          </cell>
          <cell r="D418" t="str">
            <v>PET</v>
          </cell>
          <cell r="E418" t="str">
            <v>ENE</v>
          </cell>
          <cell r="F418" t="str">
            <v>Petrobrás</v>
          </cell>
          <cell r="G418" t="str">
            <v>Gasoduto de 376,7 km</v>
          </cell>
          <cell r="H418">
            <v>19583000</v>
          </cell>
          <cell r="J418">
            <v>35582</v>
          </cell>
          <cell r="K418" t="str">
            <v>-</v>
          </cell>
          <cell r="L418">
            <v>0</v>
          </cell>
          <cell r="M418" t="str">
            <v>-</v>
          </cell>
        </row>
        <row r="419">
          <cell r="A419">
            <v>1997</v>
          </cell>
          <cell r="B419" t="str">
            <v>SE</v>
          </cell>
          <cell r="C419" t="str">
            <v>GM</v>
          </cell>
          <cell r="D419" t="str">
            <v>MIN</v>
          </cell>
          <cell r="E419" t="str">
            <v>MIN</v>
          </cell>
          <cell r="F419" t="str">
            <v>Ferteco</v>
          </cell>
          <cell r="G419" t="str">
            <v>Terraplenagem do Pátio de Estocagem de Minério</v>
          </cell>
          <cell r="H419">
            <v>4464000</v>
          </cell>
          <cell r="J419">
            <v>35582</v>
          </cell>
          <cell r="K419" t="str">
            <v>-</v>
          </cell>
          <cell r="L419">
            <v>0</v>
          </cell>
          <cell r="M419" t="str">
            <v>-</v>
          </cell>
        </row>
        <row r="420">
          <cell r="A420">
            <v>1997</v>
          </cell>
          <cell r="B420" t="str">
            <v>SE</v>
          </cell>
          <cell r="C420" t="str">
            <v>MAA</v>
          </cell>
          <cell r="D420" t="str">
            <v>PUB</v>
          </cell>
          <cell r="E420" t="str">
            <v>ROD</v>
          </cell>
          <cell r="F420" t="str">
            <v>DERGO</v>
          </cell>
          <cell r="G420" t="str">
            <v>Rodovia Posse - Guarani</v>
          </cell>
          <cell r="H420">
            <v>4425000</v>
          </cell>
          <cell r="J420">
            <v>35643</v>
          </cell>
          <cell r="K420">
            <v>1</v>
          </cell>
          <cell r="L420">
            <v>1</v>
          </cell>
          <cell r="M420" t="str">
            <v>AG - 1º Lugar</v>
          </cell>
        </row>
        <row r="421">
          <cell r="A421">
            <v>1997</v>
          </cell>
          <cell r="B421" t="str">
            <v>SE</v>
          </cell>
          <cell r="C421" t="str">
            <v>GM</v>
          </cell>
          <cell r="D421" t="str">
            <v>MIN</v>
          </cell>
          <cell r="E421" t="str">
            <v>MIN</v>
          </cell>
          <cell r="F421" t="str">
            <v>Ferteco</v>
          </cell>
          <cell r="G421" t="str">
            <v>Terraplenagem do Pátio de Estocagem de Minério</v>
          </cell>
          <cell r="H421">
            <v>1790000</v>
          </cell>
          <cell r="J421">
            <v>35643</v>
          </cell>
          <cell r="K421" t="str">
            <v>-</v>
          </cell>
          <cell r="L421">
            <v>0</v>
          </cell>
          <cell r="M421" t="str">
            <v>-</v>
          </cell>
        </row>
        <row r="422">
          <cell r="A422">
            <v>1997</v>
          </cell>
          <cell r="B422" t="str">
            <v>SE</v>
          </cell>
          <cell r="C422" t="str">
            <v>FF</v>
          </cell>
          <cell r="D422" t="str">
            <v>SID</v>
          </cell>
          <cell r="E422" t="str">
            <v>MIN</v>
          </cell>
          <cell r="F422" t="str">
            <v>Danieli</v>
          </cell>
          <cell r="G422" t="str">
            <v>Laminação de Tiras à Frio</v>
          </cell>
          <cell r="H422">
            <v>40115000</v>
          </cell>
          <cell r="J422">
            <v>35643</v>
          </cell>
          <cell r="K422" t="str">
            <v>-</v>
          </cell>
          <cell r="L422">
            <v>0</v>
          </cell>
          <cell r="M422" t="str">
            <v>-</v>
          </cell>
        </row>
        <row r="423">
          <cell r="A423">
            <v>1997</v>
          </cell>
          <cell r="B423" t="str">
            <v>SE</v>
          </cell>
          <cell r="C423" t="str">
            <v>LC</v>
          </cell>
          <cell r="D423" t="str">
            <v>PUB</v>
          </cell>
          <cell r="E423" t="str">
            <v>ROD</v>
          </cell>
          <cell r="F423" t="str">
            <v>SETO</v>
          </cell>
          <cell r="G423" t="str">
            <v>Rodovia Paranã / Príncipe</v>
          </cell>
          <cell r="H423">
            <v>19235000</v>
          </cell>
          <cell r="J423">
            <v>35674</v>
          </cell>
          <cell r="K423" t="str">
            <v>-</v>
          </cell>
          <cell r="L423">
            <v>0</v>
          </cell>
          <cell r="M423" t="str">
            <v>-</v>
          </cell>
        </row>
        <row r="424">
          <cell r="A424">
            <v>1997</v>
          </cell>
          <cell r="B424" t="str">
            <v>SE</v>
          </cell>
          <cell r="C424" t="str">
            <v>MAA</v>
          </cell>
          <cell r="D424" t="str">
            <v>PUB</v>
          </cell>
          <cell r="E424" t="str">
            <v>ROD</v>
          </cell>
          <cell r="F424" t="str">
            <v>DERGO</v>
          </cell>
          <cell r="G424" t="str">
            <v>Rodovia Iporá / Piranhas</v>
          </cell>
          <cell r="H424">
            <v>4610000</v>
          </cell>
          <cell r="J424">
            <v>35674</v>
          </cell>
          <cell r="K424" t="str">
            <v>-</v>
          </cell>
          <cell r="L424">
            <v>0</v>
          </cell>
          <cell r="M424" t="str">
            <v>-</v>
          </cell>
        </row>
        <row r="425">
          <cell r="A425">
            <v>1997</v>
          </cell>
          <cell r="B425" t="str">
            <v>SE</v>
          </cell>
          <cell r="C425" t="str">
            <v>CV</v>
          </cell>
          <cell r="D425" t="str">
            <v>PUB</v>
          </cell>
          <cell r="E425" t="str">
            <v>ROD</v>
          </cell>
          <cell r="F425" t="str">
            <v>DER-MG</v>
          </cell>
          <cell r="G425" t="str">
            <v>BR-354 - Lavras / Luminárias</v>
          </cell>
          <cell r="H425">
            <v>4006000</v>
          </cell>
          <cell r="J425">
            <v>35704</v>
          </cell>
          <cell r="K425">
            <v>0</v>
          </cell>
          <cell r="L425">
            <v>0</v>
          </cell>
          <cell r="M425" t="str">
            <v>AG eliminada</v>
          </cell>
        </row>
        <row r="426">
          <cell r="A426">
            <v>1997</v>
          </cell>
          <cell r="B426" t="str">
            <v>SE</v>
          </cell>
          <cell r="C426" t="str">
            <v>MAA</v>
          </cell>
          <cell r="D426" t="str">
            <v>PUB</v>
          </cell>
          <cell r="E426" t="str">
            <v>ROD</v>
          </cell>
          <cell r="F426" t="str">
            <v>DNER</v>
          </cell>
          <cell r="G426" t="str">
            <v>Rodovia BR-060 - GO - 43,8 km</v>
          </cell>
          <cell r="H426">
            <v>25767000</v>
          </cell>
          <cell r="J426">
            <v>35735</v>
          </cell>
          <cell r="K426" t="str">
            <v>-</v>
          </cell>
          <cell r="L426">
            <v>0</v>
          </cell>
          <cell r="M426" t="str">
            <v>-</v>
          </cell>
        </row>
        <row r="427">
          <cell r="A427">
            <v>1997</v>
          </cell>
          <cell r="B427" t="str">
            <v>SE</v>
          </cell>
          <cell r="C427" t="str">
            <v>FF</v>
          </cell>
          <cell r="D427" t="str">
            <v>SID</v>
          </cell>
          <cell r="E427" t="str">
            <v>IND</v>
          </cell>
          <cell r="F427" t="str">
            <v>C. S. de Tubarão</v>
          </cell>
          <cell r="G427" t="str">
            <v>Laminação de Tiras à Quente</v>
          </cell>
          <cell r="H427">
            <v>52067000</v>
          </cell>
          <cell r="J427">
            <v>35735</v>
          </cell>
          <cell r="K427" t="str">
            <v>-</v>
          </cell>
          <cell r="L427">
            <v>0</v>
          </cell>
          <cell r="M427" t="str">
            <v>-</v>
          </cell>
        </row>
        <row r="428">
          <cell r="A428">
            <v>1997</v>
          </cell>
          <cell r="B428" t="str">
            <v>SL</v>
          </cell>
          <cell r="C428" t="str">
            <v>VAL</v>
          </cell>
          <cell r="D428" t="str">
            <v>SPB</v>
          </cell>
          <cell r="E428" t="str">
            <v>DIV</v>
          </cell>
          <cell r="F428" t="str">
            <v>ECT</v>
          </cell>
          <cell r="G428" t="str">
            <v>Complexo Operacional dos Correios de POA</v>
          </cell>
          <cell r="H428">
            <v>12488000</v>
          </cell>
          <cell r="J428">
            <v>35462</v>
          </cell>
          <cell r="K428" t="str">
            <v>-</v>
          </cell>
          <cell r="L428">
            <v>0</v>
          </cell>
          <cell r="M428" t="str">
            <v>-</v>
          </cell>
        </row>
        <row r="429">
          <cell r="A429">
            <v>1997</v>
          </cell>
          <cell r="B429" t="str">
            <v>SL</v>
          </cell>
          <cell r="C429" t="str">
            <v>VAL</v>
          </cell>
          <cell r="D429" t="str">
            <v>PUB</v>
          </cell>
          <cell r="E429" t="str">
            <v>IND</v>
          </cell>
          <cell r="F429" t="str">
            <v>AUDI</v>
          </cell>
          <cell r="G429" t="str">
            <v>Terraplenagem da Fábrica da AUDI</v>
          </cell>
          <cell r="H429">
            <v>16237000</v>
          </cell>
          <cell r="J429">
            <v>35490</v>
          </cell>
          <cell r="K429" t="str">
            <v>-</v>
          </cell>
          <cell r="L429">
            <v>0</v>
          </cell>
          <cell r="M429" t="str">
            <v>-</v>
          </cell>
        </row>
        <row r="430">
          <cell r="A430">
            <v>1997</v>
          </cell>
          <cell r="B430" t="str">
            <v>SL</v>
          </cell>
          <cell r="C430" t="str">
            <v>VAL</v>
          </cell>
          <cell r="D430" t="str">
            <v>PUB</v>
          </cell>
          <cell r="E430" t="str">
            <v>IND</v>
          </cell>
          <cell r="F430" t="str">
            <v>RENAULT</v>
          </cell>
          <cell r="G430" t="str">
            <v>Fábrica da Renault no Paraná</v>
          </cell>
          <cell r="H430">
            <v>10058000</v>
          </cell>
          <cell r="J430">
            <v>35490</v>
          </cell>
          <cell r="K430" t="str">
            <v>-</v>
          </cell>
          <cell r="L430">
            <v>0</v>
          </cell>
          <cell r="M430" t="str">
            <v>-</v>
          </cell>
        </row>
        <row r="431">
          <cell r="A431">
            <v>1997</v>
          </cell>
          <cell r="B431" t="str">
            <v>SL</v>
          </cell>
          <cell r="C431" t="str">
            <v>RP</v>
          </cell>
          <cell r="D431" t="str">
            <v>SPB</v>
          </cell>
          <cell r="E431" t="str">
            <v>SAN</v>
          </cell>
          <cell r="F431" t="str">
            <v>CORSAN</v>
          </cell>
          <cell r="G431" t="str">
            <v>Barragem do Lago Dourado</v>
          </cell>
          <cell r="H431">
            <v>4490000</v>
          </cell>
          <cell r="J431">
            <v>35521</v>
          </cell>
          <cell r="K431">
            <v>1</v>
          </cell>
          <cell r="L431">
            <v>1</v>
          </cell>
          <cell r="M431" t="str">
            <v>AG - 1º Lugar</v>
          </cell>
        </row>
        <row r="432">
          <cell r="A432">
            <v>1997</v>
          </cell>
          <cell r="B432" t="str">
            <v>SL</v>
          </cell>
          <cell r="C432" t="str">
            <v>RP</v>
          </cell>
          <cell r="D432" t="str">
            <v>PUB</v>
          </cell>
          <cell r="E432" t="str">
            <v>ROD</v>
          </cell>
          <cell r="F432" t="str">
            <v>DAER</v>
          </cell>
          <cell r="G432" t="str">
            <v>Terraplenagem da Fábrica da Brahma - Viamão</v>
          </cell>
          <cell r="H432">
            <v>2916000</v>
          </cell>
          <cell r="J432">
            <v>35551</v>
          </cell>
          <cell r="K432">
            <v>1</v>
          </cell>
          <cell r="L432">
            <v>1</v>
          </cell>
          <cell r="M432" t="str">
            <v>AG - 1º Lugar</v>
          </cell>
        </row>
        <row r="433">
          <cell r="A433">
            <v>1997</v>
          </cell>
          <cell r="B433" t="str">
            <v>SL</v>
          </cell>
          <cell r="C433" t="str">
            <v>RP</v>
          </cell>
          <cell r="D433" t="str">
            <v>PUB</v>
          </cell>
          <cell r="E433" t="str">
            <v>ROD</v>
          </cell>
          <cell r="F433" t="str">
            <v>DAER</v>
          </cell>
          <cell r="G433" t="str">
            <v>Terraplenagem da Fábrica da GM</v>
          </cell>
          <cell r="H433">
            <v>24748000</v>
          </cell>
          <cell r="J433">
            <v>35551</v>
          </cell>
          <cell r="K433" t="str">
            <v>-</v>
          </cell>
          <cell r="L433">
            <v>0</v>
          </cell>
          <cell r="M433" t="str">
            <v>-</v>
          </cell>
        </row>
        <row r="434">
          <cell r="A434">
            <v>1997</v>
          </cell>
          <cell r="B434" t="str">
            <v>SL</v>
          </cell>
          <cell r="C434" t="str">
            <v>VAL</v>
          </cell>
          <cell r="D434" t="str">
            <v>Serviços Diversos</v>
          </cell>
          <cell r="E434" t="str">
            <v>NAV</v>
          </cell>
          <cell r="F434" t="str">
            <v>TPPF S.A.</v>
          </cell>
          <cell r="G434" t="str">
            <v>Terminal Portuário Ponta do Félix</v>
          </cell>
          <cell r="H434">
            <v>4215000</v>
          </cell>
          <cell r="J434">
            <v>35582</v>
          </cell>
          <cell r="K434">
            <v>1</v>
          </cell>
          <cell r="L434">
            <v>1</v>
          </cell>
          <cell r="M434" t="str">
            <v>AG - 1º Lugar</v>
          </cell>
        </row>
        <row r="435">
          <cell r="A435">
            <v>1997</v>
          </cell>
          <cell r="B435" t="str">
            <v>SL</v>
          </cell>
          <cell r="C435" t="str">
            <v>VAL</v>
          </cell>
          <cell r="D435" t="str">
            <v>SPB</v>
          </cell>
          <cell r="E435" t="str">
            <v>ROD</v>
          </cell>
          <cell r="F435" t="str">
            <v>Rodonorte SA</v>
          </cell>
          <cell r="G435" t="str">
            <v>Anel Rodoviário do Paraná</v>
          </cell>
          <cell r="H435">
            <v>16068000</v>
          </cell>
          <cell r="J435">
            <v>35612</v>
          </cell>
          <cell r="K435">
            <v>1</v>
          </cell>
          <cell r="L435">
            <v>1</v>
          </cell>
          <cell r="M435" t="str">
            <v>AG - 1º Lugar</v>
          </cell>
        </row>
        <row r="436">
          <cell r="A436">
            <v>1997</v>
          </cell>
          <cell r="B436" t="str">
            <v>SL</v>
          </cell>
          <cell r="C436" t="str">
            <v>RP</v>
          </cell>
          <cell r="D436" t="str">
            <v>PUB</v>
          </cell>
          <cell r="E436" t="str">
            <v>ROD</v>
          </cell>
          <cell r="F436" t="str">
            <v>DAER</v>
          </cell>
          <cell r="G436" t="str">
            <v>RS-168 - Roque Gonzalez / São Paulo das Missões</v>
          </cell>
          <cell r="H436">
            <v>4287000</v>
          </cell>
          <cell r="J436">
            <v>35643</v>
          </cell>
          <cell r="K436" t="str">
            <v>-</v>
          </cell>
          <cell r="L436" t="str">
            <v>-</v>
          </cell>
          <cell r="M436" t="str">
            <v>-</v>
          </cell>
        </row>
        <row r="437">
          <cell r="A437">
            <v>1997</v>
          </cell>
          <cell r="B437" t="str">
            <v>SL</v>
          </cell>
          <cell r="C437" t="str">
            <v>VAL</v>
          </cell>
          <cell r="D437" t="str">
            <v>PUB</v>
          </cell>
          <cell r="E437" t="str">
            <v>SAN</v>
          </cell>
          <cell r="F437" t="str">
            <v>SUDERHSA</v>
          </cell>
          <cell r="G437" t="str">
            <v>Controle de Cheias do Alto do Iguaçu</v>
          </cell>
          <cell r="H437">
            <v>11110000</v>
          </cell>
          <cell r="J437">
            <v>35704</v>
          </cell>
          <cell r="K437" t="str">
            <v>-</v>
          </cell>
          <cell r="L437" t="str">
            <v>-</v>
          </cell>
          <cell r="M437" t="str">
            <v>-</v>
          </cell>
        </row>
        <row r="438">
          <cell r="A438">
            <v>1997</v>
          </cell>
          <cell r="B438" t="str">
            <v>SL</v>
          </cell>
          <cell r="C438" t="str">
            <v>ZU</v>
          </cell>
          <cell r="D438" t="str">
            <v>SPB</v>
          </cell>
          <cell r="E438" t="str">
            <v>SAN</v>
          </cell>
          <cell r="F438" t="str">
            <v>CASAN</v>
          </cell>
          <cell r="G438" t="str">
            <v>Saneamento do Sistema de Esgoto de Chapecó - SC</v>
          </cell>
          <cell r="H438">
            <v>29537000</v>
          </cell>
          <cell r="J438">
            <v>35704</v>
          </cell>
          <cell r="K438" t="str">
            <v>-</v>
          </cell>
          <cell r="L438" t="str">
            <v>-</v>
          </cell>
          <cell r="M438" t="str">
            <v>-</v>
          </cell>
        </row>
        <row r="439">
          <cell r="A439">
            <v>1998</v>
          </cell>
          <cell r="B439" t="str">
            <v>NE</v>
          </cell>
          <cell r="C439" t="str">
            <v>MAC</v>
          </cell>
          <cell r="D439" t="str">
            <v>SPB</v>
          </cell>
          <cell r="E439" t="str">
            <v>TRMA</v>
          </cell>
          <cell r="F439" t="str">
            <v>CBTU</v>
          </cell>
          <cell r="G439" t="str">
            <v>Metrô de Recife - Lote 6</v>
          </cell>
          <cell r="H439">
            <v>12283000</v>
          </cell>
          <cell r="J439">
            <v>35796</v>
          </cell>
          <cell r="K439" t="str">
            <v>-</v>
          </cell>
          <cell r="L439">
            <v>0</v>
          </cell>
          <cell r="M439" t="str">
            <v>-</v>
          </cell>
        </row>
        <row r="440">
          <cell r="A440">
            <v>1998</v>
          </cell>
          <cell r="B440" t="str">
            <v>NE</v>
          </cell>
          <cell r="C440" t="str">
            <v>MAC</v>
          </cell>
          <cell r="D440" t="str">
            <v>SPB</v>
          </cell>
          <cell r="E440" t="str">
            <v>TRMA</v>
          </cell>
          <cell r="F440" t="str">
            <v>CBTU</v>
          </cell>
          <cell r="G440" t="str">
            <v>Metrô de Recife - Lote 3</v>
          </cell>
          <cell r="H440">
            <v>5500000</v>
          </cell>
          <cell r="I440">
            <v>1</v>
          </cell>
          <cell r="J440">
            <v>35796</v>
          </cell>
          <cell r="K440">
            <v>1</v>
          </cell>
          <cell r="L440">
            <v>1</v>
          </cell>
          <cell r="M440" t="str">
            <v>AG - 1º Lugar</v>
          </cell>
        </row>
        <row r="441">
          <cell r="A441">
            <v>1998</v>
          </cell>
          <cell r="B441" t="str">
            <v>NE</v>
          </cell>
          <cell r="C441" t="str">
            <v>MAC</v>
          </cell>
          <cell r="D441" t="str">
            <v>SPB</v>
          </cell>
          <cell r="E441" t="str">
            <v>TRMA</v>
          </cell>
          <cell r="F441" t="str">
            <v>CBTU</v>
          </cell>
          <cell r="G441" t="str">
            <v>Metrô de Recife - Lote 1</v>
          </cell>
          <cell r="H441">
            <v>19679000</v>
          </cell>
          <cell r="J441">
            <v>35796</v>
          </cell>
          <cell r="K441" t="str">
            <v>-</v>
          </cell>
          <cell r="L441" t="str">
            <v>-</v>
          </cell>
          <cell r="M441" t="str">
            <v>-</v>
          </cell>
        </row>
        <row r="442">
          <cell r="A442">
            <v>1998</v>
          </cell>
          <cell r="B442" t="str">
            <v>NE</v>
          </cell>
          <cell r="C442" t="str">
            <v>MAC</v>
          </cell>
          <cell r="D442" t="str">
            <v>SPB</v>
          </cell>
          <cell r="E442" t="str">
            <v>TRMA</v>
          </cell>
          <cell r="F442" t="str">
            <v>CBTU</v>
          </cell>
          <cell r="G442" t="str">
            <v>Metrô de Recife - Lote 4</v>
          </cell>
          <cell r="H442">
            <v>17576000</v>
          </cell>
          <cell r="J442">
            <v>35796</v>
          </cell>
          <cell r="K442" t="str">
            <v>-</v>
          </cell>
          <cell r="L442" t="str">
            <v>-</v>
          </cell>
          <cell r="M442" t="str">
            <v>-</v>
          </cell>
        </row>
        <row r="443">
          <cell r="A443">
            <v>1998</v>
          </cell>
          <cell r="B443" t="str">
            <v>NE</v>
          </cell>
          <cell r="C443" t="str">
            <v>SL</v>
          </cell>
          <cell r="D443" t="str">
            <v>SPB</v>
          </cell>
          <cell r="E443" t="str">
            <v>AER</v>
          </cell>
          <cell r="F443" t="str">
            <v>INFRAERO</v>
          </cell>
          <cell r="G443" t="str">
            <v>Aeroporto de Brasília</v>
          </cell>
          <cell r="H443">
            <v>96880000</v>
          </cell>
          <cell r="I443">
            <v>1</v>
          </cell>
          <cell r="J443">
            <v>35796</v>
          </cell>
          <cell r="K443" t="str">
            <v>-</v>
          </cell>
          <cell r="L443" t="str">
            <v>-</v>
          </cell>
          <cell r="M443" t="str">
            <v>-</v>
          </cell>
        </row>
        <row r="444">
          <cell r="A444">
            <v>1998</v>
          </cell>
          <cell r="B444" t="str">
            <v>NE</v>
          </cell>
          <cell r="C444" t="str">
            <v>MAC</v>
          </cell>
          <cell r="D444" t="str">
            <v>SPB</v>
          </cell>
          <cell r="E444" t="str">
            <v>TRMA</v>
          </cell>
          <cell r="F444" t="str">
            <v>CBTU</v>
          </cell>
          <cell r="G444" t="str">
            <v>Metrô de Recife - Lote 2</v>
          </cell>
          <cell r="H444">
            <v>12328000</v>
          </cell>
          <cell r="J444">
            <v>35796</v>
          </cell>
          <cell r="K444" t="str">
            <v>-</v>
          </cell>
          <cell r="L444" t="str">
            <v>-</v>
          </cell>
          <cell r="M444" t="str">
            <v>-</v>
          </cell>
        </row>
        <row r="445">
          <cell r="A445">
            <v>1998</v>
          </cell>
          <cell r="B445" t="str">
            <v>NE</v>
          </cell>
          <cell r="C445" t="str">
            <v>RPol</v>
          </cell>
          <cell r="D445" t="str">
            <v>PUB</v>
          </cell>
          <cell r="E445" t="str">
            <v>ROD</v>
          </cell>
          <cell r="F445" t="str">
            <v>DNER</v>
          </cell>
          <cell r="G445" t="str">
            <v>Rodovia MA-101 - Santa Helena / Nunes Freire</v>
          </cell>
          <cell r="H445">
            <v>10646000</v>
          </cell>
          <cell r="I445">
            <v>1</v>
          </cell>
          <cell r="J445">
            <v>35855</v>
          </cell>
          <cell r="K445" t="str">
            <v>-</v>
          </cell>
          <cell r="L445" t="str">
            <v>-</v>
          </cell>
          <cell r="M445" t="str">
            <v>-</v>
          </cell>
        </row>
        <row r="446">
          <cell r="A446">
            <v>1998</v>
          </cell>
          <cell r="B446" t="str">
            <v>NE</v>
          </cell>
          <cell r="C446" t="str">
            <v>COL</v>
          </cell>
          <cell r="D446" t="str">
            <v>PUB</v>
          </cell>
          <cell r="E446" t="str">
            <v>AGR</v>
          </cell>
          <cell r="F446" t="str">
            <v>CODEVASF</v>
          </cell>
          <cell r="G446" t="str">
            <v>Projeto Salitre</v>
          </cell>
          <cell r="H446">
            <v>26467000</v>
          </cell>
          <cell r="J446">
            <v>35855</v>
          </cell>
          <cell r="K446" t="str">
            <v>-</v>
          </cell>
          <cell r="L446" t="str">
            <v>-</v>
          </cell>
          <cell r="M446" t="str">
            <v>-</v>
          </cell>
        </row>
        <row r="447">
          <cell r="A447">
            <v>1998</v>
          </cell>
          <cell r="B447" t="str">
            <v>NE</v>
          </cell>
          <cell r="C447" t="str">
            <v>COL</v>
          </cell>
          <cell r="D447" t="str">
            <v>PUB</v>
          </cell>
          <cell r="E447" t="str">
            <v>AGR</v>
          </cell>
          <cell r="F447" t="str">
            <v>CODEVASF</v>
          </cell>
          <cell r="G447" t="str">
            <v>Projeto Pontal Sul</v>
          </cell>
          <cell r="H447">
            <v>29564000</v>
          </cell>
          <cell r="J447">
            <v>35886</v>
          </cell>
          <cell r="K447" t="str">
            <v>-</v>
          </cell>
          <cell r="L447" t="str">
            <v>-</v>
          </cell>
          <cell r="M447" t="str">
            <v>-</v>
          </cell>
        </row>
        <row r="448">
          <cell r="A448">
            <v>1998</v>
          </cell>
          <cell r="B448" t="str">
            <v>NE</v>
          </cell>
          <cell r="C448" t="str">
            <v>RPol</v>
          </cell>
          <cell r="D448" t="str">
            <v>PUB</v>
          </cell>
          <cell r="E448" t="str">
            <v>ROD</v>
          </cell>
          <cell r="F448" t="str">
            <v>DERMA</v>
          </cell>
          <cell r="G448" t="str">
            <v>MA-034 - Caxias / BR-226</v>
          </cell>
          <cell r="H448">
            <v>3142000</v>
          </cell>
          <cell r="I448">
            <v>1</v>
          </cell>
          <cell r="J448">
            <v>35916</v>
          </cell>
          <cell r="K448">
            <v>1</v>
          </cell>
          <cell r="L448">
            <v>1</v>
          </cell>
          <cell r="M448" t="str">
            <v>AG - 1º Lugar</v>
          </cell>
        </row>
        <row r="449">
          <cell r="A449">
            <v>1998</v>
          </cell>
          <cell r="B449" t="str">
            <v>NE</v>
          </cell>
          <cell r="C449" t="str">
            <v>MAC</v>
          </cell>
          <cell r="D449" t="str">
            <v>PUB</v>
          </cell>
          <cell r="E449" t="str">
            <v>AER</v>
          </cell>
          <cell r="F449" t="str">
            <v>MAer</v>
          </cell>
          <cell r="G449" t="str">
            <v>Recapeamento da Pista do Aeroporto de Ponta Pelada</v>
          </cell>
          <cell r="H449">
            <v>3937000</v>
          </cell>
          <cell r="J449">
            <v>35916</v>
          </cell>
          <cell r="K449">
            <v>1</v>
          </cell>
          <cell r="L449">
            <v>1</v>
          </cell>
          <cell r="M449" t="str">
            <v>AG - 1º Lugar</v>
          </cell>
        </row>
        <row r="450">
          <cell r="A450">
            <v>1998</v>
          </cell>
          <cell r="B450" t="str">
            <v>NE</v>
          </cell>
          <cell r="C450" t="str">
            <v>-</v>
          </cell>
          <cell r="D450" t="str">
            <v>PUB</v>
          </cell>
          <cell r="E450" t="str">
            <v>SAN</v>
          </cell>
          <cell r="F450" t="str">
            <v>SEMARH</v>
          </cell>
          <cell r="G450" t="str">
            <v>Barragem de Acauã - PB</v>
          </cell>
          <cell r="H450">
            <v>37358000</v>
          </cell>
          <cell r="J450">
            <v>35947</v>
          </cell>
          <cell r="K450" t="str">
            <v>-</v>
          </cell>
          <cell r="L450" t="str">
            <v>-</v>
          </cell>
          <cell r="M450" t="str">
            <v>-</v>
          </cell>
        </row>
        <row r="451">
          <cell r="A451">
            <v>1998</v>
          </cell>
          <cell r="B451" t="str">
            <v>NE</v>
          </cell>
          <cell r="C451" t="str">
            <v>MS</v>
          </cell>
          <cell r="D451" t="str">
            <v>PUB</v>
          </cell>
          <cell r="E451" t="str">
            <v>ROD</v>
          </cell>
          <cell r="F451" t="str">
            <v>DERMA</v>
          </cell>
          <cell r="G451" t="str">
            <v>MA-226 - Baú / Buriti Bravo</v>
          </cell>
          <cell r="H451">
            <v>5900000</v>
          </cell>
          <cell r="J451">
            <v>36008</v>
          </cell>
          <cell r="K451" t="str">
            <v>-</v>
          </cell>
          <cell r="L451" t="str">
            <v>-</v>
          </cell>
          <cell r="M451" t="str">
            <v>-</v>
          </cell>
        </row>
        <row r="452">
          <cell r="A452">
            <v>1998</v>
          </cell>
          <cell r="B452" t="str">
            <v>NE</v>
          </cell>
          <cell r="C452" t="str">
            <v>MAC</v>
          </cell>
          <cell r="D452" t="str">
            <v>PUB</v>
          </cell>
          <cell r="E452" t="str">
            <v>SAN</v>
          </cell>
          <cell r="F452" t="str">
            <v>DNOCS</v>
          </cell>
          <cell r="G452" t="str">
            <v>Barragem de Pelo Sinal</v>
          </cell>
          <cell r="H452">
            <v>0</v>
          </cell>
          <cell r="J452">
            <v>35855</v>
          </cell>
          <cell r="K452" t="str">
            <v>-</v>
          </cell>
          <cell r="L452" t="str">
            <v>-</v>
          </cell>
          <cell r="M452" t="str">
            <v>Atualização de preços contratados</v>
          </cell>
        </row>
        <row r="453">
          <cell r="A453">
            <v>1998</v>
          </cell>
          <cell r="B453" t="str">
            <v>SE</v>
          </cell>
          <cell r="C453" t="str">
            <v>GM</v>
          </cell>
          <cell r="D453" t="str">
            <v>AUT</v>
          </cell>
          <cell r="E453" t="str">
            <v>IND</v>
          </cell>
          <cell r="F453" t="str">
            <v>Iveco-FIAT</v>
          </cell>
          <cell r="G453" t="str">
            <v>Terraplenagem e Imprimação da Área da Fábrica</v>
          </cell>
          <cell r="H453">
            <v>3355000</v>
          </cell>
          <cell r="J453">
            <v>35796</v>
          </cell>
          <cell r="K453" t="str">
            <v>-</v>
          </cell>
          <cell r="L453" t="str">
            <v>-</v>
          </cell>
          <cell r="M453" t="str">
            <v>-</v>
          </cell>
        </row>
        <row r="454">
          <cell r="A454">
            <v>1998</v>
          </cell>
          <cell r="B454" t="str">
            <v>SE</v>
          </cell>
          <cell r="C454" t="str">
            <v>XXX</v>
          </cell>
          <cell r="D454" t="str">
            <v>MIN</v>
          </cell>
          <cell r="E454" t="str">
            <v>MIN</v>
          </cell>
          <cell r="F454" t="str">
            <v>NATRON</v>
          </cell>
          <cell r="G454" t="str">
            <v>Empreendimento Mineração Industrial</v>
          </cell>
          <cell r="H454">
            <v>42653000</v>
          </cell>
          <cell r="J454">
            <v>35796</v>
          </cell>
          <cell r="K454" t="str">
            <v>-</v>
          </cell>
          <cell r="L454" t="str">
            <v>-</v>
          </cell>
          <cell r="M454" t="str">
            <v>-</v>
          </cell>
        </row>
        <row r="455">
          <cell r="A455">
            <v>1998</v>
          </cell>
          <cell r="B455" t="str">
            <v>SE</v>
          </cell>
          <cell r="C455" t="str">
            <v>GM</v>
          </cell>
          <cell r="D455" t="str">
            <v>AUT</v>
          </cell>
          <cell r="E455" t="str">
            <v>IND</v>
          </cell>
          <cell r="F455" t="str">
            <v>FIAT</v>
          </cell>
          <cell r="G455" t="str">
            <v>Ampliação da Área de Impalntação do Motor Fire</v>
          </cell>
          <cell r="H455">
            <v>7624000</v>
          </cell>
          <cell r="J455">
            <v>35827</v>
          </cell>
          <cell r="K455" t="str">
            <v>-</v>
          </cell>
          <cell r="L455" t="str">
            <v>-</v>
          </cell>
          <cell r="M455" t="str">
            <v>-</v>
          </cell>
        </row>
        <row r="456">
          <cell r="A456">
            <v>1998</v>
          </cell>
          <cell r="B456" t="str">
            <v>SE</v>
          </cell>
          <cell r="C456" t="str">
            <v>SL</v>
          </cell>
          <cell r="D456" t="str">
            <v>PET</v>
          </cell>
          <cell r="E456" t="str">
            <v>ENE</v>
          </cell>
          <cell r="F456" t="str">
            <v>Petrobrás</v>
          </cell>
          <cell r="G456" t="str">
            <v>Gasoduto entre Barra do Furado e Cabiúnas - 69 km</v>
          </cell>
          <cell r="H456">
            <v>5525000</v>
          </cell>
          <cell r="J456">
            <v>35855</v>
          </cell>
          <cell r="K456" t="str">
            <v>-</v>
          </cell>
          <cell r="L456" t="str">
            <v>-</v>
          </cell>
          <cell r="M456" t="str">
            <v>-</v>
          </cell>
        </row>
        <row r="457">
          <cell r="A457">
            <v>1998</v>
          </cell>
          <cell r="B457" t="str">
            <v>SE</v>
          </cell>
          <cell r="C457" t="str">
            <v>MAA</v>
          </cell>
          <cell r="D457" t="str">
            <v>PUB</v>
          </cell>
          <cell r="E457" t="str">
            <v>ROD</v>
          </cell>
          <cell r="F457" t="str">
            <v>DERGO</v>
          </cell>
          <cell r="G457" t="str">
            <v>Trecho Itapirapuã / Matrinchã</v>
          </cell>
          <cell r="H457">
            <v>3271000</v>
          </cell>
          <cell r="J457">
            <v>35855</v>
          </cell>
          <cell r="K457" t="str">
            <v>-</v>
          </cell>
          <cell r="L457" t="str">
            <v>-</v>
          </cell>
          <cell r="M457" t="str">
            <v>-</v>
          </cell>
        </row>
        <row r="458">
          <cell r="A458">
            <v>1998</v>
          </cell>
          <cell r="B458" t="str">
            <v>SE</v>
          </cell>
          <cell r="C458" t="str">
            <v>CV</v>
          </cell>
          <cell r="D458" t="str">
            <v>SPB</v>
          </cell>
          <cell r="E458" t="str">
            <v>DIV</v>
          </cell>
          <cell r="F458" t="str">
            <v>P.M. B. H.</v>
          </cell>
          <cell r="G458" t="str">
            <v>Coleta de Lixo - Lote 1</v>
          </cell>
          <cell r="H458">
            <v>4757000</v>
          </cell>
          <cell r="J458">
            <v>35855</v>
          </cell>
          <cell r="K458" t="str">
            <v>-</v>
          </cell>
          <cell r="L458" t="str">
            <v>-</v>
          </cell>
          <cell r="M458" t="str">
            <v>-</v>
          </cell>
        </row>
        <row r="459">
          <cell r="A459">
            <v>1998</v>
          </cell>
          <cell r="B459" t="str">
            <v>SE</v>
          </cell>
          <cell r="C459" t="str">
            <v>CV</v>
          </cell>
          <cell r="D459" t="str">
            <v>SPB</v>
          </cell>
          <cell r="E459" t="str">
            <v>DIV</v>
          </cell>
          <cell r="F459" t="str">
            <v>P.M. B. H.</v>
          </cell>
          <cell r="G459" t="str">
            <v>Coleta de Lixo - Lote 2</v>
          </cell>
          <cell r="H459">
            <v>4725000</v>
          </cell>
          <cell r="J459">
            <v>35855</v>
          </cell>
          <cell r="K459" t="str">
            <v>-</v>
          </cell>
          <cell r="L459" t="str">
            <v>-</v>
          </cell>
          <cell r="M459" t="str">
            <v>-</v>
          </cell>
        </row>
        <row r="460">
          <cell r="A460">
            <v>1998</v>
          </cell>
          <cell r="B460" t="str">
            <v>SE</v>
          </cell>
          <cell r="C460" t="str">
            <v>XXX</v>
          </cell>
          <cell r="D460" t="str">
            <v>SID</v>
          </cell>
          <cell r="E460" t="str">
            <v>MIN</v>
          </cell>
          <cell r="F460" t="str">
            <v>DEMAG</v>
          </cell>
          <cell r="G460" t="str">
            <v xml:space="preserve">Laminação de Tiras à Quente </v>
          </cell>
          <cell r="H460">
            <v>28418000</v>
          </cell>
          <cell r="J460">
            <v>35886</v>
          </cell>
          <cell r="K460" t="str">
            <v>-</v>
          </cell>
          <cell r="L460" t="str">
            <v>-</v>
          </cell>
          <cell r="M460" t="str">
            <v>-</v>
          </cell>
        </row>
        <row r="461">
          <cell r="A461">
            <v>1998</v>
          </cell>
          <cell r="B461" t="str">
            <v>SE</v>
          </cell>
          <cell r="C461" t="str">
            <v>MAA</v>
          </cell>
          <cell r="D461" t="str">
            <v>PUB</v>
          </cell>
          <cell r="E461" t="str">
            <v>ROD</v>
          </cell>
          <cell r="F461" t="str">
            <v>DERGO</v>
          </cell>
          <cell r="G461" t="str">
            <v>Rodovia São Miguel do Araguaia - Divisa GO/TO</v>
          </cell>
          <cell r="H461">
            <v>4558000</v>
          </cell>
          <cell r="J461">
            <v>35886</v>
          </cell>
          <cell r="K461" t="str">
            <v>-</v>
          </cell>
          <cell r="L461" t="str">
            <v>-</v>
          </cell>
          <cell r="M461" t="str">
            <v>-</v>
          </cell>
        </row>
        <row r="462">
          <cell r="A462">
            <v>1998</v>
          </cell>
          <cell r="B462" t="str">
            <v>SE</v>
          </cell>
          <cell r="C462" t="str">
            <v>CV</v>
          </cell>
          <cell r="D462" t="str">
            <v>SPB</v>
          </cell>
          <cell r="E462" t="str">
            <v>DIV</v>
          </cell>
          <cell r="F462" t="str">
            <v>P.M. Contagem</v>
          </cell>
          <cell r="G462" t="str">
            <v>Coleta de Lixo Industrial</v>
          </cell>
          <cell r="H462">
            <v>350000</v>
          </cell>
          <cell r="J462">
            <v>35947</v>
          </cell>
          <cell r="K462" t="str">
            <v>-</v>
          </cell>
          <cell r="L462" t="str">
            <v>-</v>
          </cell>
          <cell r="M462" t="str">
            <v>-</v>
          </cell>
        </row>
        <row r="463">
          <cell r="A463">
            <v>1998</v>
          </cell>
          <cell r="B463" t="str">
            <v>SE</v>
          </cell>
          <cell r="C463" t="str">
            <v>LC</v>
          </cell>
          <cell r="D463" t="str">
            <v>PUB</v>
          </cell>
          <cell r="E463" t="str">
            <v>ROD</v>
          </cell>
          <cell r="F463" t="str">
            <v>SETO</v>
          </cell>
          <cell r="G463" t="str">
            <v>TO-010 - Santa Maria / Recursolândia</v>
          </cell>
          <cell r="H463">
            <v>16299000</v>
          </cell>
          <cell r="I463">
            <v>1</v>
          </cell>
          <cell r="J463">
            <v>35977</v>
          </cell>
          <cell r="K463">
            <v>1</v>
          </cell>
          <cell r="M463" t="str">
            <v>AG - 1º Lugar</v>
          </cell>
        </row>
        <row r="464">
          <cell r="A464">
            <v>1998</v>
          </cell>
          <cell r="B464" t="str">
            <v>SE</v>
          </cell>
          <cell r="C464" t="str">
            <v>CV</v>
          </cell>
          <cell r="D464" t="str">
            <v>PUB</v>
          </cell>
          <cell r="E464" t="str">
            <v>AGR</v>
          </cell>
          <cell r="F464" t="str">
            <v>SEAPA</v>
          </cell>
          <cell r="G464" t="str">
            <v>Jaíba II - Lote 1</v>
          </cell>
          <cell r="H464">
            <v>15672000</v>
          </cell>
          <cell r="J464">
            <v>35977</v>
          </cell>
          <cell r="K464" t="str">
            <v>-</v>
          </cell>
          <cell r="L464">
            <v>0</v>
          </cell>
          <cell r="M464" t="str">
            <v>AG - 1º Lugar</v>
          </cell>
        </row>
        <row r="465">
          <cell r="A465">
            <v>1998</v>
          </cell>
          <cell r="B465" t="str">
            <v>SE</v>
          </cell>
          <cell r="C465" t="str">
            <v>CV</v>
          </cell>
          <cell r="D465" t="str">
            <v>PUB</v>
          </cell>
          <cell r="E465" t="str">
            <v>AGR</v>
          </cell>
          <cell r="F465" t="str">
            <v>SEAPA</v>
          </cell>
          <cell r="G465" t="str">
            <v>Jaíba II - Lote 2</v>
          </cell>
          <cell r="H465">
            <v>9731000</v>
          </cell>
          <cell r="I465">
            <v>1</v>
          </cell>
          <cell r="J465">
            <v>35977</v>
          </cell>
          <cell r="K465">
            <v>1</v>
          </cell>
          <cell r="L465">
            <v>1</v>
          </cell>
          <cell r="M465" t="str">
            <v>AG - 1º Lugar</v>
          </cell>
        </row>
        <row r="466">
          <cell r="A466">
            <v>1998</v>
          </cell>
          <cell r="B466" t="str">
            <v>SE</v>
          </cell>
          <cell r="C466" t="str">
            <v>CV</v>
          </cell>
          <cell r="D466" t="str">
            <v>PUB</v>
          </cell>
          <cell r="E466" t="str">
            <v>AGR</v>
          </cell>
          <cell r="F466" t="str">
            <v>SEAPA</v>
          </cell>
          <cell r="G466" t="str">
            <v>Jaíba II - Lote 3</v>
          </cell>
          <cell r="H466">
            <v>16755000</v>
          </cell>
          <cell r="J466">
            <v>35977</v>
          </cell>
          <cell r="K466" t="str">
            <v>-</v>
          </cell>
          <cell r="L466">
            <v>0</v>
          </cell>
          <cell r="M466" t="str">
            <v>-</v>
          </cell>
        </row>
        <row r="467">
          <cell r="A467">
            <v>1998</v>
          </cell>
          <cell r="B467" t="str">
            <v>SE</v>
          </cell>
          <cell r="C467" t="str">
            <v>MAA</v>
          </cell>
          <cell r="D467" t="str">
            <v>PUB</v>
          </cell>
          <cell r="E467" t="str">
            <v>ROD</v>
          </cell>
          <cell r="F467" t="str">
            <v>DERGO</v>
          </cell>
          <cell r="G467" t="str">
            <v>Recuperação Iporá - Piranhas</v>
          </cell>
          <cell r="H467">
            <v>2726000</v>
          </cell>
          <cell r="J467">
            <v>35977</v>
          </cell>
          <cell r="K467">
            <v>1</v>
          </cell>
          <cell r="L467">
            <v>1</v>
          </cell>
          <cell r="M467" t="str">
            <v>AG - 1º Lugar</v>
          </cell>
        </row>
        <row r="468">
          <cell r="A468">
            <v>1998</v>
          </cell>
          <cell r="B468" t="str">
            <v>SE</v>
          </cell>
          <cell r="C468" t="str">
            <v>GM</v>
          </cell>
          <cell r="D468" t="str">
            <v>PUB</v>
          </cell>
          <cell r="E468" t="str">
            <v>SAN</v>
          </cell>
          <cell r="F468" t="str">
            <v>SUDECAP</v>
          </cell>
          <cell r="G468" t="str">
            <v>Recuperação da Avenida Vilarinho</v>
          </cell>
          <cell r="H468">
            <v>2586000</v>
          </cell>
          <cell r="J468">
            <v>36039</v>
          </cell>
          <cell r="K468">
            <v>1</v>
          </cell>
          <cell r="L468">
            <v>1</v>
          </cell>
          <cell r="M468" t="str">
            <v>AG - 1º Lugar</v>
          </cell>
        </row>
        <row r="469">
          <cell r="A469">
            <v>1998</v>
          </cell>
          <cell r="B469" t="str">
            <v>SE</v>
          </cell>
          <cell r="C469" t="str">
            <v>GM</v>
          </cell>
          <cell r="D469" t="str">
            <v>PUB</v>
          </cell>
          <cell r="E469" t="str">
            <v>SAN</v>
          </cell>
          <cell r="F469" t="str">
            <v>SUDECAP</v>
          </cell>
          <cell r="G469" t="str">
            <v>Recuperação da Barragem da Pampulha</v>
          </cell>
          <cell r="H469">
            <v>1096000</v>
          </cell>
          <cell r="J469">
            <v>36039</v>
          </cell>
          <cell r="K469">
            <v>1</v>
          </cell>
          <cell r="L469">
            <v>1</v>
          </cell>
          <cell r="M469" t="str">
            <v>AG - 1º Lugar</v>
          </cell>
        </row>
        <row r="470">
          <cell r="A470">
            <v>1998</v>
          </cell>
          <cell r="B470" t="str">
            <v>SE</v>
          </cell>
          <cell r="C470" t="str">
            <v>MAA</v>
          </cell>
          <cell r="D470" t="str">
            <v>PUB</v>
          </cell>
          <cell r="E470" t="str">
            <v>ROD</v>
          </cell>
          <cell r="F470" t="str">
            <v>DNER</v>
          </cell>
          <cell r="G470" t="str">
            <v>BR-060 - Lote 1</v>
          </cell>
          <cell r="H470">
            <v>20331000</v>
          </cell>
          <cell r="J470">
            <v>35855</v>
          </cell>
          <cell r="K470" t="str">
            <v>-</v>
          </cell>
          <cell r="L470" t="str">
            <v>-</v>
          </cell>
          <cell r="M470" t="str">
            <v>-</v>
          </cell>
        </row>
        <row r="471">
          <cell r="A471">
            <v>1998</v>
          </cell>
          <cell r="B471" t="str">
            <v>SE</v>
          </cell>
          <cell r="C471" t="str">
            <v>MAA</v>
          </cell>
          <cell r="D471" t="str">
            <v>PUB</v>
          </cell>
          <cell r="E471" t="str">
            <v>ROD</v>
          </cell>
          <cell r="F471" t="str">
            <v>DNER</v>
          </cell>
          <cell r="G471" t="str">
            <v>BR-060 - Lote 2</v>
          </cell>
          <cell r="H471">
            <v>22458000</v>
          </cell>
          <cell r="J471">
            <v>35855</v>
          </cell>
          <cell r="K471" t="str">
            <v>-</v>
          </cell>
          <cell r="L471" t="str">
            <v>-</v>
          </cell>
          <cell r="M471" t="str">
            <v>-</v>
          </cell>
        </row>
        <row r="472">
          <cell r="A472">
            <v>1998</v>
          </cell>
          <cell r="B472" t="str">
            <v>SE</v>
          </cell>
          <cell r="C472" t="str">
            <v>CV</v>
          </cell>
          <cell r="D472" t="str">
            <v>SPB</v>
          </cell>
          <cell r="E472" t="str">
            <v>DIV</v>
          </cell>
          <cell r="F472" t="str">
            <v>P.M. Contagem</v>
          </cell>
          <cell r="G472" t="str">
            <v>Estudo de Preços do Lixo de Contagem</v>
          </cell>
          <cell r="H472">
            <v>0</v>
          </cell>
          <cell r="J472">
            <v>35855</v>
          </cell>
          <cell r="K472" t="str">
            <v>-</v>
          </cell>
          <cell r="L472" t="str">
            <v>-</v>
          </cell>
          <cell r="M472" t="str">
            <v>Estudos</v>
          </cell>
        </row>
        <row r="473">
          <cell r="A473">
            <v>1998</v>
          </cell>
          <cell r="B473" t="str">
            <v>SL</v>
          </cell>
          <cell r="C473" t="str">
            <v>VAL</v>
          </cell>
          <cell r="D473" t="str">
            <v>SPB</v>
          </cell>
          <cell r="E473" t="str">
            <v>ENE</v>
          </cell>
          <cell r="F473" t="str">
            <v>Compagás</v>
          </cell>
          <cell r="G473" t="str">
            <v>Gasoduto da Região Metropolitana de Curitiba</v>
          </cell>
          <cell r="H473">
            <v>7500000</v>
          </cell>
          <cell r="I473">
            <v>1</v>
          </cell>
          <cell r="J473">
            <v>35796</v>
          </cell>
          <cell r="K473" t="str">
            <v>-</v>
          </cell>
          <cell r="L473" t="str">
            <v>-</v>
          </cell>
          <cell r="M473" t="str">
            <v>Não entregue</v>
          </cell>
        </row>
        <row r="474">
          <cell r="A474">
            <v>1998</v>
          </cell>
          <cell r="B474" t="str">
            <v>SL</v>
          </cell>
          <cell r="C474" t="str">
            <v>RP</v>
          </cell>
          <cell r="D474" t="str">
            <v>PUB</v>
          </cell>
          <cell r="E474" t="str">
            <v>ROD</v>
          </cell>
          <cell r="F474" t="str">
            <v>DNER</v>
          </cell>
          <cell r="G474" t="str">
            <v>Trecho Estreitos / S.J. do Norte</v>
          </cell>
          <cell r="H474">
            <v>11165000</v>
          </cell>
          <cell r="J474">
            <v>35827</v>
          </cell>
          <cell r="K474" t="str">
            <v>-</v>
          </cell>
          <cell r="L474" t="str">
            <v>-</v>
          </cell>
          <cell r="M474" t="str">
            <v>-</v>
          </cell>
        </row>
        <row r="475">
          <cell r="A475">
            <v>1998</v>
          </cell>
          <cell r="B475" t="str">
            <v>SL</v>
          </cell>
          <cell r="C475" t="str">
            <v>RP</v>
          </cell>
          <cell r="D475" t="str">
            <v>PUB</v>
          </cell>
          <cell r="E475" t="str">
            <v>ROD</v>
          </cell>
          <cell r="F475" t="str">
            <v>DNER</v>
          </cell>
          <cell r="G475" t="str">
            <v>Trecho Tavares / Estreitos</v>
          </cell>
          <cell r="H475">
            <v>1715000</v>
          </cell>
          <cell r="J475">
            <v>35827</v>
          </cell>
          <cell r="K475" t="str">
            <v>-</v>
          </cell>
          <cell r="L475" t="str">
            <v>-</v>
          </cell>
          <cell r="M475" t="str">
            <v>-</v>
          </cell>
        </row>
        <row r="476">
          <cell r="A476">
            <v>1998</v>
          </cell>
          <cell r="B476" t="str">
            <v>SL</v>
          </cell>
          <cell r="C476" t="str">
            <v>RP</v>
          </cell>
          <cell r="D476" t="str">
            <v>PUB</v>
          </cell>
          <cell r="E476" t="str">
            <v>ROD</v>
          </cell>
          <cell r="F476" t="str">
            <v>DNER</v>
          </cell>
          <cell r="G476" t="str">
            <v>Trecho Tavares / Bojuru</v>
          </cell>
          <cell r="H476">
            <v>12696000</v>
          </cell>
          <cell r="J476">
            <v>35827</v>
          </cell>
          <cell r="K476" t="str">
            <v>-</v>
          </cell>
          <cell r="L476" t="str">
            <v>-</v>
          </cell>
          <cell r="M476" t="str">
            <v>-</v>
          </cell>
        </row>
        <row r="477">
          <cell r="A477">
            <v>1998</v>
          </cell>
          <cell r="B477" t="str">
            <v>SL</v>
          </cell>
          <cell r="C477" t="str">
            <v>RP</v>
          </cell>
          <cell r="D477" t="str">
            <v>SPB</v>
          </cell>
          <cell r="E477" t="str">
            <v>SAN</v>
          </cell>
          <cell r="F477" t="str">
            <v>CORSAN</v>
          </cell>
          <cell r="G477" t="str">
            <v>Sistema de Esgotos de Santa Cruz do Sul</v>
          </cell>
          <cell r="H477">
            <v>5332000</v>
          </cell>
          <cell r="J477">
            <v>35827</v>
          </cell>
          <cell r="K477" t="str">
            <v>-</v>
          </cell>
          <cell r="L477" t="str">
            <v>-</v>
          </cell>
          <cell r="M477" t="str">
            <v>Não entregue</v>
          </cell>
        </row>
        <row r="478">
          <cell r="A478">
            <v>1998</v>
          </cell>
          <cell r="B478" t="str">
            <v>SL</v>
          </cell>
          <cell r="C478" t="str">
            <v>RP</v>
          </cell>
          <cell r="D478" t="str">
            <v>PUB</v>
          </cell>
          <cell r="E478" t="str">
            <v>ROD</v>
          </cell>
          <cell r="F478" t="str">
            <v>DAER</v>
          </cell>
          <cell r="G478" t="str">
            <v>Infraestrutura da Fábrica da GM</v>
          </cell>
          <cell r="H478">
            <v>13400000</v>
          </cell>
          <cell r="J478">
            <v>35886</v>
          </cell>
          <cell r="K478" t="str">
            <v>-</v>
          </cell>
          <cell r="L478" t="str">
            <v>-</v>
          </cell>
          <cell r="M478" t="str">
            <v>-</v>
          </cell>
        </row>
        <row r="479">
          <cell r="A479">
            <v>1998</v>
          </cell>
          <cell r="B479" t="str">
            <v>SL</v>
          </cell>
          <cell r="C479" t="str">
            <v>RP</v>
          </cell>
          <cell r="D479" t="str">
            <v>PUB</v>
          </cell>
          <cell r="E479" t="str">
            <v>ROD</v>
          </cell>
          <cell r="F479" t="str">
            <v>DAER</v>
          </cell>
          <cell r="G479" t="str">
            <v>Porto Vera Cruz</v>
          </cell>
          <cell r="H479">
            <v>3485000</v>
          </cell>
          <cell r="J479">
            <v>35886</v>
          </cell>
          <cell r="K479" t="str">
            <v>-</v>
          </cell>
          <cell r="L479" t="str">
            <v>-</v>
          </cell>
          <cell r="M479" t="str">
            <v>-</v>
          </cell>
        </row>
        <row r="480">
          <cell r="A480">
            <v>1998</v>
          </cell>
          <cell r="B480" t="str">
            <v>SL</v>
          </cell>
          <cell r="C480" t="str">
            <v>RP</v>
          </cell>
          <cell r="D480" t="str">
            <v>SPB</v>
          </cell>
          <cell r="E480" t="str">
            <v>ROD</v>
          </cell>
          <cell r="F480" t="str">
            <v>Concessionária</v>
          </cell>
          <cell r="G480" t="str">
            <v>Polo Rodoviário do RS - Polão</v>
          </cell>
          <cell r="H480">
            <v>49162000</v>
          </cell>
          <cell r="I480">
            <v>1</v>
          </cell>
          <cell r="J480">
            <v>35947</v>
          </cell>
          <cell r="K480">
            <v>1</v>
          </cell>
          <cell r="M480" t="str">
            <v>AG - 1º Lugar</v>
          </cell>
        </row>
        <row r="481">
          <cell r="A481">
            <v>1998</v>
          </cell>
          <cell r="B481" t="str">
            <v>SL</v>
          </cell>
          <cell r="C481" t="str">
            <v>VAL</v>
          </cell>
          <cell r="D481" t="str">
            <v>Serviços Diversos</v>
          </cell>
          <cell r="E481" t="str">
            <v>NAV</v>
          </cell>
          <cell r="F481" t="str">
            <v>TPPF S.A.</v>
          </cell>
          <cell r="G481" t="str">
            <v>Dragagem da Bacia de Evolução</v>
          </cell>
          <cell r="H481">
            <v>4365000</v>
          </cell>
          <cell r="J481">
            <v>35916</v>
          </cell>
          <cell r="K481" t="str">
            <v>-</v>
          </cell>
          <cell r="L481">
            <v>0</v>
          </cell>
          <cell r="M481" t="str">
            <v>-</v>
          </cell>
        </row>
        <row r="482">
          <cell r="A482">
            <v>1998</v>
          </cell>
          <cell r="B482" t="str">
            <v>SL</v>
          </cell>
          <cell r="C482" t="str">
            <v>RP</v>
          </cell>
          <cell r="D482" t="str">
            <v>PUB</v>
          </cell>
          <cell r="E482" t="str">
            <v>ROD</v>
          </cell>
          <cell r="F482" t="str">
            <v>DNER</v>
          </cell>
          <cell r="G482" t="str">
            <v>BR-392 - Contorno de Cerro Largo</v>
          </cell>
          <cell r="H482">
            <v>862000</v>
          </cell>
          <cell r="J482">
            <v>36008</v>
          </cell>
          <cell r="K482">
            <v>1</v>
          </cell>
          <cell r="L482">
            <v>1</v>
          </cell>
          <cell r="M482" t="str">
            <v>AG - 1º Lugar</v>
          </cell>
        </row>
        <row r="483">
          <cell r="A483">
            <v>1998</v>
          </cell>
          <cell r="B483" t="str">
            <v>SL</v>
          </cell>
          <cell r="C483" t="str">
            <v>RP</v>
          </cell>
          <cell r="D483" t="str">
            <v>PUB</v>
          </cell>
          <cell r="E483" t="str">
            <v>ROD</v>
          </cell>
          <cell r="F483" t="str">
            <v>DAER</v>
          </cell>
          <cell r="G483" t="str">
            <v>RS-575-Acesso a Porto Vera Cruz</v>
          </cell>
          <cell r="H483">
            <v>2003000</v>
          </cell>
          <cell r="J483">
            <v>36008</v>
          </cell>
          <cell r="K483">
            <v>1</v>
          </cell>
          <cell r="L483">
            <v>1</v>
          </cell>
          <cell r="M483" t="str">
            <v>AG - 1º Lugar</v>
          </cell>
        </row>
        <row r="484">
          <cell r="A484">
            <v>1998</v>
          </cell>
          <cell r="B484" t="str">
            <v>SL</v>
          </cell>
          <cell r="C484" t="str">
            <v>RP</v>
          </cell>
          <cell r="D484" t="str">
            <v>PUB</v>
          </cell>
          <cell r="E484" t="str">
            <v>ROD</v>
          </cell>
          <cell r="F484" t="str">
            <v>DAER</v>
          </cell>
          <cell r="G484" t="str">
            <v>RS-540 - Alecrim / Santo Cristo</v>
          </cell>
          <cell r="H484">
            <v>3040000</v>
          </cell>
          <cell r="J484">
            <v>36008</v>
          </cell>
          <cell r="K484">
            <v>1</v>
          </cell>
          <cell r="L484">
            <v>1</v>
          </cell>
          <cell r="M484" t="str">
            <v>AG - 1º Lugar</v>
          </cell>
        </row>
        <row r="485">
          <cell r="A485">
            <v>1998</v>
          </cell>
          <cell r="B485" t="str">
            <v>SL</v>
          </cell>
          <cell r="C485" t="str">
            <v>RZ</v>
          </cell>
          <cell r="D485" t="str">
            <v>SPB</v>
          </cell>
          <cell r="E485" t="str">
            <v>ENE</v>
          </cell>
          <cell r="F485" t="str">
            <v>SC Gás</v>
          </cell>
          <cell r="G485" t="str">
            <v>Gasooduto em SC - Região A - 1ª Etapa</v>
          </cell>
          <cell r="H485">
            <v>8726000</v>
          </cell>
          <cell r="J485">
            <v>36039</v>
          </cell>
          <cell r="K485" t="str">
            <v>-</v>
          </cell>
          <cell r="L485">
            <v>0</v>
          </cell>
        </row>
        <row r="486">
          <cell r="A486">
            <v>1998</v>
          </cell>
          <cell r="B486" t="str">
            <v>SL</v>
          </cell>
          <cell r="C486" t="str">
            <v>XXX</v>
          </cell>
          <cell r="D486" t="str">
            <v>Serviços Diversos</v>
          </cell>
          <cell r="E486" t="str">
            <v>NAV</v>
          </cell>
          <cell r="F486" t="str">
            <v>TPPF S.A.</v>
          </cell>
          <cell r="G486" t="str">
            <v>Obras Civis e Urbanização na Ponta do Félix</v>
          </cell>
          <cell r="H486">
            <v>1843000</v>
          </cell>
          <cell r="J486">
            <v>36069</v>
          </cell>
          <cell r="K486" t="str">
            <v>-</v>
          </cell>
          <cell r="L486">
            <v>0</v>
          </cell>
          <cell r="M486" t="str">
            <v>-</v>
          </cell>
        </row>
        <row r="487">
          <cell r="A487">
            <v>1998</v>
          </cell>
          <cell r="B487" t="str">
            <v>SE</v>
          </cell>
          <cell r="C487" t="str">
            <v>MAA</v>
          </cell>
          <cell r="D487" t="str">
            <v>PUB</v>
          </cell>
          <cell r="E487" t="str">
            <v>ROD</v>
          </cell>
          <cell r="F487" t="str">
            <v>DNER</v>
          </cell>
          <cell r="G487" t="str">
            <v>BR-153 - Goiás</v>
          </cell>
          <cell r="H487">
            <v>23692000</v>
          </cell>
          <cell r="J487">
            <v>36100</v>
          </cell>
          <cell r="K487" t="str">
            <v>-</v>
          </cell>
          <cell r="L487">
            <v>0</v>
          </cell>
          <cell r="M487" t="str">
            <v>-</v>
          </cell>
        </row>
        <row r="488">
          <cell r="A488">
            <v>1998</v>
          </cell>
          <cell r="B488" t="str">
            <v>SL</v>
          </cell>
          <cell r="C488" t="str">
            <v>VAL</v>
          </cell>
          <cell r="D488" t="str">
            <v>SPB</v>
          </cell>
          <cell r="E488" t="str">
            <v>ENE</v>
          </cell>
          <cell r="F488" t="str">
            <v>Compagás</v>
          </cell>
          <cell r="G488" t="str">
            <v>Rede de Distribuição de Gás - Lote B</v>
          </cell>
          <cell r="H488">
            <v>7356320</v>
          </cell>
          <cell r="J488">
            <v>36100</v>
          </cell>
          <cell r="K488" t="str">
            <v>-</v>
          </cell>
          <cell r="L488">
            <v>0</v>
          </cell>
          <cell r="M488" t="str">
            <v>-</v>
          </cell>
        </row>
        <row r="489">
          <cell r="A489">
            <v>1998</v>
          </cell>
          <cell r="B489" t="str">
            <v>SE</v>
          </cell>
          <cell r="C489" t="str">
            <v>CV</v>
          </cell>
          <cell r="D489" t="str">
            <v>PUB</v>
          </cell>
          <cell r="E489" t="str">
            <v>ROD</v>
          </cell>
          <cell r="F489" t="str">
            <v>DER-MG</v>
          </cell>
          <cell r="G489" t="str">
            <v>Complementação do Trecho de Maravilhas</v>
          </cell>
          <cell r="H489">
            <v>1080000</v>
          </cell>
          <cell r="J489">
            <v>36130</v>
          </cell>
          <cell r="K489" t="str">
            <v>-</v>
          </cell>
          <cell r="L489">
            <v>0</v>
          </cell>
          <cell r="M489" t="str">
            <v>Em julgamento</v>
          </cell>
        </row>
        <row r="490">
          <cell r="A490">
            <v>1998</v>
          </cell>
          <cell r="B490" t="str">
            <v>SL</v>
          </cell>
          <cell r="C490" t="str">
            <v>RP</v>
          </cell>
          <cell r="D490" t="str">
            <v>SPB</v>
          </cell>
          <cell r="E490" t="str">
            <v>ENE</v>
          </cell>
          <cell r="F490" t="str">
            <v>Sulgás</v>
          </cell>
          <cell r="G490" t="str">
            <v>Rede de Gás Natural no RS - Contrato A</v>
          </cell>
          <cell r="H490">
            <v>25251390</v>
          </cell>
          <cell r="J490">
            <v>36130</v>
          </cell>
          <cell r="K490" t="str">
            <v>-</v>
          </cell>
          <cell r="L490">
            <v>0</v>
          </cell>
          <cell r="M490" t="str">
            <v>-</v>
          </cell>
        </row>
        <row r="491">
          <cell r="A491">
            <v>1998</v>
          </cell>
          <cell r="B491" t="str">
            <v>SL</v>
          </cell>
          <cell r="C491" t="str">
            <v>RP</v>
          </cell>
          <cell r="D491" t="str">
            <v>SPB</v>
          </cell>
          <cell r="E491" t="str">
            <v>ENE</v>
          </cell>
          <cell r="F491" t="str">
            <v>Sulgás</v>
          </cell>
          <cell r="G491" t="str">
            <v>Rede de Gás Natural no RS - Contrato B</v>
          </cell>
          <cell r="H491">
            <v>25612590</v>
          </cell>
          <cell r="J491">
            <v>36130</v>
          </cell>
          <cell r="K491" t="str">
            <v>-</v>
          </cell>
          <cell r="L491">
            <v>0</v>
          </cell>
          <cell r="M491" t="str">
            <v>-</v>
          </cell>
        </row>
        <row r="492">
          <cell r="A492">
            <v>1998</v>
          </cell>
          <cell r="B492" t="str">
            <v>SL</v>
          </cell>
          <cell r="C492" t="str">
            <v>RZ</v>
          </cell>
          <cell r="D492" t="str">
            <v>SPB</v>
          </cell>
          <cell r="E492" t="str">
            <v>ENE</v>
          </cell>
          <cell r="F492" t="str">
            <v>SC Gás</v>
          </cell>
          <cell r="G492" t="str">
            <v>Gasooduto em SC - Região B - 1ª Etapa</v>
          </cell>
          <cell r="H492">
            <v>11589460</v>
          </cell>
          <cell r="J492">
            <v>36130</v>
          </cell>
          <cell r="K492" t="str">
            <v>-</v>
          </cell>
          <cell r="L492">
            <v>0</v>
          </cell>
          <cell r="M492" t="str">
            <v>-</v>
          </cell>
        </row>
        <row r="493">
          <cell r="A493">
            <v>1998</v>
          </cell>
          <cell r="B493" t="str">
            <v>SL</v>
          </cell>
          <cell r="C493" t="str">
            <v>RZ</v>
          </cell>
          <cell r="D493" t="str">
            <v>SPB</v>
          </cell>
          <cell r="E493" t="str">
            <v>ENE</v>
          </cell>
          <cell r="F493" t="str">
            <v>SC Gás</v>
          </cell>
          <cell r="G493" t="str">
            <v>Gasooduto em SC - Região D - 1ª Etapa</v>
          </cell>
          <cell r="H493">
            <v>9146880</v>
          </cell>
          <cell r="J493">
            <v>36130</v>
          </cell>
          <cell r="K493" t="str">
            <v>-</v>
          </cell>
          <cell r="L493">
            <v>0</v>
          </cell>
          <cell r="M493" t="str">
            <v>-</v>
          </cell>
        </row>
        <row r="494">
          <cell r="A494">
            <v>1999</v>
          </cell>
          <cell r="B494" t="str">
            <v>SE</v>
          </cell>
          <cell r="C494" t="str">
            <v>CV</v>
          </cell>
          <cell r="D494" t="str">
            <v>PUB</v>
          </cell>
          <cell r="E494" t="str">
            <v>URB</v>
          </cell>
          <cell r="F494" t="str">
            <v>CDI</v>
          </cell>
          <cell r="G494" t="str">
            <v>Infraestrutura da FIAT no CDI</v>
          </cell>
          <cell r="H494">
            <v>10283181.150412476</v>
          </cell>
          <cell r="I494" t="str">
            <v>PE</v>
          </cell>
          <cell r="J494">
            <v>36187</v>
          </cell>
          <cell r="K494">
            <v>1</v>
          </cell>
          <cell r="L494">
            <v>1</v>
          </cell>
          <cell r="M494" t="str">
            <v>AG - 1º Lugar</v>
          </cell>
        </row>
        <row r="495">
          <cell r="A495">
            <v>1999</v>
          </cell>
          <cell r="B495" t="str">
            <v>SE</v>
          </cell>
          <cell r="C495" t="str">
            <v>SL</v>
          </cell>
          <cell r="D495" t="str">
            <v>PET</v>
          </cell>
          <cell r="E495" t="str">
            <v>ENE</v>
          </cell>
          <cell r="F495" t="str">
            <v>Petrobrás</v>
          </cell>
          <cell r="G495" t="str">
            <v>Gasoduto Lagoa do Suruaca</v>
          </cell>
          <cell r="H495">
            <v>1355152.4918069837</v>
          </cell>
          <cell r="I495" t="str">
            <v>PE</v>
          </cell>
          <cell r="J495">
            <v>36185</v>
          </cell>
          <cell r="K495" t="str">
            <v>-</v>
          </cell>
          <cell r="L495" t="str">
            <v>-</v>
          </cell>
          <cell r="M495" t="str">
            <v xml:space="preserve"> 3º Lugar</v>
          </cell>
        </row>
        <row r="496">
          <cell r="A496">
            <v>1999</v>
          </cell>
          <cell r="B496" t="str">
            <v>NE</v>
          </cell>
          <cell r="C496" t="str">
            <v>LV</v>
          </cell>
          <cell r="D496" t="str">
            <v>PET</v>
          </cell>
          <cell r="E496" t="str">
            <v>ROD</v>
          </cell>
          <cell r="F496" t="str">
            <v>Petrobrás</v>
          </cell>
          <cell r="G496" t="str">
            <v>Estradas Mossoró</v>
          </cell>
          <cell r="H496">
            <v>3324823.9349078992</v>
          </cell>
          <cell r="I496" t="str">
            <v>PE</v>
          </cell>
          <cell r="J496">
            <v>36168</v>
          </cell>
          <cell r="K496" t="str">
            <v>-</v>
          </cell>
          <cell r="L496" t="str">
            <v>-</v>
          </cell>
          <cell r="M496" t="str">
            <v>Não contratada</v>
          </cell>
        </row>
        <row r="497">
          <cell r="A497">
            <v>1999</v>
          </cell>
          <cell r="B497" t="str">
            <v>SL</v>
          </cell>
          <cell r="C497" t="str">
            <v>RPol</v>
          </cell>
          <cell r="E497" t="str">
            <v>ROD</v>
          </cell>
          <cell r="F497" t="str">
            <v>Rohn Brasilsat</v>
          </cell>
          <cell r="G497" t="str">
            <v>Infraestrutura e Acessos da Unidade Industrial da Rohn</v>
          </cell>
          <cell r="H497">
            <v>1809541.6770256525</v>
          </cell>
          <cell r="I497" t="str">
            <v>PNE</v>
          </cell>
          <cell r="J497">
            <v>36174</v>
          </cell>
          <cell r="K497" t="str">
            <v>-</v>
          </cell>
          <cell r="L497" t="str">
            <v>-</v>
          </cell>
          <cell r="M497" t="str">
            <v>Não contratada</v>
          </cell>
        </row>
        <row r="498">
          <cell r="A498">
            <v>1999</v>
          </cell>
          <cell r="B498" t="str">
            <v>NE</v>
          </cell>
          <cell r="C498" t="str">
            <v>MRS</v>
          </cell>
          <cell r="D498" t="str">
            <v>PUB</v>
          </cell>
          <cell r="E498" t="str">
            <v>SAN</v>
          </cell>
          <cell r="F498" t="str">
            <v>COMDEPI</v>
          </cell>
          <cell r="G498" t="str">
            <v>Barragem do Algodão</v>
          </cell>
          <cell r="H498">
            <v>5724652.7753732949</v>
          </cell>
          <cell r="I498" t="str">
            <v>PE</v>
          </cell>
          <cell r="J498">
            <v>36209</v>
          </cell>
          <cell r="K498" t="str">
            <v>-</v>
          </cell>
          <cell r="L498" t="str">
            <v>-</v>
          </cell>
          <cell r="M498" t="str">
            <v>Proposta de Cobertura</v>
          </cell>
        </row>
        <row r="499">
          <cell r="A499">
            <v>1999</v>
          </cell>
          <cell r="B499" t="str">
            <v>NE</v>
          </cell>
          <cell r="C499" t="str">
            <v>MRS</v>
          </cell>
          <cell r="D499" t="str">
            <v>PUB</v>
          </cell>
          <cell r="E499" t="str">
            <v>SAN</v>
          </cell>
          <cell r="F499" t="str">
            <v>SOSP</v>
          </cell>
          <cell r="G499" t="str">
            <v>Adutora do Sudeste Piauiense</v>
          </cell>
          <cell r="H499">
            <v>11898191.679290196</v>
          </cell>
          <cell r="I499" t="str">
            <v>PC</v>
          </cell>
          <cell r="J499">
            <v>36217</v>
          </cell>
          <cell r="K499" t="str">
            <v>-</v>
          </cell>
          <cell r="L499" t="str">
            <v>-</v>
          </cell>
          <cell r="M499" t="str">
            <v>Devido a negociações, foi entregue a proposta de cobertura.</v>
          </cell>
        </row>
        <row r="500">
          <cell r="A500">
            <v>1999</v>
          </cell>
          <cell r="B500" t="str">
            <v>SL</v>
          </cell>
          <cell r="C500" t="str">
            <v>XXX</v>
          </cell>
          <cell r="D500" t="str">
            <v>Serviços Diversos</v>
          </cell>
          <cell r="E500" t="str">
            <v>NAV</v>
          </cell>
          <cell r="F500" t="str">
            <v>TPPF S.A.</v>
          </cell>
          <cell r="G500" t="str">
            <v>Fundação e Laje do Armazém Frigorífico do TPPF</v>
          </cell>
          <cell r="H500">
            <v>843661.54512010387</v>
          </cell>
          <cell r="I500" t="str">
            <v>PE</v>
          </cell>
          <cell r="J500">
            <v>36213</v>
          </cell>
          <cell r="K500" t="str">
            <v>-</v>
          </cell>
          <cell r="L500" t="str">
            <v>-</v>
          </cell>
          <cell r="M500" t="str">
            <v>Cancelada</v>
          </cell>
        </row>
        <row r="501">
          <cell r="A501">
            <v>1999</v>
          </cell>
          <cell r="B501" t="str">
            <v>SE</v>
          </cell>
          <cell r="C501" t="str">
            <v>NP</v>
          </cell>
          <cell r="D501" t="str">
            <v>PUB</v>
          </cell>
          <cell r="E501" t="str">
            <v>SAN</v>
          </cell>
          <cell r="F501" t="str">
            <v>SUDECAP</v>
          </cell>
          <cell r="G501" t="str">
            <v>Construção da Garagem da SMAD</v>
          </cell>
          <cell r="H501">
            <v>536648.99372430204</v>
          </cell>
          <cell r="I501" t="str">
            <v>PE</v>
          </cell>
          <cell r="J501">
            <v>36210</v>
          </cell>
          <cell r="K501" t="str">
            <v>-</v>
          </cell>
          <cell r="L501" t="str">
            <v>-</v>
          </cell>
          <cell r="M501" t="str">
            <v xml:space="preserve"> 2º Lugar</v>
          </cell>
        </row>
        <row r="502">
          <cell r="A502">
            <v>1999</v>
          </cell>
          <cell r="B502" t="str">
            <v>NE</v>
          </cell>
          <cell r="C502" t="str">
            <v>SL</v>
          </cell>
          <cell r="D502" t="str">
            <v>SPB</v>
          </cell>
          <cell r="E502" t="str">
            <v>AER</v>
          </cell>
          <cell r="F502" t="str">
            <v>INFRAERO</v>
          </cell>
          <cell r="G502" t="str">
            <v>Ampliação do Aeroporto de Brasília</v>
          </cell>
          <cell r="H502">
            <v>3867299.9544859286</v>
          </cell>
          <cell r="I502" t="str">
            <v>PC</v>
          </cell>
          <cell r="J502">
            <v>36249</v>
          </cell>
          <cell r="K502" t="str">
            <v>-</v>
          </cell>
          <cell r="L502" t="str">
            <v>-</v>
          </cell>
          <cell r="M502" t="str">
            <v>Proposta de Cobertura</v>
          </cell>
        </row>
        <row r="503">
          <cell r="A503">
            <v>1999</v>
          </cell>
          <cell r="B503" t="str">
            <v>SE</v>
          </cell>
          <cell r="C503" t="str">
            <v>CV</v>
          </cell>
          <cell r="D503" t="str">
            <v>PUB</v>
          </cell>
          <cell r="E503" t="str">
            <v>ROD</v>
          </cell>
          <cell r="F503" t="str">
            <v>DNER</v>
          </cell>
          <cell r="G503" t="str">
            <v>BR-146 - Araxá - Lote 1</v>
          </cell>
          <cell r="H503">
            <v>17024120</v>
          </cell>
          <cell r="I503" t="str">
            <v>PNE</v>
          </cell>
          <cell r="J503">
            <v>36228</v>
          </cell>
          <cell r="K503" t="str">
            <v>-</v>
          </cell>
          <cell r="L503" t="str">
            <v>-</v>
          </cell>
          <cell r="M503" t="str">
            <v>Proposta pronta e a concorrência foi adiada sine die</v>
          </cell>
        </row>
        <row r="504">
          <cell r="A504">
            <v>1999</v>
          </cell>
          <cell r="B504" t="str">
            <v>SE</v>
          </cell>
          <cell r="C504" t="str">
            <v>CV</v>
          </cell>
          <cell r="D504" t="str">
            <v>PUB</v>
          </cell>
          <cell r="E504" t="str">
            <v>ROD</v>
          </cell>
          <cell r="F504" t="str">
            <v>DNER</v>
          </cell>
          <cell r="G504" t="str">
            <v>BR-146 - Araxá - Lote 2</v>
          </cell>
          <cell r="H504">
            <v>14702950</v>
          </cell>
          <cell r="I504" t="str">
            <v>PNE</v>
          </cell>
          <cell r="J504">
            <v>36228</v>
          </cell>
          <cell r="K504" t="str">
            <v>-</v>
          </cell>
          <cell r="L504" t="str">
            <v>-</v>
          </cell>
          <cell r="M504" t="str">
            <v>Proposta pronta e a concorrência foi adiada sine die</v>
          </cell>
        </row>
        <row r="505">
          <cell r="A505">
            <v>1999</v>
          </cell>
          <cell r="B505" t="str">
            <v>SE</v>
          </cell>
          <cell r="C505" t="str">
            <v>NP</v>
          </cell>
          <cell r="D505" t="str">
            <v>PUB</v>
          </cell>
          <cell r="E505" t="str">
            <v>URB</v>
          </cell>
          <cell r="F505" t="str">
            <v>SUDECAP</v>
          </cell>
          <cell r="G505" t="str">
            <v>Urbanização da Avenida Crisanto Muniz</v>
          </cell>
          <cell r="H505">
            <v>1002960</v>
          </cell>
          <cell r="I505" t="str">
            <v>PNE</v>
          </cell>
          <cell r="J505">
            <v>36269</v>
          </cell>
          <cell r="K505" t="str">
            <v>-</v>
          </cell>
          <cell r="L505" t="str">
            <v>-</v>
          </cell>
          <cell r="M505" t="str">
            <v>Proposta pronta e não entregue devido o preço.</v>
          </cell>
        </row>
        <row r="506">
          <cell r="A506">
            <v>1999</v>
          </cell>
          <cell r="B506" t="str">
            <v>SE</v>
          </cell>
          <cell r="C506" t="str">
            <v>CV</v>
          </cell>
          <cell r="D506" t="str">
            <v>PUB</v>
          </cell>
          <cell r="E506" t="str">
            <v>URB</v>
          </cell>
          <cell r="F506" t="str">
            <v>PM de Ibirité</v>
          </cell>
          <cell r="G506" t="str">
            <v>Infraestrutura Urbana de Ibirité</v>
          </cell>
          <cell r="H506">
            <v>5396830</v>
          </cell>
          <cell r="I506" t="str">
            <v>PC</v>
          </cell>
          <cell r="J506">
            <v>36255</v>
          </cell>
          <cell r="K506" t="str">
            <v>-</v>
          </cell>
          <cell r="L506" t="str">
            <v>-</v>
          </cell>
          <cell r="M506" t="str">
            <v>Proposta de Cobertura</v>
          </cell>
        </row>
        <row r="507">
          <cell r="A507">
            <v>1999</v>
          </cell>
          <cell r="B507" t="str">
            <v>NE</v>
          </cell>
          <cell r="C507" t="str">
            <v>COL</v>
          </cell>
          <cell r="D507" t="str">
            <v>PUB</v>
          </cell>
          <cell r="E507" t="str">
            <v>SAN</v>
          </cell>
          <cell r="F507" t="str">
            <v>CODEVASF</v>
          </cell>
          <cell r="G507" t="str">
            <v>Baixios do Irecê</v>
          </cell>
          <cell r="H507">
            <v>11293842</v>
          </cell>
          <cell r="I507" t="str">
            <v>PE</v>
          </cell>
          <cell r="J507">
            <v>36301</v>
          </cell>
          <cell r="K507">
            <v>1</v>
          </cell>
          <cell r="L507">
            <v>1</v>
          </cell>
          <cell r="M507" t="str">
            <v>AG - 1º Lugar</v>
          </cell>
        </row>
        <row r="508">
          <cell r="A508">
            <v>1999</v>
          </cell>
          <cell r="B508" t="str">
            <v>NE</v>
          </cell>
          <cell r="C508" t="str">
            <v>CP</v>
          </cell>
          <cell r="D508" t="str">
            <v>TEL</v>
          </cell>
          <cell r="E508" t="str">
            <v>ENE</v>
          </cell>
          <cell r="F508" t="str">
            <v>Telemar</v>
          </cell>
          <cell r="G508" t="str">
            <v>Rede de Fibra Ótica</v>
          </cell>
          <cell r="H508">
            <v>1939912</v>
          </cell>
          <cell r="I508" t="str">
            <v>PE</v>
          </cell>
          <cell r="J508">
            <v>36295</v>
          </cell>
          <cell r="K508">
            <v>1</v>
          </cell>
          <cell r="L508">
            <v>1</v>
          </cell>
          <cell r="M508" t="str">
            <v>AG - 1º Lugar</v>
          </cell>
        </row>
        <row r="509">
          <cell r="A509">
            <v>1999</v>
          </cell>
          <cell r="B509" t="str">
            <v>SE</v>
          </cell>
          <cell r="C509" t="str">
            <v>MS</v>
          </cell>
          <cell r="D509" t="str">
            <v>AUT</v>
          </cell>
          <cell r="E509" t="str">
            <v>URB</v>
          </cell>
          <cell r="F509" t="str">
            <v>Fiat Engeneering</v>
          </cell>
          <cell r="G509" t="str">
            <v>IVECO - Terraplenagem</v>
          </cell>
          <cell r="H509">
            <v>115340</v>
          </cell>
          <cell r="I509" t="str">
            <v>PE</v>
          </cell>
          <cell r="J509">
            <v>36284</v>
          </cell>
          <cell r="K509">
            <v>1</v>
          </cell>
          <cell r="L509">
            <v>1</v>
          </cell>
          <cell r="M509" t="str">
            <v>AG - 1º Lugar</v>
          </cell>
        </row>
        <row r="510">
          <cell r="A510">
            <v>1999</v>
          </cell>
          <cell r="B510" t="str">
            <v>SE</v>
          </cell>
          <cell r="C510" t="str">
            <v>MS</v>
          </cell>
          <cell r="D510" t="str">
            <v>AUT</v>
          </cell>
          <cell r="E510" t="str">
            <v>URB</v>
          </cell>
          <cell r="F510" t="str">
            <v>Fiat Engeneering</v>
          </cell>
          <cell r="G510" t="str">
            <v>IVECO - Fundações</v>
          </cell>
          <cell r="H510">
            <v>128570</v>
          </cell>
          <cell r="I510" t="str">
            <v>PE</v>
          </cell>
          <cell r="J510">
            <v>36305</v>
          </cell>
          <cell r="K510" t="str">
            <v>-</v>
          </cell>
          <cell r="L510" t="str">
            <v>-</v>
          </cell>
          <cell r="M510" t="str">
            <v>Perdemos</v>
          </cell>
        </row>
        <row r="511">
          <cell r="A511">
            <v>1999</v>
          </cell>
          <cell r="B511" t="str">
            <v>SL</v>
          </cell>
          <cell r="C511" t="str">
            <v>XXX</v>
          </cell>
          <cell r="D511" t="str">
            <v>PUB</v>
          </cell>
          <cell r="E511" t="str">
            <v>URB</v>
          </cell>
          <cell r="F511" t="str">
            <v>PM Joinvile</v>
          </cell>
          <cell r="G511" t="str">
            <v>Aluguel de Equipamentos para Prefeitura de Joinvile</v>
          </cell>
          <cell r="H511">
            <v>1876200</v>
          </cell>
          <cell r="I511" t="str">
            <v>PE</v>
          </cell>
          <cell r="J511">
            <v>36312</v>
          </cell>
          <cell r="K511">
            <v>1</v>
          </cell>
          <cell r="L511">
            <v>1</v>
          </cell>
          <cell r="M511" t="str">
            <v>AG - 1º Lugar</v>
          </cell>
        </row>
        <row r="512">
          <cell r="A512">
            <v>1999</v>
          </cell>
          <cell r="B512" t="str">
            <v>NE</v>
          </cell>
          <cell r="C512" t="str">
            <v>CQ</v>
          </cell>
          <cell r="D512" t="str">
            <v>PUB</v>
          </cell>
          <cell r="E512" t="str">
            <v>TRMA</v>
          </cell>
          <cell r="F512" t="str">
            <v>PM Salvador</v>
          </cell>
          <cell r="G512" t="str">
            <v>Metrô de Salvador</v>
          </cell>
          <cell r="H512">
            <v>25934257</v>
          </cell>
          <cell r="I512" t="str">
            <v>PE</v>
          </cell>
          <cell r="J512">
            <v>36341</v>
          </cell>
          <cell r="K512">
            <v>1</v>
          </cell>
          <cell r="L512">
            <v>1</v>
          </cell>
          <cell r="M512" t="str">
            <v>AG - 1º Lugar</v>
          </cell>
        </row>
        <row r="513">
          <cell r="A513">
            <v>1999</v>
          </cell>
          <cell r="B513" t="str">
            <v>SE</v>
          </cell>
          <cell r="C513" t="str">
            <v>LC</v>
          </cell>
          <cell r="E513" t="str">
            <v>NAV</v>
          </cell>
          <cell r="F513" t="str">
            <v>TVV</v>
          </cell>
          <cell r="G513" t="str">
            <v>Ampliação do Cais do Porto de Vila Velha</v>
          </cell>
          <cell r="H513">
            <v>3519309</v>
          </cell>
          <cell r="I513" t="str">
            <v>PE</v>
          </cell>
          <cell r="J513">
            <v>36341</v>
          </cell>
          <cell r="K513" t="str">
            <v>-</v>
          </cell>
          <cell r="L513" t="str">
            <v>-</v>
          </cell>
          <cell r="M513" t="str">
            <v>Proposta revisada</v>
          </cell>
        </row>
        <row r="514">
          <cell r="A514">
            <v>1999</v>
          </cell>
          <cell r="B514" t="str">
            <v>SE</v>
          </cell>
          <cell r="C514" t="str">
            <v>FG</v>
          </cell>
          <cell r="D514" t="str">
            <v>PUB</v>
          </cell>
          <cell r="E514" t="str">
            <v>DIV</v>
          </cell>
          <cell r="F514" t="str">
            <v>PM Ribeirão Preto</v>
          </cell>
          <cell r="G514" t="str">
            <v>Coleta de Lixo, Varrição e Capina em Ribeirão Preto</v>
          </cell>
          <cell r="H514">
            <v>28805180</v>
          </cell>
          <cell r="I514" t="str">
            <v>PE</v>
          </cell>
          <cell r="J514">
            <v>36325</v>
          </cell>
          <cell r="K514" t="str">
            <v>-</v>
          </cell>
          <cell r="L514" t="str">
            <v>-</v>
          </cell>
          <cell r="M514" t="str">
            <v>Em julgamento</v>
          </cell>
        </row>
        <row r="515">
          <cell r="A515">
            <v>1999</v>
          </cell>
          <cell r="B515" t="str">
            <v>SE</v>
          </cell>
          <cell r="C515" t="str">
            <v>FG</v>
          </cell>
          <cell r="D515" t="str">
            <v>PUB</v>
          </cell>
          <cell r="E515" t="str">
            <v>DIV</v>
          </cell>
          <cell r="F515" t="str">
            <v>PM Ribeirão Preto</v>
          </cell>
          <cell r="G515" t="str">
            <v>Aterro Sanitário em Ribeirão Preto</v>
          </cell>
          <cell r="H515">
            <v>1083290</v>
          </cell>
          <cell r="I515" t="str">
            <v>PE</v>
          </cell>
          <cell r="J515">
            <v>36325</v>
          </cell>
          <cell r="K515" t="str">
            <v>-</v>
          </cell>
          <cell r="L515" t="str">
            <v>-</v>
          </cell>
          <cell r="M515" t="str">
            <v>Desclassificada por falta de atestado.</v>
          </cell>
        </row>
        <row r="516">
          <cell r="A516">
            <v>1999</v>
          </cell>
          <cell r="B516" t="str">
            <v>SL</v>
          </cell>
          <cell r="C516" t="str">
            <v>MAC</v>
          </cell>
          <cell r="D516" t="str">
            <v>AUT</v>
          </cell>
          <cell r="E516" t="str">
            <v>IND</v>
          </cell>
          <cell r="F516" t="str">
            <v>FORD</v>
          </cell>
          <cell r="G516" t="str">
            <v>Fábrica da Ford do Brasil - Civil Work</v>
          </cell>
          <cell r="H516">
            <v>3662873</v>
          </cell>
          <cell r="I516" t="str">
            <v>PE</v>
          </cell>
          <cell r="J516">
            <v>36339</v>
          </cell>
          <cell r="K516" t="str">
            <v>-</v>
          </cell>
          <cell r="L516" t="str">
            <v>-</v>
          </cell>
          <cell r="M516" t="str">
            <v>Não contratada</v>
          </cell>
        </row>
        <row r="517">
          <cell r="A517">
            <v>1999</v>
          </cell>
          <cell r="B517" t="str">
            <v>SL</v>
          </cell>
          <cell r="C517" t="str">
            <v>RPol</v>
          </cell>
          <cell r="E517" t="str">
            <v>IND</v>
          </cell>
          <cell r="F517" t="str">
            <v>Brandl Brasil</v>
          </cell>
          <cell r="G517" t="str">
            <v>Construção da Unidade da Brandl Brasil</v>
          </cell>
          <cell r="H517">
            <v>2539374</v>
          </cell>
          <cell r="I517" t="str">
            <v>PE</v>
          </cell>
          <cell r="J517">
            <v>36325</v>
          </cell>
          <cell r="K517" t="str">
            <v>-</v>
          </cell>
          <cell r="L517" t="str">
            <v>-</v>
          </cell>
          <cell r="M517" t="str">
            <v>Não contratada</v>
          </cell>
        </row>
        <row r="518">
          <cell r="A518">
            <v>1999</v>
          </cell>
          <cell r="B518" t="str">
            <v>SL</v>
          </cell>
          <cell r="C518" t="str">
            <v>MAC</v>
          </cell>
          <cell r="D518" t="str">
            <v>AUT</v>
          </cell>
          <cell r="E518" t="str">
            <v>IND</v>
          </cell>
          <cell r="F518" t="str">
            <v>FORD</v>
          </cell>
          <cell r="G518" t="str">
            <v>Fábrica da Ford do Brasil - Administração 1</v>
          </cell>
          <cell r="H518">
            <v>1963378</v>
          </cell>
          <cell r="I518" t="str">
            <v>PE</v>
          </cell>
          <cell r="J518">
            <v>36346</v>
          </cell>
          <cell r="K518" t="str">
            <v>-</v>
          </cell>
          <cell r="L518" t="str">
            <v>-</v>
          </cell>
          <cell r="M518" t="str">
            <v>Não contratada</v>
          </cell>
        </row>
        <row r="519">
          <cell r="A519">
            <v>1999</v>
          </cell>
          <cell r="B519" t="str">
            <v>SL</v>
          </cell>
          <cell r="C519" t="str">
            <v>MAC</v>
          </cell>
          <cell r="D519" t="str">
            <v>AUT</v>
          </cell>
          <cell r="E519" t="str">
            <v>IND</v>
          </cell>
          <cell r="F519" t="str">
            <v>FORD</v>
          </cell>
          <cell r="G519" t="str">
            <v>Fábrica da Ford do Brasil - Administração 2</v>
          </cell>
          <cell r="H519">
            <v>2083972</v>
          </cell>
          <cell r="I519" t="str">
            <v>PE</v>
          </cell>
          <cell r="J519">
            <v>36346</v>
          </cell>
          <cell r="K519" t="str">
            <v>-</v>
          </cell>
          <cell r="L519" t="str">
            <v>-</v>
          </cell>
          <cell r="M519" t="str">
            <v>Não contratada</v>
          </cell>
        </row>
        <row r="520">
          <cell r="A520">
            <v>1999</v>
          </cell>
          <cell r="B520" t="str">
            <v>SL</v>
          </cell>
          <cell r="C520" t="str">
            <v>XXX</v>
          </cell>
          <cell r="D520" t="str">
            <v>Serviços Diversos</v>
          </cell>
          <cell r="E520" t="str">
            <v>NAV</v>
          </cell>
          <cell r="F520" t="str">
            <v>TPPF S.A.</v>
          </cell>
          <cell r="G520" t="str">
            <v>Fundação e Laje do Armazém Frigorífico do TPPF - Revisão</v>
          </cell>
          <cell r="H520">
            <v>915238</v>
          </cell>
          <cell r="I520" t="str">
            <v>PE</v>
          </cell>
          <cell r="J520">
            <v>36350</v>
          </cell>
          <cell r="K520" t="str">
            <v>-</v>
          </cell>
          <cell r="L520" t="str">
            <v>-</v>
          </cell>
          <cell r="M520" t="str">
            <v>Não contratada</v>
          </cell>
        </row>
        <row r="521">
          <cell r="A521">
            <v>1999</v>
          </cell>
          <cell r="B521" t="str">
            <v>SL</v>
          </cell>
          <cell r="C521" t="str">
            <v>RP</v>
          </cell>
          <cell r="D521" t="str">
            <v>SPB</v>
          </cell>
          <cell r="E521" t="str">
            <v>AER</v>
          </cell>
          <cell r="F521" t="str">
            <v>INFRAERO</v>
          </cell>
          <cell r="G521" t="str">
            <v>Pátio do Aeroporto Salgado Filho - RS</v>
          </cell>
          <cell r="H521">
            <v>4981643</v>
          </cell>
          <cell r="I521" t="str">
            <v>PNE</v>
          </cell>
          <cell r="J521">
            <v>36350</v>
          </cell>
          <cell r="K521" t="str">
            <v>-</v>
          </cell>
          <cell r="L521" t="str">
            <v>-</v>
          </cell>
          <cell r="M521" t="str">
            <v>Proposta não apresentada</v>
          </cell>
        </row>
        <row r="522">
          <cell r="A522">
            <v>1999</v>
          </cell>
          <cell r="B522" t="str">
            <v>SL</v>
          </cell>
          <cell r="C522" t="str">
            <v>RP</v>
          </cell>
          <cell r="D522" t="str">
            <v>SPB</v>
          </cell>
          <cell r="E522" t="str">
            <v>AER</v>
          </cell>
          <cell r="F522" t="str">
            <v>INFRAERO</v>
          </cell>
          <cell r="G522" t="str">
            <v>Edifício Garagem do Aeroporto Salgado Filho</v>
          </cell>
          <cell r="H522">
            <v>7590290</v>
          </cell>
          <cell r="I522" t="str">
            <v>PNE</v>
          </cell>
          <cell r="J522">
            <v>36354</v>
          </cell>
          <cell r="K522" t="str">
            <v>-</v>
          </cell>
          <cell r="L522" t="str">
            <v>-</v>
          </cell>
          <cell r="M522" t="str">
            <v>Proposta não apresentada</v>
          </cell>
        </row>
        <row r="523">
          <cell r="A523">
            <v>1999</v>
          </cell>
          <cell r="B523" t="str">
            <v>SL</v>
          </cell>
          <cell r="C523" t="str">
            <v>MAC</v>
          </cell>
          <cell r="D523" t="str">
            <v>AUT</v>
          </cell>
          <cell r="E523" t="str">
            <v>IND</v>
          </cell>
          <cell r="F523" t="str">
            <v>FORD</v>
          </cell>
          <cell r="G523" t="str">
            <v>Fábrica da Ford do Brasil - Contrato Geral com Retenção</v>
          </cell>
          <cell r="H523">
            <v>19935172</v>
          </cell>
          <cell r="I523" t="str">
            <v>PNE</v>
          </cell>
          <cell r="J523">
            <v>36353</v>
          </cell>
          <cell r="K523" t="str">
            <v>-</v>
          </cell>
          <cell r="L523" t="str">
            <v>-</v>
          </cell>
          <cell r="M523" t="str">
            <v>Proposta não apresentada</v>
          </cell>
        </row>
        <row r="524">
          <cell r="A524">
            <v>1999</v>
          </cell>
          <cell r="B524" t="str">
            <v>SL</v>
          </cell>
          <cell r="C524" t="str">
            <v>MAC</v>
          </cell>
          <cell r="D524" t="str">
            <v>AUT</v>
          </cell>
          <cell r="E524" t="str">
            <v>IND</v>
          </cell>
          <cell r="F524" t="str">
            <v>FORD</v>
          </cell>
          <cell r="G524" t="str">
            <v>Fábrica da Ford do Brasil - Contrato Geral sem Retenção</v>
          </cell>
          <cell r="H524">
            <v>19979754</v>
          </cell>
          <cell r="I524" t="str">
            <v>PNE</v>
          </cell>
          <cell r="J524">
            <v>36353</v>
          </cell>
          <cell r="K524" t="str">
            <v>-</v>
          </cell>
          <cell r="L524" t="str">
            <v>-</v>
          </cell>
          <cell r="M524" t="str">
            <v>Proposta não apresentada</v>
          </cell>
        </row>
        <row r="525">
          <cell r="A525">
            <v>1999</v>
          </cell>
          <cell r="B525" t="str">
            <v>SE</v>
          </cell>
          <cell r="C525" t="str">
            <v>NP</v>
          </cell>
          <cell r="D525" t="str">
            <v>SID</v>
          </cell>
          <cell r="E525" t="str">
            <v>IND</v>
          </cell>
          <cell r="F525" t="str">
            <v>CMM</v>
          </cell>
          <cell r="G525" t="str">
            <v>Construção da Fábrica da Cia Mineira de Metais em Três Marias</v>
          </cell>
          <cell r="H525">
            <v>4141050</v>
          </cell>
          <cell r="I525" t="str">
            <v>PE</v>
          </cell>
          <cell r="J525">
            <v>36353</v>
          </cell>
          <cell r="K525" t="str">
            <v>-</v>
          </cell>
          <cell r="L525" t="str">
            <v>-</v>
          </cell>
          <cell r="M525" t="str">
            <v>Adiada a contratação para 2000</v>
          </cell>
        </row>
        <row r="526">
          <cell r="A526">
            <v>1999</v>
          </cell>
          <cell r="B526" t="str">
            <v>SE</v>
          </cell>
          <cell r="C526" t="str">
            <v>CV</v>
          </cell>
          <cell r="D526" t="str">
            <v>PUB</v>
          </cell>
          <cell r="E526" t="str">
            <v>FER</v>
          </cell>
          <cell r="F526" t="str">
            <v>PM Montes Claros</v>
          </cell>
          <cell r="G526" t="str">
            <v>Contorno Ferroviário de Montes Claros</v>
          </cell>
          <cell r="H526">
            <v>44791030</v>
          </cell>
          <cell r="I526" t="str">
            <v>PE</v>
          </cell>
          <cell r="J526">
            <v>36382</v>
          </cell>
          <cell r="K526">
            <v>1</v>
          </cell>
          <cell r="L526">
            <v>1</v>
          </cell>
          <cell r="M526" t="str">
            <v>AG - 1º Lugar</v>
          </cell>
        </row>
        <row r="527">
          <cell r="A527">
            <v>1999</v>
          </cell>
          <cell r="B527" t="str">
            <v>SE</v>
          </cell>
          <cell r="C527" t="str">
            <v>CV</v>
          </cell>
          <cell r="D527" t="str">
            <v>PUB</v>
          </cell>
          <cell r="E527" t="str">
            <v>URB</v>
          </cell>
          <cell r="F527" t="str">
            <v>PM Montes Claros</v>
          </cell>
          <cell r="G527" t="str">
            <v>Via Urbana de Montes Claros</v>
          </cell>
          <cell r="H527">
            <v>13709020</v>
          </cell>
          <cell r="I527" t="str">
            <v>PE</v>
          </cell>
          <cell r="J527">
            <v>36382</v>
          </cell>
          <cell r="K527" t="str">
            <v>-</v>
          </cell>
          <cell r="L527" t="str">
            <v>-</v>
          </cell>
          <cell r="M527" t="str">
            <v>2º Lugar</v>
          </cell>
        </row>
        <row r="528">
          <cell r="A528">
            <v>1999</v>
          </cell>
          <cell r="B528" t="str">
            <v>SE</v>
          </cell>
          <cell r="C528" t="str">
            <v>NP</v>
          </cell>
          <cell r="D528" t="str">
            <v>PUB</v>
          </cell>
          <cell r="E528" t="str">
            <v>URB</v>
          </cell>
          <cell r="F528" t="str">
            <v>SUDECAP</v>
          </cell>
          <cell r="G528" t="str">
            <v>Duplicação da Avenida Antonio Carlos</v>
          </cell>
          <cell r="H528">
            <v>14659060</v>
          </cell>
          <cell r="I528" t="str">
            <v>PE</v>
          </cell>
          <cell r="J528">
            <v>36391</v>
          </cell>
          <cell r="K528" t="str">
            <v>-</v>
          </cell>
          <cell r="L528" t="str">
            <v>-</v>
          </cell>
          <cell r="M528" t="str">
            <v>Cancelada</v>
          </cell>
        </row>
        <row r="529">
          <cell r="A529">
            <v>1999</v>
          </cell>
          <cell r="B529" t="str">
            <v>SE</v>
          </cell>
          <cell r="C529" t="str">
            <v>NP</v>
          </cell>
          <cell r="D529" t="str">
            <v>PUB</v>
          </cell>
          <cell r="E529" t="str">
            <v>ROD</v>
          </cell>
          <cell r="F529" t="str">
            <v>DNER</v>
          </cell>
          <cell r="G529" t="str">
            <v>Trevo de Sete Lagoas</v>
          </cell>
          <cell r="H529">
            <v>3418410</v>
          </cell>
          <cell r="I529" t="str">
            <v>PC</v>
          </cell>
          <cell r="J529">
            <v>36402</v>
          </cell>
          <cell r="K529" t="str">
            <v>-</v>
          </cell>
          <cell r="L529" t="str">
            <v>-</v>
          </cell>
          <cell r="M529" t="str">
            <v>Proposta de Cobertura</v>
          </cell>
        </row>
        <row r="530">
          <cell r="A530">
            <v>1999</v>
          </cell>
          <cell r="B530" t="str">
            <v>SE</v>
          </cell>
          <cell r="C530" t="str">
            <v>MS</v>
          </cell>
          <cell r="D530" t="str">
            <v>AUT</v>
          </cell>
          <cell r="E530" t="str">
            <v>IND</v>
          </cell>
          <cell r="F530" t="str">
            <v>Fiat / Stola</v>
          </cell>
          <cell r="G530" t="str">
            <v>Galpão da Nova Funilaria</v>
          </cell>
          <cell r="H530">
            <v>8602230</v>
          </cell>
          <cell r="I530" t="str">
            <v>PE</v>
          </cell>
          <cell r="J530">
            <v>36395</v>
          </cell>
          <cell r="K530" t="str">
            <v>-</v>
          </cell>
          <cell r="L530" t="str">
            <v>-</v>
          </cell>
          <cell r="M530" t="str">
            <v>Adiada a contratação</v>
          </cell>
        </row>
        <row r="531">
          <cell r="A531">
            <v>1999</v>
          </cell>
          <cell r="B531" t="str">
            <v>SE</v>
          </cell>
          <cell r="C531" t="str">
            <v>LC</v>
          </cell>
          <cell r="D531" t="str">
            <v>SPB</v>
          </cell>
          <cell r="E531" t="str">
            <v>SAN</v>
          </cell>
          <cell r="F531" t="str">
            <v>COPASA</v>
          </cell>
          <cell r="G531" t="str">
            <v>Esgoto Sanitário de Pará de Minas</v>
          </cell>
          <cell r="H531">
            <v>7108140</v>
          </cell>
          <cell r="I531" t="str">
            <v>EST</v>
          </cell>
          <cell r="J531">
            <v>36424</v>
          </cell>
          <cell r="K531" t="str">
            <v>-</v>
          </cell>
          <cell r="L531" t="str">
            <v>-</v>
          </cell>
          <cell r="M531" t="str">
            <v>Contrato da Canal. Copasa não concordou com a sub-rogação.</v>
          </cell>
        </row>
        <row r="532">
          <cell r="A532">
            <v>1999</v>
          </cell>
          <cell r="B532" t="str">
            <v>SE</v>
          </cell>
          <cell r="C532" t="str">
            <v>NP</v>
          </cell>
          <cell r="D532" t="str">
            <v>PUB</v>
          </cell>
          <cell r="E532" t="str">
            <v>SAN</v>
          </cell>
          <cell r="F532" t="str">
            <v>SUDECAP</v>
          </cell>
          <cell r="G532" t="str">
            <v>Córrego da Liége</v>
          </cell>
          <cell r="H532">
            <v>1052000</v>
          </cell>
          <cell r="I532" t="str">
            <v>PE</v>
          </cell>
          <cell r="J532">
            <v>36418</v>
          </cell>
          <cell r="K532">
            <v>1</v>
          </cell>
          <cell r="L532">
            <v>1</v>
          </cell>
          <cell r="M532" t="str">
            <v>AG - 1º Lugar</v>
          </cell>
        </row>
        <row r="533">
          <cell r="A533">
            <v>1999</v>
          </cell>
          <cell r="B533" t="str">
            <v>NE</v>
          </cell>
          <cell r="C533" t="str">
            <v>CP</v>
          </cell>
          <cell r="D533" t="str">
            <v>TEL</v>
          </cell>
          <cell r="E533" t="str">
            <v>ENE</v>
          </cell>
          <cell r="F533" t="str">
            <v>TELEMAR</v>
          </cell>
          <cell r="G533" t="str">
            <v>Rota Ótica Interurbana - Juazeiro/Fortaleza</v>
          </cell>
          <cell r="H533">
            <v>5642317</v>
          </cell>
          <cell r="I533" t="str">
            <v>PE</v>
          </cell>
          <cell r="J533">
            <v>36423</v>
          </cell>
          <cell r="K533">
            <v>1</v>
          </cell>
          <cell r="L533">
            <v>1</v>
          </cell>
          <cell r="M533" t="str">
            <v>AG - 1º Lugar</v>
          </cell>
        </row>
        <row r="534">
          <cell r="A534">
            <v>1999</v>
          </cell>
          <cell r="B534" t="str">
            <v>SE</v>
          </cell>
          <cell r="C534" t="str">
            <v>XXX</v>
          </cell>
          <cell r="D534" t="str">
            <v>SPB</v>
          </cell>
          <cell r="E534" t="str">
            <v>ENE</v>
          </cell>
          <cell r="F534" t="str">
            <v>GASMIG</v>
          </cell>
          <cell r="G534" t="str">
            <v>Rede de Gás no CINCO em Contagem</v>
          </cell>
          <cell r="H534">
            <v>1198260</v>
          </cell>
          <cell r="I534" t="str">
            <v>PE</v>
          </cell>
          <cell r="J534">
            <v>36461</v>
          </cell>
          <cell r="K534" t="str">
            <v>-</v>
          </cell>
          <cell r="L534" t="str">
            <v>-</v>
          </cell>
          <cell r="M534" t="str">
            <v>8º Lugar</v>
          </cell>
        </row>
        <row r="535">
          <cell r="A535">
            <v>1999</v>
          </cell>
          <cell r="B535" t="str">
            <v>NE</v>
          </cell>
          <cell r="C535" t="str">
            <v>XXX</v>
          </cell>
          <cell r="E535" t="str">
            <v>NAV</v>
          </cell>
          <cell r="F535" t="str">
            <v>SUAPE</v>
          </cell>
          <cell r="G535" t="str">
            <v>Píer de Granéis Líquidos do Complexo Industrial de Suape</v>
          </cell>
          <cell r="H535">
            <v>6212830</v>
          </cell>
          <cell r="I535" t="str">
            <v>PNE</v>
          </cell>
          <cell r="J535">
            <v>36461</v>
          </cell>
          <cell r="K535" t="str">
            <v>-</v>
          </cell>
          <cell r="L535" t="str">
            <v>-</v>
          </cell>
          <cell r="M535" t="str">
            <v>Proposta não apresentada. Preço máximo inexequível</v>
          </cell>
        </row>
        <row r="536">
          <cell r="A536">
            <v>1999</v>
          </cell>
          <cell r="B536" t="str">
            <v>SL</v>
          </cell>
          <cell r="C536" t="str">
            <v>RP1</v>
          </cell>
          <cell r="D536" t="str">
            <v>SPB</v>
          </cell>
          <cell r="E536" t="str">
            <v>SAN</v>
          </cell>
          <cell r="F536" t="str">
            <v>CASAN</v>
          </cell>
          <cell r="G536" t="str">
            <v>Barragem e Adutora do Rio São Bento</v>
          </cell>
          <cell r="H536">
            <v>24844270</v>
          </cell>
          <cell r="I536" t="str">
            <v>PC</v>
          </cell>
          <cell r="J536">
            <v>36454</v>
          </cell>
          <cell r="K536" t="str">
            <v>-</v>
          </cell>
          <cell r="L536" t="str">
            <v>-</v>
          </cell>
          <cell r="M536" t="str">
            <v>Proposta de Cobertura - Parte AG-BR$</v>
          </cell>
        </row>
        <row r="537">
          <cell r="A537">
            <v>1999</v>
          </cell>
          <cell r="B537" t="str">
            <v>SE</v>
          </cell>
          <cell r="C537" t="str">
            <v>CP</v>
          </cell>
          <cell r="E537" t="str">
            <v>TEL</v>
          </cell>
          <cell r="F537" t="str">
            <v>Pégasus</v>
          </cell>
          <cell r="G537" t="str">
            <v>Projeto Pégasus / Barramar - Rod. Pres. Dutra</v>
          </cell>
          <cell r="H537">
            <v>440405.09</v>
          </cell>
          <cell r="I537" t="str">
            <v>PE</v>
          </cell>
          <cell r="J537">
            <v>36370</v>
          </cell>
          <cell r="K537">
            <v>0</v>
          </cell>
          <cell r="L537">
            <v>0</v>
          </cell>
          <cell r="M537" t="str">
            <v>Em julgamento</v>
          </cell>
        </row>
        <row r="538">
          <cell r="A538">
            <v>1999</v>
          </cell>
          <cell r="B538" t="str">
            <v>SE</v>
          </cell>
          <cell r="C538" t="str">
            <v>XXX</v>
          </cell>
          <cell r="E538" t="str">
            <v>AER</v>
          </cell>
          <cell r="F538" t="str">
            <v>INFRAERO</v>
          </cell>
          <cell r="G538" t="str">
            <v>Aeroporto de Guarulhos</v>
          </cell>
          <cell r="H538">
            <v>9477960</v>
          </cell>
          <cell r="I538" t="str">
            <v>PE</v>
          </cell>
          <cell r="J538">
            <v>36483</v>
          </cell>
          <cell r="K538" t="str">
            <v>-</v>
          </cell>
          <cell r="L538" t="str">
            <v>-</v>
          </cell>
          <cell r="M538" t="str">
            <v>Vencedora CONSTRAN-R$17.876.952,65</v>
          </cell>
        </row>
        <row r="539">
          <cell r="A539">
            <v>1999</v>
          </cell>
          <cell r="B539" t="str">
            <v>SE</v>
          </cell>
          <cell r="C539" t="str">
            <v>LC</v>
          </cell>
          <cell r="E539" t="str">
            <v>NAV</v>
          </cell>
          <cell r="F539" t="str">
            <v>TVV</v>
          </cell>
          <cell r="G539" t="str">
            <v>Ampliação do Cais do Porto de Vila Velha</v>
          </cell>
          <cell r="H539">
            <v>4981280</v>
          </cell>
          <cell r="I539" t="str">
            <v>PE</v>
          </cell>
          <cell r="J539">
            <v>36480</v>
          </cell>
          <cell r="K539">
            <v>0</v>
          </cell>
          <cell r="L539">
            <v>0</v>
          </cell>
          <cell r="M539" t="str">
            <v>Proposta revisada. Em julgamento</v>
          </cell>
        </row>
        <row r="540">
          <cell r="A540">
            <v>1999</v>
          </cell>
          <cell r="B540" t="str">
            <v>SE</v>
          </cell>
          <cell r="C540" t="str">
            <v>CV</v>
          </cell>
          <cell r="E540" t="str">
            <v>ROD</v>
          </cell>
          <cell r="F540" t="str">
            <v>DER-MG</v>
          </cell>
          <cell r="G540" t="str">
            <v>Trecho Divinolândia de Minas / Santa Efigênia de Minas</v>
          </cell>
          <cell r="H540">
            <v>7114840</v>
          </cell>
          <cell r="I540" t="str">
            <v>PC</v>
          </cell>
          <cell r="J540">
            <v>36503</v>
          </cell>
          <cell r="K540">
            <v>0</v>
          </cell>
          <cell r="L540">
            <v>0</v>
          </cell>
          <cell r="M540" t="str">
            <v>Proposta de Cobertura</v>
          </cell>
        </row>
        <row r="541">
          <cell r="A541">
            <v>1999</v>
          </cell>
          <cell r="B541" t="str">
            <v>SE</v>
          </cell>
          <cell r="C541" t="str">
            <v>XXX</v>
          </cell>
          <cell r="E541" t="str">
            <v>FER</v>
          </cell>
          <cell r="F541" t="str">
            <v>CBTU</v>
          </cell>
          <cell r="G541" t="str">
            <v>Descentralização de Trens Metropolitanos de BH</v>
          </cell>
          <cell r="H541">
            <v>5632720</v>
          </cell>
          <cell r="I541" t="str">
            <v>PE</v>
          </cell>
          <cell r="J541">
            <v>36515</v>
          </cell>
          <cell r="K541">
            <v>0</v>
          </cell>
          <cell r="L541">
            <v>0</v>
          </cell>
          <cell r="M541" t="str">
            <v>Perdemos</v>
          </cell>
        </row>
        <row r="542">
          <cell r="A542">
            <v>1999</v>
          </cell>
          <cell r="B542" t="str">
            <v>SE</v>
          </cell>
          <cell r="C542" t="str">
            <v>LC</v>
          </cell>
          <cell r="D542" t="str">
            <v>SPB</v>
          </cell>
          <cell r="E542" t="str">
            <v>SAN</v>
          </cell>
          <cell r="F542" t="str">
            <v>COPASA</v>
          </cell>
          <cell r="G542" t="str">
            <v>Equipamentos para ETE-Arrudas</v>
          </cell>
          <cell r="H542">
            <v>2053272.5</v>
          </cell>
          <cell r="I542" t="str">
            <v>PE</v>
          </cell>
          <cell r="J542">
            <v>36523</v>
          </cell>
          <cell r="K542">
            <v>0</v>
          </cell>
          <cell r="L542">
            <v>0</v>
          </cell>
          <cell r="M542" t="str">
            <v>Perdemos</v>
          </cell>
        </row>
        <row r="543">
          <cell r="A543">
            <v>1999</v>
          </cell>
          <cell r="B543" t="str">
            <v>SE</v>
          </cell>
          <cell r="C543" t="str">
            <v>CP</v>
          </cell>
          <cell r="E543" t="str">
            <v>ENE</v>
          </cell>
          <cell r="F543" t="str">
            <v>TELEMAR RJ</v>
          </cell>
          <cell r="G543" t="str">
            <v>Implantação e Manutenção de Redes no RJ - Lote 3</v>
          </cell>
          <cell r="H543">
            <v>1305500.0000000002</v>
          </cell>
          <cell r="I543" t="str">
            <v>PE</v>
          </cell>
          <cell r="J543">
            <v>36523</v>
          </cell>
          <cell r="K543">
            <v>1</v>
          </cell>
          <cell r="L543">
            <v>1</v>
          </cell>
          <cell r="M543" t="str">
            <v>AG - 1º Lugar - AG-70% e INFRACOM-30%</v>
          </cell>
        </row>
        <row r="544">
          <cell r="A544">
            <v>1999</v>
          </cell>
          <cell r="B544" t="str">
            <v>SE</v>
          </cell>
          <cell r="C544" t="str">
            <v>CP</v>
          </cell>
          <cell r="E544" t="str">
            <v>ENE</v>
          </cell>
          <cell r="F544" t="str">
            <v>TELEMAR RJ</v>
          </cell>
          <cell r="G544" t="str">
            <v>Implantação e Manutenção de Redes no RJ - Lote 8</v>
          </cell>
          <cell r="H544">
            <v>2534000.0000000005</v>
          </cell>
          <cell r="I544" t="str">
            <v>PE</v>
          </cell>
          <cell r="J544">
            <v>36523</v>
          </cell>
          <cell r="K544">
            <v>0</v>
          </cell>
          <cell r="L544">
            <v>0</v>
          </cell>
          <cell r="M544" t="str">
            <v>Perdemos</v>
          </cell>
        </row>
        <row r="545">
          <cell r="A545">
            <v>1999</v>
          </cell>
          <cell r="B545" t="str">
            <v>SE</v>
          </cell>
          <cell r="C545" t="str">
            <v>CP</v>
          </cell>
          <cell r="E545" t="str">
            <v>ENE</v>
          </cell>
          <cell r="F545" t="str">
            <v>TELEMAR RJ</v>
          </cell>
          <cell r="G545" t="str">
            <v>Implantação e Manutenção de Redes no RJ - Lote 9</v>
          </cell>
          <cell r="H545">
            <v>4013100.0000000005</v>
          </cell>
          <cell r="I545" t="str">
            <v>PE</v>
          </cell>
          <cell r="J545">
            <v>36523</v>
          </cell>
          <cell r="K545">
            <v>0</v>
          </cell>
          <cell r="L545">
            <v>0</v>
          </cell>
          <cell r="M545" t="str">
            <v>Perdemos</v>
          </cell>
        </row>
        <row r="546">
          <cell r="A546">
            <v>1999</v>
          </cell>
          <cell r="B546" t="str">
            <v>SE</v>
          </cell>
          <cell r="C546" t="str">
            <v>CP</v>
          </cell>
          <cell r="E546" t="str">
            <v>ENE</v>
          </cell>
          <cell r="F546" t="str">
            <v>TELEMAR RJ</v>
          </cell>
          <cell r="G546" t="str">
            <v>Implantação e Manutenção de Redes no RJ - Lote 10</v>
          </cell>
          <cell r="H546">
            <v>5011300.0000000009</v>
          </cell>
          <cell r="I546" t="str">
            <v>PE</v>
          </cell>
          <cell r="J546">
            <v>36523</v>
          </cell>
          <cell r="K546">
            <v>0</v>
          </cell>
          <cell r="L546">
            <v>0</v>
          </cell>
          <cell r="M546" t="str">
            <v>Perdemos</v>
          </cell>
        </row>
        <row r="547">
          <cell r="A547">
            <v>1999</v>
          </cell>
          <cell r="B547" t="str">
            <v>SE</v>
          </cell>
          <cell r="C547" t="str">
            <v>CP</v>
          </cell>
          <cell r="E547" t="str">
            <v>ENE</v>
          </cell>
          <cell r="F547" t="str">
            <v>TELEMAR RJ</v>
          </cell>
          <cell r="G547" t="str">
            <v>Implantação e Manutenção de Redes no RJ - Lote 11</v>
          </cell>
          <cell r="H547">
            <v>5628700.0000000009</v>
          </cell>
          <cell r="I547" t="str">
            <v>PE</v>
          </cell>
          <cell r="J547">
            <v>36523</v>
          </cell>
          <cell r="K547">
            <v>1</v>
          </cell>
          <cell r="L547">
            <v>1</v>
          </cell>
          <cell r="M547" t="str">
            <v>AG - 1º Lugar - AG-70% e INFRACOM-30%</v>
          </cell>
        </row>
        <row r="548">
          <cell r="A548">
            <v>1999</v>
          </cell>
          <cell r="B548" t="str">
            <v>SE</v>
          </cell>
          <cell r="C548" t="str">
            <v>CP</v>
          </cell>
          <cell r="E548" t="str">
            <v>ENE</v>
          </cell>
          <cell r="F548" t="str">
            <v>TELEMAR RJ</v>
          </cell>
          <cell r="G548" t="str">
            <v>Implantação e Manutenção de Redes no RJ - Lote 12</v>
          </cell>
          <cell r="H548">
            <v>4403000</v>
          </cell>
          <cell r="I548" t="str">
            <v>PE</v>
          </cell>
          <cell r="J548">
            <v>36523</v>
          </cell>
          <cell r="K548">
            <v>1</v>
          </cell>
          <cell r="L548">
            <v>1</v>
          </cell>
          <cell r="M548" t="str">
            <v>AG - 1º Lugar - AG-70% e INFRACOM-30%</v>
          </cell>
        </row>
        <row r="549">
          <cell r="A549">
            <v>1999</v>
          </cell>
          <cell r="B549" t="str">
            <v>SE</v>
          </cell>
          <cell r="C549" t="str">
            <v>CP</v>
          </cell>
          <cell r="E549" t="str">
            <v>ENE</v>
          </cell>
          <cell r="F549" t="str">
            <v>TELEMAR RJ</v>
          </cell>
          <cell r="G549" t="str">
            <v>Implantação e Manutenção de Redes no RJ - Lote 13</v>
          </cell>
          <cell r="H549">
            <v>4920300.0000000009</v>
          </cell>
          <cell r="I549" t="str">
            <v>PE</v>
          </cell>
          <cell r="J549">
            <v>36523</v>
          </cell>
          <cell r="K549">
            <v>0</v>
          </cell>
          <cell r="L549">
            <v>0</v>
          </cell>
          <cell r="M549" t="str">
            <v>Perdemos</v>
          </cell>
        </row>
        <row r="550">
          <cell r="A550">
            <v>1999</v>
          </cell>
          <cell r="B550" t="str">
            <v>SE</v>
          </cell>
          <cell r="C550" t="str">
            <v>CP</v>
          </cell>
          <cell r="E550" t="str">
            <v>ENE</v>
          </cell>
          <cell r="F550" t="str">
            <v>TELEMAR RJ</v>
          </cell>
          <cell r="G550" t="str">
            <v>Implantação e Manutenção de Redes no RJ - Lote 19</v>
          </cell>
          <cell r="H550">
            <v>1786400.0000000002</v>
          </cell>
          <cell r="I550" t="str">
            <v>PE</v>
          </cell>
          <cell r="J550">
            <v>36523</v>
          </cell>
          <cell r="K550">
            <v>0</v>
          </cell>
          <cell r="L550">
            <v>0</v>
          </cell>
          <cell r="M550" t="str">
            <v>Perdemos</v>
          </cell>
        </row>
        <row r="551">
          <cell r="A551">
            <v>1999</v>
          </cell>
          <cell r="B551" t="str">
            <v>SE</v>
          </cell>
          <cell r="C551" t="str">
            <v>CP</v>
          </cell>
          <cell r="E551" t="str">
            <v>ENE</v>
          </cell>
          <cell r="F551" t="str">
            <v>TELEMAR RJ</v>
          </cell>
          <cell r="G551" t="str">
            <v>Implantação e Manutenção de Redes no RJ - Lote 20</v>
          </cell>
          <cell r="H551">
            <v>2284100</v>
          </cell>
          <cell r="I551" t="str">
            <v>PE</v>
          </cell>
          <cell r="J551">
            <v>36523</v>
          </cell>
          <cell r="K551">
            <v>0</v>
          </cell>
          <cell r="L551">
            <v>0</v>
          </cell>
          <cell r="M551" t="str">
            <v>Perdemos</v>
          </cell>
        </row>
        <row r="552">
          <cell r="A552">
            <v>1999</v>
          </cell>
          <cell r="B552" t="str">
            <v>SE</v>
          </cell>
          <cell r="C552" t="str">
            <v>CP</v>
          </cell>
          <cell r="E552" t="str">
            <v>ENE</v>
          </cell>
          <cell r="F552" t="str">
            <v>TELEMAR RJ</v>
          </cell>
          <cell r="G552" t="str">
            <v>Implantação e Manutenção de Redes no RJ - Lote 21</v>
          </cell>
          <cell r="H552">
            <v>1127700</v>
          </cell>
          <cell r="I552" t="str">
            <v>PE</v>
          </cell>
          <cell r="J552">
            <v>36523</v>
          </cell>
          <cell r="K552">
            <v>0</v>
          </cell>
          <cell r="L552">
            <v>0</v>
          </cell>
          <cell r="M552" t="str">
            <v>Perdemos</v>
          </cell>
        </row>
        <row r="553">
          <cell r="A553">
            <v>1999</v>
          </cell>
          <cell r="B553" t="str">
            <v>SE</v>
          </cell>
          <cell r="C553" t="str">
            <v>CP</v>
          </cell>
          <cell r="E553" t="str">
            <v>ENE</v>
          </cell>
          <cell r="F553" t="str">
            <v>TELEMAR RJ</v>
          </cell>
          <cell r="G553" t="str">
            <v>Implantação e Manutenção de Redes no RJ - Lote 22</v>
          </cell>
          <cell r="H553">
            <v>4486300</v>
          </cell>
          <cell r="I553" t="str">
            <v>PE</v>
          </cell>
          <cell r="J553">
            <v>36523</v>
          </cell>
          <cell r="K553">
            <v>1</v>
          </cell>
          <cell r="L553">
            <v>1</v>
          </cell>
          <cell r="M553" t="str">
            <v>AG - 1º Lugar - AG-70% e INFRACOM-30%</v>
          </cell>
        </row>
        <row r="554">
          <cell r="A554">
            <v>1999</v>
          </cell>
          <cell r="B554" t="str">
            <v>SE</v>
          </cell>
          <cell r="C554" t="str">
            <v>CP</v>
          </cell>
          <cell r="E554" t="str">
            <v>ENE</v>
          </cell>
          <cell r="F554" t="str">
            <v>TELEMAR RJ</v>
          </cell>
          <cell r="G554" t="str">
            <v>Implantação e Manutenção de Redes no RJ - Lote 23</v>
          </cell>
          <cell r="H554">
            <v>4494700</v>
          </cell>
          <cell r="I554" t="str">
            <v>PE</v>
          </cell>
          <cell r="J554">
            <v>36523</v>
          </cell>
          <cell r="K554">
            <v>1</v>
          </cell>
          <cell r="L554">
            <v>1</v>
          </cell>
          <cell r="M554" t="str">
            <v>AG - 1º Lugar - AG-70% e INFRACOM-30%</v>
          </cell>
        </row>
        <row r="555">
          <cell r="A555">
            <v>1999</v>
          </cell>
          <cell r="B555" t="str">
            <v>SE</v>
          </cell>
          <cell r="C555" t="str">
            <v>CP</v>
          </cell>
          <cell r="E555" t="str">
            <v>ENE</v>
          </cell>
          <cell r="F555" t="str">
            <v>TELEMAR RJ</v>
          </cell>
          <cell r="G555" t="str">
            <v>Implantação e Manutenção de Redes no RJ - Lote 24</v>
          </cell>
          <cell r="H555">
            <v>2617300.0000000005</v>
          </cell>
          <cell r="I555" t="str">
            <v>PE</v>
          </cell>
          <cell r="J555">
            <v>36523</v>
          </cell>
          <cell r="K555">
            <v>0</v>
          </cell>
          <cell r="L555">
            <v>0</v>
          </cell>
          <cell r="M555" t="str">
            <v>Perdemos</v>
          </cell>
        </row>
        <row r="556">
          <cell r="A556">
            <v>1999</v>
          </cell>
          <cell r="B556" t="str">
            <v>SE</v>
          </cell>
          <cell r="C556" t="str">
            <v>CP</v>
          </cell>
          <cell r="E556" t="str">
            <v>ENE</v>
          </cell>
          <cell r="F556" t="str">
            <v>TELEMAR RJ</v>
          </cell>
          <cell r="G556" t="str">
            <v>Implantação e Manutenção de Redes no RJ - Lote 25</v>
          </cell>
          <cell r="H556">
            <v>2445800</v>
          </cell>
          <cell r="I556" t="str">
            <v>PE</v>
          </cell>
          <cell r="J556">
            <v>36523</v>
          </cell>
          <cell r="K556">
            <v>0</v>
          </cell>
          <cell r="L556">
            <v>0</v>
          </cell>
          <cell r="M556" t="str">
            <v>Perdemos</v>
          </cell>
        </row>
        <row r="557">
          <cell r="A557">
            <v>2000</v>
          </cell>
          <cell r="B557" t="str">
            <v>SL</v>
          </cell>
          <cell r="C557" t="str">
            <v>NI</v>
          </cell>
          <cell r="D557" t="str">
            <v>TRAN</v>
          </cell>
          <cell r="E557" t="str">
            <v>AERO</v>
          </cell>
          <cell r="F557" t="str">
            <v>INFRAERO</v>
          </cell>
          <cell r="G557" t="str">
            <v>Infraestrutura do Aeroporto de Viracopos</v>
          </cell>
          <cell r="H557">
            <v>9053610</v>
          </cell>
          <cell r="I557" t="str">
            <v>PE</v>
          </cell>
          <cell r="J557">
            <v>36529</v>
          </cell>
          <cell r="K557">
            <v>0</v>
          </cell>
          <cell r="L557">
            <v>0</v>
          </cell>
          <cell r="M557" t="str">
            <v>Vencedora Talude Engª</v>
          </cell>
        </row>
        <row r="558">
          <cell r="A558">
            <v>2000</v>
          </cell>
          <cell r="B558" t="str">
            <v>NE</v>
          </cell>
          <cell r="C558" t="str">
            <v>NI</v>
          </cell>
          <cell r="D558" t="str">
            <v>TRAN</v>
          </cell>
          <cell r="E558" t="str">
            <v>AERO</v>
          </cell>
          <cell r="F558" t="str">
            <v>INFRAERO</v>
          </cell>
          <cell r="G558" t="str">
            <v>Ampliação da Pista de Pouso do Aeroporto de Natal</v>
          </cell>
          <cell r="H558">
            <v>4154290</v>
          </cell>
          <cell r="I558" t="str">
            <v>PE</v>
          </cell>
          <cell r="J558">
            <v>36535</v>
          </cell>
          <cell r="K558">
            <v>0</v>
          </cell>
          <cell r="L558">
            <v>0</v>
          </cell>
          <cell r="M558" t="str">
            <v>Vencedora EIT</v>
          </cell>
        </row>
        <row r="559">
          <cell r="A559">
            <v>2000</v>
          </cell>
          <cell r="B559" t="str">
            <v>SE</v>
          </cell>
          <cell r="C559" t="str">
            <v>CV</v>
          </cell>
          <cell r="D559" t="str">
            <v>TRAN</v>
          </cell>
          <cell r="E559" t="str">
            <v>RODO</v>
          </cell>
          <cell r="F559" t="str">
            <v>DER-MG</v>
          </cell>
          <cell r="G559" t="str">
            <v>Contorno Rodoviário de Lavras</v>
          </cell>
          <cell r="H559">
            <v>4524930</v>
          </cell>
          <cell r="I559" t="str">
            <v>PC</v>
          </cell>
          <cell r="J559">
            <v>36542</v>
          </cell>
          <cell r="K559">
            <v>0</v>
          </cell>
          <cell r="L559">
            <v>0</v>
          </cell>
          <cell r="M559" t="str">
            <v>Proposta de Cobertura</v>
          </cell>
        </row>
        <row r="560">
          <cell r="A560">
            <v>2000</v>
          </cell>
          <cell r="B560" t="str">
            <v>SE</v>
          </cell>
          <cell r="C560" t="str">
            <v>NP</v>
          </cell>
          <cell r="D560" t="str">
            <v>INBA</v>
          </cell>
          <cell r="E560" t="str">
            <v>SIDE</v>
          </cell>
          <cell r="F560" t="str">
            <v>CMM</v>
          </cell>
          <cell r="G560" t="str">
            <v>Construção da Fábrica em Três Marias</v>
          </cell>
          <cell r="H560">
            <v>4055030</v>
          </cell>
          <cell r="I560" t="str">
            <v>PE</v>
          </cell>
          <cell r="J560">
            <v>36553</v>
          </cell>
          <cell r="K560">
            <v>0</v>
          </cell>
          <cell r="L560">
            <v>0</v>
          </cell>
          <cell r="M560" t="str">
            <v>Atualização dos preços - Em julgamento</v>
          </cell>
        </row>
        <row r="561">
          <cell r="A561">
            <v>2000</v>
          </cell>
          <cell r="B561" t="str">
            <v>SE</v>
          </cell>
          <cell r="C561" t="str">
            <v>NP</v>
          </cell>
          <cell r="D561" t="str">
            <v>INBA</v>
          </cell>
          <cell r="E561" t="str">
            <v>MINE</v>
          </cell>
          <cell r="F561" t="str">
            <v>Ferteco</v>
          </cell>
          <cell r="G561" t="str">
            <v>Ramal Ferroviário do Córrego do Feijão</v>
          </cell>
          <cell r="H561">
            <v>7863476.8553814311</v>
          </cell>
          <cell r="I561" t="str">
            <v>PE</v>
          </cell>
          <cell r="J561">
            <v>36560</v>
          </cell>
          <cell r="K561">
            <v>1</v>
          </cell>
          <cell r="L561">
            <v>1</v>
          </cell>
          <cell r="M561" t="str">
            <v>AG - 1º Lugar</v>
          </cell>
        </row>
        <row r="562">
          <cell r="A562">
            <v>2000</v>
          </cell>
          <cell r="B562" t="str">
            <v>SL</v>
          </cell>
          <cell r="C562" t="str">
            <v>PM</v>
          </cell>
          <cell r="D562" t="str">
            <v>TRAN</v>
          </cell>
          <cell r="E562" t="str">
            <v>RODO</v>
          </cell>
          <cell r="F562" t="str">
            <v>PM Florianópolis</v>
          </cell>
          <cell r="G562" t="str">
            <v>Complexo Viário Rita Maria</v>
          </cell>
          <cell r="H562">
            <v>1974795</v>
          </cell>
          <cell r="I562" t="str">
            <v>PE</v>
          </cell>
          <cell r="J562">
            <v>36557</v>
          </cell>
          <cell r="K562">
            <v>0</v>
          </cell>
          <cell r="L562">
            <v>0</v>
          </cell>
          <cell r="M562" t="str">
            <v>Vencedora CESBE - AG ficou em 2º Lugar - AG/CNO-50% cada</v>
          </cell>
        </row>
        <row r="563">
          <cell r="A563">
            <v>2000</v>
          </cell>
          <cell r="B563" t="str">
            <v>NE</v>
          </cell>
          <cell r="C563" t="str">
            <v>CQ</v>
          </cell>
          <cell r="D563" t="str">
            <v>SAMA</v>
          </cell>
          <cell r="E563" t="str">
            <v>SABA</v>
          </cell>
          <cell r="F563" t="str">
            <v>EMBASA</v>
          </cell>
          <cell r="G563" t="str">
            <v>Bacia do Alto Pituaçu</v>
          </cell>
          <cell r="H563">
            <v>10345540</v>
          </cell>
          <cell r="I563" t="str">
            <v>PE</v>
          </cell>
          <cell r="J563">
            <v>36560</v>
          </cell>
          <cell r="K563">
            <v>0</v>
          </cell>
          <cell r="L563">
            <v>0</v>
          </cell>
          <cell r="M563" t="str">
            <v>Perdemos</v>
          </cell>
        </row>
        <row r="564">
          <cell r="A564">
            <v>2000</v>
          </cell>
          <cell r="B564" t="str">
            <v>TC</v>
          </cell>
          <cell r="C564" t="str">
            <v>CP</v>
          </cell>
          <cell r="D564" t="str">
            <v>TELE</v>
          </cell>
          <cell r="E564">
            <v>0</v>
          </cell>
          <cell r="F564" t="str">
            <v>TELEMAR - BA</v>
          </cell>
          <cell r="G564" t="str">
            <v>Instalação e Manutenção da Rede de Acesso da BA e SE-Lote 1</v>
          </cell>
          <cell r="H564">
            <v>8961680</v>
          </cell>
          <cell r="I564" t="str">
            <v>PE</v>
          </cell>
          <cell r="J564">
            <v>36598</v>
          </cell>
          <cell r="K564">
            <v>0</v>
          </cell>
          <cell r="L564">
            <v>0</v>
          </cell>
          <cell r="M564" t="str">
            <v>Perdemos</v>
          </cell>
        </row>
        <row r="565">
          <cell r="A565">
            <v>2000</v>
          </cell>
          <cell r="B565" t="str">
            <v>TC</v>
          </cell>
          <cell r="C565" t="str">
            <v>CP</v>
          </cell>
          <cell r="D565" t="str">
            <v>TELE</v>
          </cell>
          <cell r="E565">
            <v>0</v>
          </cell>
          <cell r="F565" t="str">
            <v>TELEMAR - BA</v>
          </cell>
          <cell r="G565" t="str">
            <v>Instalação e Manutenção da Rede de Acesso da BA e SE-Lote 2</v>
          </cell>
          <cell r="H565">
            <v>7917790</v>
          </cell>
          <cell r="I565" t="str">
            <v>PE</v>
          </cell>
          <cell r="J565">
            <v>36598</v>
          </cell>
          <cell r="K565">
            <v>0</v>
          </cell>
          <cell r="L565">
            <v>0</v>
          </cell>
          <cell r="M565" t="str">
            <v>Perdemos</v>
          </cell>
        </row>
        <row r="566">
          <cell r="A566">
            <v>2000</v>
          </cell>
          <cell r="B566" t="str">
            <v>TC</v>
          </cell>
          <cell r="C566" t="str">
            <v>CP</v>
          </cell>
          <cell r="D566" t="str">
            <v>TELE</v>
          </cell>
          <cell r="E566">
            <v>0</v>
          </cell>
          <cell r="F566" t="str">
            <v>TELEMAR - BA</v>
          </cell>
          <cell r="G566" t="str">
            <v>Instalação e Manutenção da Rede de Acesso da BA e SE-Lote 3</v>
          </cell>
          <cell r="H566">
            <v>7947320</v>
          </cell>
          <cell r="I566" t="str">
            <v>PE</v>
          </cell>
          <cell r="J566">
            <v>36598</v>
          </cell>
          <cell r="K566">
            <v>0</v>
          </cell>
          <cell r="L566">
            <v>0</v>
          </cell>
          <cell r="M566" t="str">
            <v>Perdemos</v>
          </cell>
        </row>
        <row r="567">
          <cell r="A567">
            <v>2000</v>
          </cell>
          <cell r="B567" t="str">
            <v>TC</v>
          </cell>
          <cell r="C567" t="str">
            <v>CP</v>
          </cell>
          <cell r="D567" t="str">
            <v>TELE</v>
          </cell>
          <cell r="E567">
            <v>0</v>
          </cell>
          <cell r="F567" t="str">
            <v>TELEMAR - BA</v>
          </cell>
          <cell r="G567" t="str">
            <v>Instalação e Manutenção da Rede de Acesso da BA e SE-Lote 4</v>
          </cell>
          <cell r="H567">
            <v>8552310</v>
          </cell>
          <cell r="I567" t="str">
            <v>PE</v>
          </cell>
          <cell r="J567">
            <v>36598</v>
          </cell>
          <cell r="K567">
            <v>0</v>
          </cell>
          <cell r="L567">
            <v>0</v>
          </cell>
          <cell r="M567" t="str">
            <v>Perdemos</v>
          </cell>
        </row>
        <row r="568">
          <cell r="A568">
            <v>2000</v>
          </cell>
          <cell r="B568" t="str">
            <v>TC</v>
          </cell>
          <cell r="C568" t="str">
            <v>CP</v>
          </cell>
          <cell r="D568" t="str">
            <v>TELE</v>
          </cell>
          <cell r="E568">
            <v>0</v>
          </cell>
          <cell r="F568" t="str">
            <v>TELEMAR - BA</v>
          </cell>
          <cell r="G568" t="str">
            <v>Instalação e Manutenção da Rede de Acesso da BA e SE-Lote 5</v>
          </cell>
          <cell r="H568">
            <v>10201150</v>
          </cell>
          <cell r="I568" t="str">
            <v>PE</v>
          </cell>
          <cell r="J568">
            <v>36598</v>
          </cell>
          <cell r="K568">
            <v>0</v>
          </cell>
          <cell r="L568">
            <v>0</v>
          </cell>
          <cell r="M568" t="str">
            <v>Perdemos</v>
          </cell>
        </row>
        <row r="569">
          <cell r="A569">
            <v>2000</v>
          </cell>
          <cell r="B569" t="str">
            <v>TC</v>
          </cell>
          <cell r="C569" t="str">
            <v>CP</v>
          </cell>
          <cell r="D569" t="str">
            <v>TELE</v>
          </cell>
          <cell r="E569">
            <v>0</v>
          </cell>
          <cell r="F569" t="str">
            <v>TELEMAR - BA</v>
          </cell>
          <cell r="G569" t="str">
            <v>Instalação e Manutenção da Rede de Acesso da BA e SE-Lote 9</v>
          </cell>
          <cell r="H569">
            <v>6882620</v>
          </cell>
          <cell r="I569" t="str">
            <v>PE</v>
          </cell>
          <cell r="J569">
            <v>36598</v>
          </cell>
          <cell r="K569">
            <v>0</v>
          </cell>
          <cell r="L569">
            <v>0</v>
          </cell>
          <cell r="M569" t="str">
            <v>Perdemos</v>
          </cell>
        </row>
        <row r="570">
          <cell r="A570">
            <v>2000</v>
          </cell>
          <cell r="B570" t="str">
            <v>NE</v>
          </cell>
          <cell r="C570" t="str">
            <v>MAA</v>
          </cell>
          <cell r="D570" t="str">
            <v>TRAN</v>
          </cell>
          <cell r="E570" t="str">
            <v>FERR</v>
          </cell>
          <cell r="F570" t="str">
            <v>VALEC</v>
          </cell>
          <cell r="G570" t="str">
            <v>Obras Ferroviárias entre Ribeirão Mosquito e Rio Campo Alegre</v>
          </cell>
          <cell r="H570">
            <v>8930340</v>
          </cell>
          <cell r="I570" t="str">
            <v>PE</v>
          </cell>
          <cell r="J570">
            <v>36598</v>
          </cell>
          <cell r="K570">
            <v>0</v>
          </cell>
          <cell r="L570">
            <v>0</v>
          </cell>
          <cell r="M570" t="str">
            <v>Em julgamento - Consórcio AG/CNO/CCCC</v>
          </cell>
        </row>
        <row r="571">
          <cell r="A571">
            <v>2000</v>
          </cell>
          <cell r="B571" t="str">
            <v>NE</v>
          </cell>
          <cell r="C571" t="str">
            <v>MRS</v>
          </cell>
          <cell r="D571" t="str">
            <v>INBA</v>
          </cell>
          <cell r="E571" t="str">
            <v>MINE</v>
          </cell>
          <cell r="F571" t="str">
            <v>CVRD</v>
          </cell>
          <cell r="G571" t="str">
            <v>Terraplenagem e Drenagem dos Pátios A, B, C, D e F</v>
          </cell>
          <cell r="H571">
            <v>7004110</v>
          </cell>
          <cell r="I571" t="str">
            <v>PE</v>
          </cell>
          <cell r="J571">
            <v>36615</v>
          </cell>
          <cell r="K571">
            <v>0</v>
          </cell>
          <cell r="L571">
            <v>0</v>
          </cell>
          <cell r="M571" t="str">
            <v>Em julgamento</v>
          </cell>
        </row>
        <row r="572">
          <cell r="A572">
            <v>2000</v>
          </cell>
          <cell r="B572" t="str">
            <v>NE</v>
          </cell>
          <cell r="C572" t="str">
            <v>CQ</v>
          </cell>
          <cell r="D572" t="str">
            <v>TRAN</v>
          </cell>
          <cell r="E572" t="str">
            <v>RODO</v>
          </cell>
          <cell r="F572" t="str">
            <v>DERBA</v>
          </cell>
          <cell r="G572" t="str">
            <v>Rodovia BA-891 - Lote 1</v>
          </cell>
          <cell r="H572">
            <v>6603310</v>
          </cell>
          <cell r="I572" t="str">
            <v>PE</v>
          </cell>
          <cell r="J572">
            <v>36587</v>
          </cell>
          <cell r="K572">
            <v>0</v>
          </cell>
          <cell r="L572">
            <v>0</v>
          </cell>
          <cell r="M572" t="str">
            <v>Proposta em acordo com CNO/OAS/QG</v>
          </cell>
        </row>
        <row r="573">
          <cell r="A573">
            <v>2000</v>
          </cell>
          <cell r="B573" t="str">
            <v>NE</v>
          </cell>
          <cell r="C573" t="str">
            <v>CQ</v>
          </cell>
          <cell r="D573" t="str">
            <v>TRAN</v>
          </cell>
          <cell r="E573" t="str">
            <v>RODO</v>
          </cell>
          <cell r="F573" t="str">
            <v>DERBA</v>
          </cell>
          <cell r="G573" t="str">
            <v>Rodovia BA-891 - Lote 2</v>
          </cell>
          <cell r="H573">
            <v>7247880</v>
          </cell>
          <cell r="I573" t="str">
            <v>PE</v>
          </cell>
          <cell r="J573">
            <v>36587</v>
          </cell>
          <cell r="K573">
            <v>0</v>
          </cell>
          <cell r="L573">
            <v>0</v>
          </cell>
          <cell r="M573" t="str">
            <v>Proposta em acordo com CNO/OAS/QG</v>
          </cell>
        </row>
        <row r="574">
          <cell r="A574">
            <v>2000</v>
          </cell>
          <cell r="B574" t="str">
            <v>NE</v>
          </cell>
          <cell r="C574" t="str">
            <v>CQ</v>
          </cell>
          <cell r="D574" t="str">
            <v>TRAN</v>
          </cell>
          <cell r="E574" t="str">
            <v>RODO</v>
          </cell>
          <cell r="F574" t="str">
            <v>DERBA</v>
          </cell>
          <cell r="G574" t="str">
            <v>Rodovia BA-549 - Lote 1</v>
          </cell>
          <cell r="H574">
            <v>5934530</v>
          </cell>
          <cell r="I574" t="str">
            <v>PE</v>
          </cell>
          <cell r="J574">
            <v>36587</v>
          </cell>
          <cell r="K574">
            <v>0</v>
          </cell>
          <cell r="L574">
            <v>0</v>
          </cell>
          <cell r="M574" t="str">
            <v>Proposta em acordo com CNO/OAS/QG</v>
          </cell>
        </row>
        <row r="575">
          <cell r="A575">
            <v>2000</v>
          </cell>
          <cell r="B575" t="str">
            <v>NE</v>
          </cell>
          <cell r="C575" t="str">
            <v>CQ</v>
          </cell>
          <cell r="D575" t="str">
            <v>TRAN</v>
          </cell>
          <cell r="E575" t="str">
            <v>RODO</v>
          </cell>
          <cell r="F575" t="str">
            <v>DERBA</v>
          </cell>
          <cell r="G575" t="str">
            <v>Rodovia BA-549 - Lote 2</v>
          </cell>
          <cell r="H575">
            <v>3900000</v>
          </cell>
          <cell r="I575" t="str">
            <v>PE</v>
          </cell>
          <cell r="J575">
            <v>36587</v>
          </cell>
          <cell r="K575">
            <v>1</v>
          </cell>
          <cell r="L575">
            <v>1</v>
          </cell>
          <cell r="M575" t="str">
            <v>Proposta em acordo com CNO/OAS/QG-Parte AG no processo</v>
          </cell>
        </row>
        <row r="576">
          <cell r="A576">
            <v>2000</v>
          </cell>
          <cell r="B576" t="str">
            <v>SE</v>
          </cell>
          <cell r="C576" t="str">
            <v>NP</v>
          </cell>
          <cell r="D576" t="str">
            <v>IMOB</v>
          </cell>
          <cell r="E576">
            <v>0</v>
          </cell>
          <cell r="F576" t="str">
            <v>BEPREM</v>
          </cell>
          <cell r="G576" t="str">
            <v>Lagoa Acqua Park</v>
          </cell>
          <cell r="H576">
            <v>1114290</v>
          </cell>
          <cell r="I576" t="str">
            <v>PE</v>
          </cell>
          <cell r="J576">
            <v>36599</v>
          </cell>
          <cell r="K576">
            <v>1</v>
          </cell>
          <cell r="L576">
            <v>1</v>
          </cell>
          <cell r="M576" t="str">
            <v>AG - 1º Lugar</v>
          </cell>
        </row>
        <row r="577">
          <cell r="A577">
            <v>2000</v>
          </cell>
          <cell r="B577" t="str">
            <v>SL</v>
          </cell>
          <cell r="C577" t="str">
            <v>ER</v>
          </cell>
          <cell r="D577" t="str">
            <v>TELE</v>
          </cell>
          <cell r="E577">
            <v>0</v>
          </cell>
          <cell r="F577" t="str">
            <v>Petrobrás</v>
          </cell>
          <cell r="G577" t="str">
            <v>Cabos de Fibra Óptica entre Paulínea e Araucária-Lote III</v>
          </cell>
          <cell r="H577">
            <v>10929025</v>
          </cell>
          <cell r="I577" t="str">
            <v>PE</v>
          </cell>
          <cell r="J577">
            <v>36598</v>
          </cell>
          <cell r="K577">
            <v>0</v>
          </cell>
          <cell r="L577">
            <v>0</v>
          </cell>
          <cell r="M577" t="str">
            <v>Perdemos</v>
          </cell>
        </row>
        <row r="578">
          <cell r="A578">
            <v>2000</v>
          </cell>
          <cell r="B578" t="str">
            <v>SL</v>
          </cell>
          <cell r="C578" t="str">
            <v>ER</v>
          </cell>
          <cell r="D578" t="str">
            <v>TELE</v>
          </cell>
          <cell r="E578">
            <v>0</v>
          </cell>
          <cell r="F578" t="str">
            <v>Petrobrás</v>
          </cell>
          <cell r="G578" t="str">
            <v>Cabos de Fibra Óptica entre Biguaçu e Joinvile-Lotes IV e IVA</v>
          </cell>
          <cell r="H578">
            <v>10648084</v>
          </cell>
          <cell r="I578" t="str">
            <v>PE</v>
          </cell>
          <cell r="J578">
            <v>36598</v>
          </cell>
          <cell r="K578">
            <v>0</v>
          </cell>
          <cell r="L578">
            <v>0</v>
          </cell>
          <cell r="M578" t="str">
            <v>Perdemos</v>
          </cell>
        </row>
        <row r="579">
          <cell r="A579">
            <v>2000</v>
          </cell>
          <cell r="B579" t="str">
            <v>SL</v>
          </cell>
          <cell r="C579" t="str">
            <v>ER</v>
          </cell>
          <cell r="D579" t="str">
            <v>TELE</v>
          </cell>
          <cell r="E579">
            <v>0</v>
          </cell>
          <cell r="F579" t="str">
            <v>Petrobrás</v>
          </cell>
          <cell r="G579" t="str">
            <v>Cabos de Fibra Óptica entre Biguaçu e Canoas-Lote V</v>
          </cell>
          <cell r="H579">
            <v>11704301</v>
          </cell>
          <cell r="I579" t="str">
            <v>PE</v>
          </cell>
          <cell r="J579">
            <v>36598</v>
          </cell>
          <cell r="K579">
            <v>0</v>
          </cell>
          <cell r="L579">
            <v>0</v>
          </cell>
          <cell r="M579" t="str">
            <v>Perdemos</v>
          </cell>
        </row>
        <row r="580">
          <cell r="A580">
            <v>2000</v>
          </cell>
          <cell r="B580" t="str">
            <v>SL</v>
          </cell>
          <cell r="C580" t="str">
            <v>ER</v>
          </cell>
          <cell r="D580" t="str">
            <v>IND</v>
          </cell>
          <cell r="E580" t="str">
            <v>OUTR</v>
          </cell>
          <cell r="F580" t="str">
            <v>Placas do PR</v>
          </cell>
          <cell r="G580" t="str">
            <v>Infraestrutura Industrial e Obras Complementares</v>
          </cell>
          <cell r="H580">
            <v>4056000</v>
          </cell>
          <cell r="I580" t="str">
            <v>PC</v>
          </cell>
          <cell r="J580">
            <v>36609</v>
          </cell>
          <cell r="K580">
            <v>0</v>
          </cell>
          <cell r="L580">
            <v>0</v>
          </cell>
          <cell r="M580" t="str">
            <v>Proposta de Cobertura para a CESBE</v>
          </cell>
        </row>
        <row r="581">
          <cell r="A581">
            <v>2000</v>
          </cell>
          <cell r="B581" t="str">
            <v>SE</v>
          </cell>
          <cell r="C581" t="str">
            <v>CV</v>
          </cell>
          <cell r="D581" t="str">
            <v>TRAN</v>
          </cell>
          <cell r="E581" t="str">
            <v>RODO</v>
          </cell>
          <cell r="F581" t="str">
            <v>DNER</v>
          </cell>
          <cell r="G581" t="str">
            <v>Variante da Região do Viaduto Vila Rica</v>
          </cell>
          <cell r="H581">
            <v>8701970</v>
          </cell>
          <cell r="I581" t="str">
            <v>PC</v>
          </cell>
          <cell r="J581">
            <v>36657</v>
          </cell>
          <cell r="K581">
            <v>0</v>
          </cell>
          <cell r="L581">
            <v>0</v>
          </cell>
          <cell r="M581" t="str">
            <v>Proposta de Cobertura para a CCCC</v>
          </cell>
        </row>
        <row r="582">
          <cell r="A582">
            <v>2000</v>
          </cell>
          <cell r="B582" t="str">
            <v>SL</v>
          </cell>
          <cell r="C582" t="str">
            <v>XXX</v>
          </cell>
          <cell r="D582" t="str">
            <v>TRAN</v>
          </cell>
          <cell r="E582" t="str">
            <v>RODO</v>
          </cell>
          <cell r="F582" t="str">
            <v>RODONORTE</v>
          </cell>
          <cell r="G582" t="str">
            <v>BR-376- Trecho Mauá da Serra/Serra do Cadeado</v>
          </cell>
          <cell r="H582">
            <v>1690140</v>
          </cell>
          <cell r="I582" t="str">
            <v>PNE</v>
          </cell>
          <cell r="J582">
            <v>36649</v>
          </cell>
          <cell r="K582">
            <v>0</v>
          </cell>
          <cell r="L582">
            <v>0</v>
          </cell>
          <cell r="M582" t="str">
            <v>Proposta não entregue, devido as solicitações do cliente</v>
          </cell>
        </row>
        <row r="583">
          <cell r="A583">
            <v>2000</v>
          </cell>
          <cell r="B583" t="str">
            <v>TC</v>
          </cell>
          <cell r="C583" t="str">
            <v>CP</v>
          </cell>
          <cell r="D583" t="str">
            <v>TELE</v>
          </cell>
          <cell r="F583" t="str">
            <v>TELEMAR</v>
          </cell>
          <cell r="G583" t="str">
            <v>Rota Óptica Estreito / Balsas - MA</v>
          </cell>
          <cell r="H583">
            <v>1851890</v>
          </cell>
          <cell r="I583" t="str">
            <v>PE</v>
          </cell>
          <cell r="J583">
            <v>36648</v>
          </cell>
          <cell r="K583">
            <v>0</v>
          </cell>
          <cell r="L583">
            <v>0</v>
          </cell>
          <cell r="M583" t="str">
            <v>Licitação Cancelada - A Telemar vai utiluizar satélite</v>
          </cell>
        </row>
        <row r="584">
          <cell r="A584">
            <v>2000</v>
          </cell>
          <cell r="B584" t="str">
            <v>NE</v>
          </cell>
          <cell r="C584" t="str">
            <v>MAA</v>
          </cell>
          <cell r="D584" t="str">
            <v>TRAN</v>
          </cell>
          <cell r="E584" t="str">
            <v>FERR</v>
          </cell>
          <cell r="F584" t="str">
            <v>VALEC</v>
          </cell>
          <cell r="G584" t="str">
            <v>Infraestrutura Ferroviária entre Senador Canedo a Porangatú</v>
          </cell>
          <cell r="H584">
            <v>4846340</v>
          </cell>
          <cell r="I584" t="str">
            <v>PE</v>
          </cell>
          <cell r="J584">
            <v>36696</v>
          </cell>
          <cell r="K584">
            <v>0</v>
          </cell>
          <cell r="L584">
            <v>0</v>
          </cell>
          <cell r="M584" t="str">
            <v>Proposta entregue em nome da CNO. Consórcio AG/CCCC/CNO</v>
          </cell>
        </row>
        <row r="585">
          <cell r="A585">
            <v>2000</v>
          </cell>
          <cell r="B585" t="str">
            <v>SE</v>
          </cell>
          <cell r="C585" t="str">
            <v>AS</v>
          </cell>
          <cell r="D585" t="str">
            <v>TRAN</v>
          </cell>
          <cell r="E585" t="str">
            <v>RODO</v>
          </cell>
          <cell r="F585" t="str">
            <v>DER-ES</v>
          </cell>
          <cell r="G585" t="str">
            <v>Variante Ferroviária Flexal-Viana</v>
          </cell>
          <cell r="H585">
            <v>16967850</v>
          </cell>
          <cell r="I585" t="str">
            <v>PC</v>
          </cell>
          <cell r="J585">
            <v>36718</v>
          </cell>
          <cell r="K585">
            <v>0</v>
          </cell>
          <cell r="L585">
            <v>0</v>
          </cell>
          <cell r="M585" t="str">
            <v>Proposta de Cobertura</v>
          </cell>
        </row>
        <row r="586">
          <cell r="A586">
            <v>2000</v>
          </cell>
          <cell r="B586" t="str">
            <v>NE</v>
          </cell>
          <cell r="C586" t="str">
            <v>LV</v>
          </cell>
          <cell r="D586" t="str">
            <v>TRAN</v>
          </cell>
          <cell r="E586" t="str">
            <v>AERO</v>
          </cell>
          <cell r="F586" t="str">
            <v>INFRAERO/GEP</v>
          </cell>
          <cell r="G586" t="str">
            <v>Pré-qualificação do Aeroporto de Recife</v>
          </cell>
          <cell r="H586">
            <v>0</v>
          </cell>
          <cell r="I586" t="str">
            <v>PE</v>
          </cell>
          <cell r="J586">
            <v>36710</v>
          </cell>
          <cell r="K586">
            <v>0</v>
          </cell>
          <cell r="L586">
            <v>0</v>
          </cell>
          <cell r="M586" t="str">
            <v>Proposta de Pré-qualificação</v>
          </cell>
        </row>
        <row r="587">
          <cell r="A587">
            <v>2000</v>
          </cell>
          <cell r="B587" t="str">
            <v>NE</v>
          </cell>
          <cell r="C587" t="str">
            <v>SL</v>
          </cell>
          <cell r="D587" t="str">
            <v>TRAN</v>
          </cell>
          <cell r="E587" t="str">
            <v>METR</v>
          </cell>
          <cell r="F587" t="str">
            <v>CBTU</v>
          </cell>
          <cell r="G587" t="str">
            <v>Infraestrutura do Metrô de Recife</v>
          </cell>
          <cell r="H587">
            <v>2032000</v>
          </cell>
          <cell r="I587" t="str">
            <v>PE</v>
          </cell>
          <cell r="J587">
            <v>36711</v>
          </cell>
          <cell r="K587">
            <v>1</v>
          </cell>
          <cell r="L587">
            <v>1</v>
          </cell>
          <cell r="M587" t="str">
            <v>Proposta de Acordo - AG Vencedora com mais 11 empresas</v>
          </cell>
        </row>
        <row r="588">
          <cell r="A588">
            <v>2000</v>
          </cell>
          <cell r="B588" t="str">
            <v>SL</v>
          </cell>
          <cell r="C588" t="str">
            <v>PM</v>
          </cell>
          <cell r="D588" t="str">
            <v>INDU</v>
          </cell>
          <cell r="E588" t="str">
            <v>OUTR</v>
          </cell>
          <cell r="F588" t="str">
            <v>CISA</v>
          </cell>
          <cell r="G588" t="str">
            <v>Edificações Administrativas e Fundações para Equipamentos</v>
          </cell>
          <cell r="H588">
            <v>5139490</v>
          </cell>
          <cell r="I588" t="str">
            <v>PE</v>
          </cell>
          <cell r="J588">
            <v>36713</v>
          </cell>
          <cell r="K588">
            <v>0</v>
          </cell>
          <cell r="L588">
            <v>0</v>
          </cell>
          <cell r="M588" t="str">
            <v>Proposta para UN SP</v>
          </cell>
        </row>
        <row r="589">
          <cell r="A589">
            <v>2000</v>
          </cell>
          <cell r="B589" t="str">
            <v>TC</v>
          </cell>
          <cell r="C589" t="str">
            <v>CP</v>
          </cell>
          <cell r="D589" t="str">
            <v>TELE</v>
          </cell>
          <cell r="F589" t="str">
            <v>BARRAMAR</v>
          </cell>
          <cell r="G589" t="str">
            <v>Rede de Dutos entre o Rio de Janeiro e Taubaté</v>
          </cell>
          <cell r="H589">
            <v>5875551.7596062673</v>
          </cell>
          <cell r="I589" t="str">
            <v>PE</v>
          </cell>
          <cell r="J589">
            <v>36731</v>
          </cell>
          <cell r="M589" t="str">
            <v>Em julgamento</v>
          </cell>
        </row>
        <row r="590">
          <cell r="A590">
            <v>2000</v>
          </cell>
          <cell r="B590" t="str">
            <v>NE</v>
          </cell>
          <cell r="C590" t="str">
            <v>CQ</v>
          </cell>
          <cell r="D590" t="str">
            <v>SAMA</v>
          </cell>
          <cell r="E590" t="str">
            <v>IRR</v>
          </cell>
          <cell r="F590" t="str">
            <v>CODEVASF</v>
          </cell>
          <cell r="G590" t="str">
            <v>Obras Civis da Barragem de Poço Magro</v>
          </cell>
          <cell r="H590">
            <v>3563550</v>
          </cell>
          <cell r="I590" t="str">
            <v>PC</v>
          </cell>
          <cell r="J590">
            <v>36761</v>
          </cell>
          <cell r="K590">
            <v>0</v>
          </cell>
          <cell r="L590">
            <v>0</v>
          </cell>
          <cell r="M590" t="str">
            <v>Proposta de Cobertura</v>
          </cell>
        </row>
        <row r="591">
          <cell r="A591">
            <v>2000</v>
          </cell>
          <cell r="B591" t="str">
            <v>NE</v>
          </cell>
          <cell r="C591" t="str">
            <v>MRS</v>
          </cell>
          <cell r="D591" t="str">
            <v>TRAN</v>
          </cell>
          <cell r="E591" t="str">
            <v>RODO</v>
          </cell>
          <cell r="F591" t="str">
            <v>DER-MA</v>
          </cell>
          <cell r="G591" t="str">
            <v>MA-206 - Entroncamento BR-316/Vila Piritina - Caratupera</v>
          </cell>
          <cell r="H591">
            <v>5925820</v>
          </cell>
          <cell r="I591" t="str">
            <v>PE</v>
          </cell>
          <cell r="J591">
            <v>36755</v>
          </cell>
          <cell r="M591" t="str">
            <v>Em julgamento</v>
          </cell>
        </row>
        <row r="592">
          <cell r="A592">
            <v>2000</v>
          </cell>
          <cell r="B592" t="str">
            <v>SE</v>
          </cell>
          <cell r="C592" t="str">
            <v>NP</v>
          </cell>
          <cell r="D592" t="str">
            <v>TRAN</v>
          </cell>
          <cell r="E592" t="str">
            <v>FERR</v>
          </cell>
          <cell r="F592" t="str">
            <v>PM Juizde Fora</v>
          </cell>
          <cell r="G592" t="str">
            <v>Infra e Superestrutura Ferroviária - Lote 1</v>
          </cell>
          <cell r="H592">
            <v>17782500</v>
          </cell>
          <cell r="I592" t="str">
            <v>PE</v>
          </cell>
          <cell r="J592">
            <v>36753</v>
          </cell>
          <cell r="K592">
            <v>0</v>
          </cell>
          <cell r="L592">
            <v>0</v>
          </cell>
          <cell r="M592" t="str">
            <v>Em julgamento</v>
          </cell>
        </row>
        <row r="593">
          <cell r="A593">
            <v>2000</v>
          </cell>
          <cell r="B593" t="str">
            <v>SE</v>
          </cell>
          <cell r="C593" t="str">
            <v>NP</v>
          </cell>
          <cell r="D593" t="str">
            <v>TRAN</v>
          </cell>
          <cell r="E593" t="str">
            <v>FERR</v>
          </cell>
          <cell r="F593" t="str">
            <v>PM Juizde Fora</v>
          </cell>
          <cell r="G593" t="str">
            <v>Infra e Superestrutura Ferroviária - Lote 2</v>
          </cell>
          <cell r="H593">
            <v>28381000</v>
          </cell>
          <cell r="I593" t="str">
            <v>PE</v>
          </cell>
          <cell r="J593">
            <v>36753</v>
          </cell>
          <cell r="K593">
            <v>1</v>
          </cell>
          <cell r="M593" t="str">
            <v>Em julgamento</v>
          </cell>
        </row>
        <row r="594">
          <cell r="A594">
            <v>2000</v>
          </cell>
          <cell r="B594" t="str">
            <v>SE</v>
          </cell>
          <cell r="C594" t="str">
            <v>NP</v>
          </cell>
          <cell r="D594" t="str">
            <v>TRAN</v>
          </cell>
          <cell r="E594" t="str">
            <v>FERR</v>
          </cell>
          <cell r="F594" t="str">
            <v>PM Juizde Fora</v>
          </cell>
          <cell r="G594" t="str">
            <v>Infra e Superestrutura Ferroviária - Lote 3</v>
          </cell>
          <cell r="H594">
            <v>22066870</v>
          </cell>
          <cell r="I594" t="str">
            <v>PE</v>
          </cell>
          <cell r="J594">
            <v>36753</v>
          </cell>
          <cell r="K594">
            <v>0</v>
          </cell>
          <cell r="L594">
            <v>0</v>
          </cell>
          <cell r="M594" t="str">
            <v>Em julgamento</v>
          </cell>
        </row>
        <row r="595">
          <cell r="A595">
            <v>2000</v>
          </cell>
          <cell r="B595" t="str">
            <v>SE</v>
          </cell>
          <cell r="C595" t="str">
            <v>NP</v>
          </cell>
          <cell r="D595" t="str">
            <v>INDU</v>
          </cell>
          <cell r="E595" t="str">
            <v>OUTR</v>
          </cell>
          <cell r="F595" t="str">
            <v>COPEBRÁS</v>
          </cell>
          <cell r="G595" t="str">
            <v>Edificações e Infraestrutura da Unidade de Fertilizantes de Catalão</v>
          </cell>
          <cell r="H595">
            <v>14182980</v>
          </cell>
          <cell r="I595" t="str">
            <v>PE</v>
          </cell>
          <cell r="J595">
            <v>36761</v>
          </cell>
          <cell r="M595" t="str">
            <v>Em julgamento - Proposta em conjunto com a UNSP</v>
          </cell>
        </row>
        <row r="596">
          <cell r="A596">
            <v>2000</v>
          </cell>
          <cell r="B596" t="str">
            <v>SL</v>
          </cell>
          <cell r="C596" t="str">
            <v>IV</v>
          </cell>
          <cell r="D596" t="str">
            <v>TRAN</v>
          </cell>
          <cell r="E596" t="str">
            <v>RODO</v>
          </cell>
          <cell r="F596" t="str">
            <v>DNER</v>
          </cell>
          <cell r="G596" t="str">
            <v>Contorno de Santa Rosa</v>
          </cell>
          <cell r="H596">
            <v>3812839.1574279387</v>
          </cell>
          <cell r="I596" t="str">
            <v>PE</v>
          </cell>
          <cell r="J596">
            <v>36753</v>
          </cell>
          <cell r="M596" t="str">
            <v>Proposta de Acordo - AG Vencedora</v>
          </cell>
        </row>
        <row r="597">
          <cell r="A597">
            <v>2000</v>
          </cell>
          <cell r="B597" t="str">
            <v>SL</v>
          </cell>
          <cell r="C597" t="str">
            <v>IV</v>
          </cell>
          <cell r="D597" t="str">
            <v>TRAN</v>
          </cell>
          <cell r="E597" t="str">
            <v>RODO</v>
          </cell>
          <cell r="F597" t="str">
            <v>DAER</v>
          </cell>
          <cell r="G597" t="str">
            <v>Pré-qualificação do Projeto CREMA - RS</v>
          </cell>
          <cell r="H597">
            <v>0</v>
          </cell>
          <cell r="I597" t="str">
            <v>PE</v>
          </cell>
          <cell r="J597">
            <v>36753</v>
          </cell>
          <cell r="K597">
            <v>0</v>
          </cell>
          <cell r="L597">
            <v>0</v>
          </cell>
          <cell r="M597" t="str">
            <v>Proposta de Pré-qualificação</v>
          </cell>
        </row>
        <row r="598">
          <cell r="A598">
            <v>2000</v>
          </cell>
          <cell r="B598" t="str">
            <v>NE</v>
          </cell>
          <cell r="C598" t="str">
            <v>LV</v>
          </cell>
          <cell r="D598" t="str">
            <v>TRAN</v>
          </cell>
          <cell r="E598" t="str">
            <v>FERR</v>
          </cell>
          <cell r="F598" t="str">
            <v>CFN</v>
          </cell>
          <cell r="G598" t="str">
            <v>Recuperação da Malha Ferroviária de Recife</v>
          </cell>
          <cell r="H598">
            <v>2587850</v>
          </cell>
          <cell r="I598" t="str">
            <v>PC</v>
          </cell>
          <cell r="J598">
            <v>36784</v>
          </cell>
          <cell r="K598">
            <v>0</v>
          </cell>
          <cell r="L598">
            <v>0</v>
          </cell>
          <cell r="M598" t="str">
            <v>Proposta concluída. Cobertura como moeda de troca com a CCCC.</v>
          </cell>
        </row>
        <row r="599">
          <cell r="A599">
            <v>2000</v>
          </cell>
          <cell r="B599" t="str">
            <v>NE</v>
          </cell>
          <cell r="C599" t="str">
            <v>XXX</v>
          </cell>
          <cell r="D599" t="str">
            <v>TRAN</v>
          </cell>
          <cell r="E599" t="str">
            <v>RODO</v>
          </cell>
          <cell r="F599" t="str">
            <v>DNER</v>
          </cell>
          <cell r="G599" t="str">
            <v>Projeto CREMA GO-01</v>
          </cell>
          <cell r="H599">
            <v>4929518.75</v>
          </cell>
          <cell r="I599" t="str">
            <v>PE</v>
          </cell>
          <cell r="J599">
            <v>36781</v>
          </cell>
          <cell r="K599">
            <v>0</v>
          </cell>
          <cell r="L599">
            <v>0</v>
          </cell>
          <cell r="M599" t="str">
            <v>Em julgamento. Acordo com 8 empresas.</v>
          </cell>
        </row>
        <row r="600">
          <cell r="A600">
            <v>2000</v>
          </cell>
          <cell r="B600" t="str">
            <v>SE</v>
          </cell>
          <cell r="C600" t="str">
            <v>CV</v>
          </cell>
          <cell r="D600" t="str">
            <v>TRAN</v>
          </cell>
          <cell r="E600" t="str">
            <v>RODO</v>
          </cell>
          <cell r="F600" t="str">
            <v>DNER</v>
          </cell>
          <cell r="G600" t="str">
            <v>Projeto CREMA - BR-040 - MG</v>
          </cell>
          <cell r="H600">
            <v>9092731.25</v>
          </cell>
          <cell r="I600" t="str">
            <v>PE</v>
          </cell>
          <cell r="J600">
            <v>36781</v>
          </cell>
          <cell r="K600">
            <v>0</v>
          </cell>
          <cell r="L600">
            <v>0</v>
          </cell>
          <cell r="M600" t="str">
            <v>Em julgamento. Acordo com 8 empresas.</v>
          </cell>
        </row>
        <row r="601">
          <cell r="A601">
            <v>2000</v>
          </cell>
          <cell r="B601" t="str">
            <v>SE</v>
          </cell>
          <cell r="C601" t="str">
            <v>CV</v>
          </cell>
          <cell r="D601" t="str">
            <v>TRAN</v>
          </cell>
          <cell r="E601" t="str">
            <v>RODO</v>
          </cell>
          <cell r="F601" t="str">
            <v>DER-MG</v>
          </cell>
          <cell r="G601" t="str">
            <v>BR-356 - Ervália / Muriaé</v>
          </cell>
          <cell r="H601">
            <v>5111850</v>
          </cell>
          <cell r="I601" t="str">
            <v>PC</v>
          </cell>
          <cell r="J601">
            <v>36790</v>
          </cell>
          <cell r="K601">
            <v>0</v>
          </cell>
          <cell r="L601">
            <v>0</v>
          </cell>
          <cell r="M601" t="str">
            <v xml:space="preserve">Proposta de cobertura para </v>
          </cell>
        </row>
        <row r="602">
          <cell r="A602">
            <v>2000</v>
          </cell>
          <cell r="B602" t="str">
            <v>SL</v>
          </cell>
          <cell r="C602" t="str">
            <v>IV</v>
          </cell>
          <cell r="D602" t="str">
            <v>TRAN</v>
          </cell>
          <cell r="E602" t="str">
            <v>RODO</v>
          </cell>
          <cell r="F602" t="str">
            <v>DAER</v>
          </cell>
          <cell r="G602" t="str">
            <v>RS-377 - Santa Tecla / Jóia</v>
          </cell>
          <cell r="H602">
            <v>6635212</v>
          </cell>
          <cell r="I602" t="str">
            <v>PE</v>
          </cell>
          <cell r="J602">
            <v>36784</v>
          </cell>
          <cell r="M602" t="str">
            <v>Em julgamento</v>
          </cell>
        </row>
        <row r="603">
          <cell r="A603">
            <v>2000</v>
          </cell>
          <cell r="B603" t="str">
            <v>SL</v>
          </cell>
          <cell r="C603" t="str">
            <v>IV</v>
          </cell>
          <cell r="D603" t="str">
            <v>TRAN</v>
          </cell>
          <cell r="E603" t="str">
            <v>RODO</v>
          </cell>
          <cell r="F603" t="str">
            <v>DAER</v>
          </cell>
          <cell r="G603" t="str">
            <v>RS-377 - Manoel Viana</v>
          </cell>
          <cell r="H603">
            <v>6372469</v>
          </cell>
          <cell r="I603" t="str">
            <v>PE</v>
          </cell>
          <cell r="J603">
            <v>36784</v>
          </cell>
          <cell r="M603" t="str">
            <v>Em julgamento</v>
          </cell>
        </row>
        <row r="604">
          <cell r="A604">
            <v>2000</v>
          </cell>
          <cell r="B604" t="str">
            <v>SL</v>
          </cell>
          <cell r="C604" t="str">
            <v>IV</v>
          </cell>
          <cell r="D604" t="str">
            <v>INDU</v>
          </cell>
          <cell r="F604" t="str">
            <v>ABB</v>
          </cell>
          <cell r="G604" t="str">
            <v>Subestação Transformadora de Energia - GARABÍ II</v>
          </cell>
          <cell r="H604">
            <v>6080923</v>
          </cell>
          <cell r="I604" t="str">
            <v>PE</v>
          </cell>
          <cell r="J604">
            <v>36789</v>
          </cell>
          <cell r="M604" t="str">
            <v>Em julgamento</v>
          </cell>
        </row>
        <row r="605">
          <cell r="A605">
            <v>2000</v>
          </cell>
          <cell r="B605" t="str">
            <v>TC</v>
          </cell>
          <cell r="C605" t="str">
            <v>CP</v>
          </cell>
          <cell r="D605" t="str">
            <v>TELE</v>
          </cell>
          <cell r="E605">
            <v>0</v>
          </cell>
          <cell r="F605" t="str">
            <v>TELEMAR-RJ</v>
          </cell>
          <cell r="G605" t="str">
            <v>VAPT-RJ-Instalação e Manutenção de Telefones Públicos</v>
          </cell>
          <cell r="H605">
            <v>5201180</v>
          </cell>
          <cell r="I605" t="str">
            <v>PE</v>
          </cell>
          <cell r="J605">
            <v>36773</v>
          </cell>
          <cell r="M605" t="str">
            <v>Em julgamento</v>
          </cell>
        </row>
        <row r="606">
          <cell r="A606">
            <v>2000</v>
          </cell>
          <cell r="B606" t="str">
            <v>TC</v>
          </cell>
          <cell r="C606" t="str">
            <v>CP</v>
          </cell>
          <cell r="D606" t="str">
            <v>TELE</v>
          </cell>
          <cell r="E606">
            <v>0</v>
          </cell>
          <cell r="F606" t="str">
            <v>TELEMAR-RJ</v>
          </cell>
          <cell r="G606" t="str">
            <v>Instalação e Manutenção de Telefones Públicos</v>
          </cell>
          <cell r="H606">
            <v>563920</v>
          </cell>
          <cell r="I606" t="str">
            <v>PE</v>
          </cell>
          <cell r="J606">
            <v>36773</v>
          </cell>
          <cell r="M606" t="str">
            <v>Em julgamento</v>
          </cell>
        </row>
        <row r="607">
          <cell r="A607">
            <v>2000</v>
          </cell>
          <cell r="B607" t="str">
            <v>SE</v>
          </cell>
          <cell r="C607" t="str">
            <v>NP</v>
          </cell>
          <cell r="D607" t="str">
            <v>SAMA</v>
          </cell>
          <cell r="E607" t="str">
            <v>SABA</v>
          </cell>
          <cell r="F607" t="str">
            <v>SUDECAP</v>
          </cell>
          <cell r="G607" t="str">
            <v>Dragagem Lagoa da Pampulha</v>
          </cell>
          <cell r="H607">
            <v>11408512.505484862</v>
          </cell>
          <cell r="I607" t="str">
            <v>PE</v>
          </cell>
          <cell r="J607">
            <v>36802</v>
          </cell>
          <cell r="M607" t="str">
            <v>Em julgamento</v>
          </cell>
        </row>
        <row r="608">
          <cell r="A608">
            <v>2000</v>
          </cell>
          <cell r="B608" t="str">
            <v>SL</v>
          </cell>
          <cell r="C608" t="str">
            <v>RPol</v>
          </cell>
          <cell r="D608" t="str">
            <v>IMOB</v>
          </cell>
          <cell r="F608" t="str">
            <v>ECT</v>
          </cell>
          <cell r="G608" t="str">
            <v>Complexo Operacional e Administrativo de Florianópolis</v>
          </cell>
          <cell r="H608">
            <v>12294421.31574912</v>
          </cell>
          <cell r="I608" t="str">
            <v>PNE</v>
          </cell>
          <cell r="J608">
            <v>36804</v>
          </cell>
          <cell r="M608" t="str">
            <v>Proposta não entregue</v>
          </cell>
        </row>
        <row r="609">
          <cell r="A609">
            <v>2000</v>
          </cell>
          <cell r="B609" t="str">
            <v>SL</v>
          </cell>
          <cell r="C609" t="str">
            <v>IV</v>
          </cell>
          <cell r="D609" t="str">
            <v>TRAN</v>
          </cell>
          <cell r="E609" t="str">
            <v>RODO</v>
          </cell>
          <cell r="F609" t="str">
            <v>DAER</v>
          </cell>
          <cell r="G609" t="str">
            <v>BR-470-Divisa SC/RS com entroncamento BR-116-RS</v>
          </cell>
          <cell r="H609">
            <v>13947170</v>
          </cell>
          <cell r="I609" t="str">
            <v>PE</v>
          </cell>
          <cell r="J609">
            <v>36815</v>
          </cell>
          <cell r="M609" t="str">
            <v>Proposta de cobertura</v>
          </cell>
        </row>
        <row r="610">
          <cell r="A610">
            <v>2000</v>
          </cell>
          <cell r="B610" t="str">
            <v>TC</v>
          </cell>
          <cell r="C610" t="str">
            <v>CP</v>
          </cell>
          <cell r="D610" t="str">
            <v>TELE</v>
          </cell>
          <cell r="E610">
            <v>0</v>
          </cell>
          <cell r="F610" t="str">
            <v>TELEMAR</v>
          </cell>
          <cell r="G610" t="str">
            <v>Implantação de Cabos de Fibra Óptica - Lote 1 - Opção 1</v>
          </cell>
          <cell r="H610">
            <v>17457310</v>
          </cell>
          <cell r="I610" t="str">
            <v>PE</v>
          </cell>
          <cell r="J610">
            <v>36828</v>
          </cell>
          <cell r="M610" t="str">
            <v>Proposta entergue em acordo</v>
          </cell>
        </row>
        <row r="611">
          <cell r="A611">
            <v>2000</v>
          </cell>
          <cell r="B611" t="str">
            <v>TC</v>
          </cell>
          <cell r="C611" t="str">
            <v>CP</v>
          </cell>
          <cell r="D611" t="str">
            <v>TELE</v>
          </cell>
          <cell r="E611">
            <v>0</v>
          </cell>
          <cell r="F611" t="str">
            <v>TELEMAR</v>
          </cell>
          <cell r="G611" t="str">
            <v>Implantação de Cabos de Fibra Óptica - Lote 1 - Opção 2</v>
          </cell>
          <cell r="H611">
            <v>16962760</v>
          </cell>
          <cell r="I611" t="str">
            <v>PE</v>
          </cell>
          <cell r="J611">
            <v>36828</v>
          </cell>
          <cell r="M611" t="str">
            <v>Proposta entergue em acordo</v>
          </cell>
        </row>
        <row r="612">
          <cell r="A612">
            <v>2000</v>
          </cell>
          <cell r="B612" t="str">
            <v>TC</v>
          </cell>
          <cell r="C612" t="str">
            <v>CP</v>
          </cell>
          <cell r="D612" t="str">
            <v>TELE</v>
          </cell>
          <cell r="E612">
            <v>0</v>
          </cell>
          <cell r="F612" t="str">
            <v>TELEMAR</v>
          </cell>
          <cell r="G612" t="str">
            <v>Implantação de Cabos de Fibra Óptica - Lote 2</v>
          </cell>
          <cell r="H612">
            <v>9799220</v>
          </cell>
          <cell r="I612" t="str">
            <v>PE</v>
          </cell>
          <cell r="J612">
            <v>36828</v>
          </cell>
          <cell r="M612" t="str">
            <v>Proposta entergue em acordo</v>
          </cell>
        </row>
        <row r="613">
          <cell r="A613">
            <v>2000</v>
          </cell>
          <cell r="B613" t="str">
            <v>TC</v>
          </cell>
          <cell r="C613" t="str">
            <v>CP</v>
          </cell>
          <cell r="D613" t="str">
            <v>TELE</v>
          </cell>
          <cell r="E613">
            <v>0</v>
          </cell>
          <cell r="F613" t="str">
            <v>TELEMAR</v>
          </cell>
          <cell r="G613" t="str">
            <v>Implantação de Cabos de Fibra Óptica - Lote 3 - Opção 1</v>
          </cell>
          <cell r="H613">
            <v>13439220</v>
          </cell>
          <cell r="I613" t="str">
            <v>PE</v>
          </cell>
          <cell r="J613">
            <v>36828</v>
          </cell>
          <cell r="M613" t="str">
            <v>Proposta entergue em acordo</v>
          </cell>
        </row>
        <row r="614">
          <cell r="A614">
            <v>2000</v>
          </cell>
          <cell r="B614" t="str">
            <v>TC</v>
          </cell>
          <cell r="C614" t="str">
            <v>CP</v>
          </cell>
          <cell r="D614" t="str">
            <v>TELE</v>
          </cell>
          <cell r="E614">
            <v>0</v>
          </cell>
          <cell r="F614" t="str">
            <v>TELEMAR</v>
          </cell>
          <cell r="G614" t="str">
            <v>Implantação de Cabos de Fibra Óptica - Lote 3 - Opção 2</v>
          </cell>
          <cell r="H614">
            <v>15623580</v>
          </cell>
          <cell r="I614" t="str">
            <v>PE</v>
          </cell>
          <cell r="J614">
            <v>36828</v>
          </cell>
          <cell r="M614" t="str">
            <v>Proposta entergue em acordo</v>
          </cell>
        </row>
        <row r="615">
          <cell r="A615">
            <v>2000</v>
          </cell>
          <cell r="B615" t="str">
            <v>TC</v>
          </cell>
          <cell r="C615" t="str">
            <v>CP</v>
          </cell>
          <cell r="D615" t="str">
            <v>TELE</v>
          </cell>
          <cell r="E615">
            <v>0</v>
          </cell>
          <cell r="F615" t="str">
            <v>TELEMAR</v>
          </cell>
          <cell r="G615" t="str">
            <v>Implantação de Cabos de Fibra Óptica - Lote 3 - Opção 3</v>
          </cell>
          <cell r="H615">
            <v>15623580</v>
          </cell>
          <cell r="I615" t="str">
            <v>PE</v>
          </cell>
          <cell r="J615">
            <v>36828</v>
          </cell>
          <cell r="M615" t="str">
            <v>Proposta entergue em acordo</v>
          </cell>
        </row>
        <row r="616">
          <cell r="A616">
            <v>2000</v>
          </cell>
          <cell r="B616" t="str">
            <v>TC</v>
          </cell>
          <cell r="C616" t="str">
            <v>CP</v>
          </cell>
          <cell r="D616" t="str">
            <v>TELE</v>
          </cell>
          <cell r="E616">
            <v>0</v>
          </cell>
          <cell r="F616" t="str">
            <v>TELEMAR</v>
          </cell>
          <cell r="G616" t="str">
            <v>Implantação de Cabos de Fibra Óptica - Lote 4 - Opção 1</v>
          </cell>
          <cell r="H616">
            <v>26498760</v>
          </cell>
          <cell r="I616" t="str">
            <v>PE</v>
          </cell>
          <cell r="J616">
            <v>36828</v>
          </cell>
          <cell r="M616" t="str">
            <v>Proposta entergue em acordo</v>
          </cell>
        </row>
        <row r="617">
          <cell r="A617">
            <v>2000</v>
          </cell>
          <cell r="B617" t="str">
            <v>TC</v>
          </cell>
          <cell r="C617" t="str">
            <v>CP</v>
          </cell>
          <cell r="D617" t="str">
            <v>TELE</v>
          </cell>
          <cell r="E617">
            <v>0</v>
          </cell>
          <cell r="F617" t="str">
            <v>TELEMAR</v>
          </cell>
          <cell r="G617" t="str">
            <v>Implantação de Cabos de Fibra Óptica - Lote 4 - Opção 2</v>
          </cell>
          <cell r="H617">
            <v>23702180</v>
          </cell>
          <cell r="I617" t="str">
            <v>PE</v>
          </cell>
          <cell r="J617">
            <v>36828</v>
          </cell>
          <cell r="M617" t="str">
            <v>Proposta entergue em acordo</v>
          </cell>
        </row>
        <row r="618">
          <cell r="A618">
            <v>2000</v>
          </cell>
          <cell r="B618" t="str">
            <v>TC</v>
          </cell>
          <cell r="C618" t="str">
            <v>CP</v>
          </cell>
          <cell r="D618" t="str">
            <v>TELE</v>
          </cell>
          <cell r="E618">
            <v>0</v>
          </cell>
          <cell r="F618" t="str">
            <v>TELEMAR</v>
          </cell>
          <cell r="G618" t="str">
            <v>Implantação de Cabos de Fibra Óptica - Lote 4 - Opção 3</v>
          </cell>
          <cell r="H618">
            <v>15775060</v>
          </cell>
          <cell r="I618" t="str">
            <v>PE</v>
          </cell>
          <cell r="J618">
            <v>36828</v>
          </cell>
          <cell r="M618" t="str">
            <v>Proposta entergue em acordo</v>
          </cell>
        </row>
        <row r="619">
          <cell r="A619">
            <v>2000</v>
          </cell>
          <cell r="B619" t="str">
            <v>TC</v>
          </cell>
          <cell r="C619" t="str">
            <v>CP</v>
          </cell>
          <cell r="D619" t="str">
            <v>TELE</v>
          </cell>
          <cell r="E619">
            <v>0</v>
          </cell>
          <cell r="F619" t="str">
            <v>TELEMAR</v>
          </cell>
          <cell r="G619" t="str">
            <v>Implantação de Cabos de Fibra Óptica - Lote 5 - Opção 1</v>
          </cell>
          <cell r="H619">
            <v>9597200</v>
          </cell>
          <cell r="I619" t="str">
            <v>PE</v>
          </cell>
          <cell r="J619">
            <v>36828</v>
          </cell>
          <cell r="M619" t="str">
            <v>Proposta entergue em acordo</v>
          </cell>
        </row>
        <row r="620">
          <cell r="A620">
            <v>2000</v>
          </cell>
          <cell r="B620" t="str">
            <v>TC</v>
          </cell>
          <cell r="C620" t="str">
            <v>CP</v>
          </cell>
          <cell r="D620" t="str">
            <v>TELE</v>
          </cell>
          <cell r="E620">
            <v>0</v>
          </cell>
          <cell r="F620" t="str">
            <v>TELEMAR</v>
          </cell>
          <cell r="G620" t="str">
            <v>Implantação de Cabos de Fibra Óptica - Lote 5 - Opção 1</v>
          </cell>
          <cell r="H620">
            <v>13360560</v>
          </cell>
          <cell r="I620" t="str">
            <v>PE</v>
          </cell>
          <cell r="J620">
            <v>36828</v>
          </cell>
          <cell r="M620" t="str">
            <v>Proposta entergue em acordo</v>
          </cell>
        </row>
        <row r="621">
          <cell r="A621">
            <v>2000</v>
          </cell>
          <cell r="B621" t="str">
            <v>TC</v>
          </cell>
          <cell r="C621" t="str">
            <v>CP</v>
          </cell>
          <cell r="D621" t="str">
            <v>TELE</v>
          </cell>
          <cell r="E621">
            <v>0</v>
          </cell>
          <cell r="F621" t="str">
            <v>TELEMAR</v>
          </cell>
          <cell r="G621" t="str">
            <v xml:space="preserve">Implantação de Cabos de Fibra Óptica - Lote 6 </v>
          </cell>
          <cell r="H621">
            <v>11292450</v>
          </cell>
          <cell r="I621" t="str">
            <v>PE</v>
          </cell>
          <cell r="J621">
            <v>36828</v>
          </cell>
          <cell r="M621" t="str">
            <v>Proposta entergue em acordo</v>
          </cell>
        </row>
        <row r="622">
          <cell r="A622">
            <v>2000</v>
          </cell>
          <cell r="B622" t="str">
            <v>TC</v>
          </cell>
          <cell r="C622" t="str">
            <v>CP</v>
          </cell>
          <cell r="D622" t="str">
            <v>TELE</v>
          </cell>
          <cell r="E622">
            <v>0</v>
          </cell>
          <cell r="F622" t="str">
            <v>TELEMAR</v>
          </cell>
          <cell r="G622" t="str">
            <v>Implantação de Cabos de Fibra Óptica - Lote 7 - Opção 1</v>
          </cell>
          <cell r="H622">
            <v>7360790</v>
          </cell>
          <cell r="I622" t="str">
            <v>PE</v>
          </cell>
          <cell r="J622">
            <v>36828</v>
          </cell>
          <cell r="M622" t="str">
            <v>Proposta entergue em acordo</v>
          </cell>
        </row>
        <row r="623">
          <cell r="A623">
            <v>2000</v>
          </cell>
          <cell r="B623" t="str">
            <v>TC</v>
          </cell>
          <cell r="C623" t="str">
            <v>CP</v>
          </cell>
          <cell r="D623" t="str">
            <v>TELE</v>
          </cell>
          <cell r="E623">
            <v>0</v>
          </cell>
          <cell r="F623" t="str">
            <v>TELEMAR</v>
          </cell>
          <cell r="G623" t="str">
            <v>Implantação de Cabos de Fibra Óptica - Lote 7 - Opção 2</v>
          </cell>
          <cell r="H623">
            <v>7360790</v>
          </cell>
          <cell r="I623" t="str">
            <v>PE</v>
          </cell>
          <cell r="J623">
            <v>36828</v>
          </cell>
          <cell r="M623" t="str">
            <v>Proposta entergue em acordo</v>
          </cell>
        </row>
        <row r="624">
          <cell r="A624">
            <v>2000</v>
          </cell>
          <cell r="B624" t="str">
            <v>TC</v>
          </cell>
          <cell r="C624" t="str">
            <v>CP</v>
          </cell>
          <cell r="D624" t="str">
            <v>TELE</v>
          </cell>
          <cell r="E624">
            <v>0</v>
          </cell>
          <cell r="F624" t="str">
            <v>TELEMAR</v>
          </cell>
          <cell r="G624" t="str">
            <v>Implantação de Cabos de Fibra Óptica - Lote 7 - Opção 3</v>
          </cell>
          <cell r="H624">
            <v>8559890</v>
          </cell>
          <cell r="I624" t="str">
            <v>PE</v>
          </cell>
          <cell r="J624">
            <v>36828</v>
          </cell>
          <cell r="M624" t="str">
            <v>Proposta entergue em acordo</v>
          </cell>
        </row>
        <row r="625">
          <cell r="A625">
            <v>2000</v>
          </cell>
          <cell r="B625" t="str">
            <v>TC</v>
          </cell>
          <cell r="C625" t="str">
            <v>CP</v>
          </cell>
          <cell r="D625" t="str">
            <v>TELE</v>
          </cell>
          <cell r="E625">
            <v>0</v>
          </cell>
          <cell r="F625" t="str">
            <v>TELEMAR</v>
          </cell>
          <cell r="G625" t="str">
            <v>Implantação de Cabos de Fibra Óptica - Lote 8</v>
          </cell>
          <cell r="H625">
            <v>6427870</v>
          </cell>
          <cell r="I625" t="str">
            <v>PE</v>
          </cell>
          <cell r="J625">
            <v>36828</v>
          </cell>
          <cell r="M625" t="str">
            <v>Proposta entergue em acordo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61M-CBMI"/>
      <sheetName val="DADOS"/>
      <sheetName val="DESEMP AN"/>
      <sheetName val="original"/>
      <sheetName val="pro-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3">
          <cell r="D13">
            <v>1.76</v>
          </cell>
        </row>
        <row r="16">
          <cell r="D16">
            <v>10</v>
          </cell>
        </row>
        <row r="17">
          <cell r="D17">
            <v>20.76</v>
          </cell>
          <cell r="K17">
            <v>31.11</v>
          </cell>
          <cell r="M17">
            <v>16.96</v>
          </cell>
        </row>
        <row r="18">
          <cell r="D18">
            <v>20.76</v>
          </cell>
          <cell r="K18">
            <v>16.55</v>
          </cell>
          <cell r="M18">
            <v>6.57</v>
          </cell>
        </row>
        <row r="19">
          <cell r="D19">
            <v>20.76</v>
          </cell>
        </row>
        <row r="30">
          <cell r="K30">
            <v>22.72</v>
          </cell>
          <cell r="M30">
            <v>11.27</v>
          </cell>
        </row>
        <row r="32">
          <cell r="K32">
            <v>2.14</v>
          </cell>
          <cell r="M32">
            <v>1.84</v>
          </cell>
        </row>
        <row r="33">
          <cell r="K33">
            <v>2.39</v>
          </cell>
          <cell r="M33">
            <v>2.06</v>
          </cell>
        </row>
        <row r="34">
          <cell r="K34">
            <v>0.79</v>
          </cell>
          <cell r="M34">
            <v>0.61</v>
          </cell>
        </row>
        <row r="35">
          <cell r="K35">
            <v>36.82</v>
          </cell>
          <cell r="M35">
            <v>15.59</v>
          </cell>
        </row>
        <row r="36">
          <cell r="K36">
            <v>70.88</v>
          </cell>
          <cell r="M36">
            <v>34.54</v>
          </cell>
        </row>
        <row r="37">
          <cell r="K37">
            <v>17.38</v>
          </cell>
          <cell r="M37">
            <v>12.28</v>
          </cell>
        </row>
        <row r="38">
          <cell r="K38">
            <v>13.11</v>
          </cell>
          <cell r="M38">
            <v>9.0299999999999994</v>
          </cell>
        </row>
        <row r="39">
          <cell r="D39">
            <v>0.03</v>
          </cell>
          <cell r="K39">
            <v>16.559999999999999</v>
          </cell>
          <cell r="M39">
            <v>10.16</v>
          </cell>
        </row>
        <row r="41">
          <cell r="K41">
            <v>27.38</v>
          </cell>
          <cell r="M41">
            <v>14.7</v>
          </cell>
        </row>
        <row r="45">
          <cell r="K45">
            <v>3</v>
          </cell>
          <cell r="M45">
            <v>2.31</v>
          </cell>
        </row>
        <row r="46">
          <cell r="D46">
            <v>0.16</v>
          </cell>
        </row>
        <row r="58">
          <cell r="K58">
            <v>4.3099999999999996</v>
          </cell>
          <cell r="M58">
            <v>3.01</v>
          </cell>
        </row>
        <row r="70">
          <cell r="K70">
            <v>25.44</v>
          </cell>
          <cell r="M70">
            <v>10.61</v>
          </cell>
        </row>
        <row r="72">
          <cell r="D72">
            <v>170.24</v>
          </cell>
          <cell r="K72">
            <v>30.32</v>
          </cell>
          <cell r="M72">
            <v>11.35</v>
          </cell>
        </row>
        <row r="73">
          <cell r="D73">
            <v>234.5</v>
          </cell>
        </row>
        <row r="74">
          <cell r="D74">
            <v>182.44</v>
          </cell>
        </row>
        <row r="75">
          <cell r="D75">
            <v>233.6</v>
          </cell>
          <cell r="K75">
            <v>17.690000000000001</v>
          </cell>
          <cell r="M75">
            <v>7.42</v>
          </cell>
        </row>
        <row r="76">
          <cell r="D76">
            <v>254.13</v>
          </cell>
        </row>
        <row r="83">
          <cell r="K83">
            <v>12.64</v>
          </cell>
          <cell r="M83">
            <v>1.87</v>
          </cell>
        </row>
        <row r="84">
          <cell r="D84">
            <v>70.298000000000002</v>
          </cell>
        </row>
        <row r="86">
          <cell r="D86">
            <v>77.400000000000006</v>
          </cell>
        </row>
        <row r="87">
          <cell r="D87">
            <v>63.45</v>
          </cell>
        </row>
        <row r="88">
          <cell r="D88">
            <v>63.45</v>
          </cell>
        </row>
        <row r="89">
          <cell r="D89">
            <v>63.45</v>
          </cell>
        </row>
        <row r="118">
          <cell r="M118">
            <v>4.2699999999999996</v>
          </cell>
        </row>
        <row r="119">
          <cell r="M119">
            <v>8.01</v>
          </cell>
        </row>
        <row r="126">
          <cell r="C126" t="str">
            <v>BR-158/BR-262/MS</v>
          </cell>
        </row>
        <row r="127">
          <cell r="C127" t="str">
            <v>DIV. GO/MS - DIV. MS/SP; DIV. SP/MS - FR. BRASIL/BOLIVIA</v>
          </cell>
          <cell r="M127">
            <v>2.27</v>
          </cell>
        </row>
        <row r="128">
          <cell r="C128" t="str">
            <v>ENTR. MS-444(SELVIRIA) - TRÊS LAGOAS; DIV.SP/MS - POSTO MUTUM</v>
          </cell>
          <cell r="M128">
            <v>2.27</v>
          </cell>
        </row>
        <row r="129">
          <cell r="C129" t="str">
            <v>256,7 KM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ADMIN"/>
      <sheetName val="DADOS"/>
      <sheetName val="DESEMP AN"/>
      <sheetName val="CUSTO LARANJEIRAS"/>
      <sheetName val="original"/>
      <sheetName val="TPU-MARÇO_2002"/>
      <sheetName val="f. mediçao"/>
      <sheetName val="correção"/>
      <sheetName val="MBUQ"/>
      <sheetName val="recomp. revest. cbuq"/>
      <sheetName val="TRANSPORTE"/>
      <sheetName val="T. BURACO"/>
    </sheetNames>
    <sheetDataSet>
      <sheetData sheetId="0">
        <row r="21">
          <cell r="D21">
            <v>45.9</v>
          </cell>
        </row>
        <row r="36">
          <cell r="D36">
            <v>2.2400000000000002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."/>
      <sheetName val="Croqui"/>
      <sheetName val="Comparativo"/>
      <sheetName val="Mat. Bet."/>
      <sheetName val="Calc.transporte"/>
      <sheetName val="Preço MBet."/>
      <sheetName val="TLCB5"/>
      <sheetName val="TLMR"/>
      <sheetName val="TLBM"/>
      <sheetName val="TCCC"/>
      <sheetName val="TLCB10"/>
      <sheetName val="TLCC4"/>
      <sheetName val="TCCB10"/>
      <sheetName val="Quadro res. transp."/>
      <sheetName val="CURVA ABC"/>
      <sheetName val="Orçamento"/>
      <sheetName val="Serviços"/>
      <sheetName val="Cronograma 1º"/>
      <sheetName val="Cronograma 2º"/>
      <sheetName val="Instalação"/>
      <sheetName val="Mobiliz."/>
      <sheetName val="Cpu Trans."/>
      <sheetName val="CAP-CM30"/>
      <sheetName val="Plan1"/>
      <sheetName val="Rotineira"/>
      <sheetName val="Veíc."/>
      <sheetName val="Serv.Aux."/>
      <sheetName val="Const. Dren."/>
      <sheetName val="Aux.Dren"/>
      <sheetName val="Serv. Adm."/>
      <sheetName val="CPUMat.Bet."/>
      <sheetName val="M Obra"/>
      <sheetName val="Equip."/>
      <sheetName val="Materiais"/>
      <sheetName val="DIVISÓRIAS"/>
      <sheetName val="Modelo"/>
      <sheetName val="Medição"/>
      <sheetName val="Memória de Cálculo"/>
      <sheetName val="sid_ni_5"/>
      <sheetName val="f. mediça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1">
          <cell r="G11">
            <v>185700</v>
          </cell>
        </row>
        <row r="12">
          <cell r="G12">
            <v>158.464</v>
          </cell>
        </row>
        <row r="13">
          <cell r="G13">
            <v>237.696</v>
          </cell>
        </row>
        <row r="17">
          <cell r="G17">
            <v>450</v>
          </cell>
        </row>
        <row r="18">
          <cell r="G18">
            <v>170</v>
          </cell>
        </row>
        <row r="20">
          <cell r="G20">
            <v>420</v>
          </cell>
        </row>
        <row r="21">
          <cell r="G21">
            <v>1285</v>
          </cell>
        </row>
        <row r="22">
          <cell r="G22">
            <v>74.28</v>
          </cell>
        </row>
        <row r="23">
          <cell r="G23">
            <v>74.28</v>
          </cell>
        </row>
        <row r="25">
          <cell r="G25">
            <v>247.6</v>
          </cell>
        </row>
        <row r="26">
          <cell r="G26">
            <v>160.94</v>
          </cell>
        </row>
        <row r="27">
          <cell r="G27">
            <v>185.7</v>
          </cell>
        </row>
        <row r="28">
          <cell r="G28">
            <v>309.5</v>
          </cell>
        </row>
        <row r="29">
          <cell r="G29">
            <v>742.8</v>
          </cell>
        </row>
        <row r="30">
          <cell r="G30">
            <v>185.7</v>
          </cell>
        </row>
        <row r="32">
          <cell r="G32">
            <v>28</v>
          </cell>
        </row>
        <row r="33">
          <cell r="G33">
            <v>75000</v>
          </cell>
        </row>
        <row r="34">
          <cell r="G34">
            <v>13500</v>
          </cell>
        </row>
        <row r="35">
          <cell r="G35">
            <v>13500</v>
          </cell>
        </row>
        <row r="36">
          <cell r="G36">
            <v>500</v>
          </cell>
        </row>
        <row r="37">
          <cell r="G37">
            <v>375</v>
          </cell>
        </row>
        <row r="38">
          <cell r="G38">
            <v>1000</v>
          </cell>
        </row>
        <row r="39">
          <cell r="G39">
            <v>250</v>
          </cell>
        </row>
        <row r="41">
          <cell r="G41">
            <v>100</v>
          </cell>
        </row>
        <row r="42">
          <cell r="G42">
            <v>247.6</v>
          </cell>
        </row>
        <row r="43">
          <cell r="G43">
            <v>433.3</v>
          </cell>
        </row>
        <row r="44">
          <cell r="G44">
            <v>123.8</v>
          </cell>
        </row>
        <row r="45">
          <cell r="G45">
            <v>185.7</v>
          </cell>
        </row>
        <row r="46">
          <cell r="G46">
            <v>185.7</v>
          </cell>
        </row>
        <row r="47">
          <cell r="G47">
            <v>60000</v>
          </cell>
        </row>
        <row r="49">
          <cell r="G49">
            <v>200</v>
          </cell>
        </row>
        <row r="50">
          <cell r="G50">
            <v>6565.0659999999998</v>
          </cell>
        </row>
        <row r="51">
          <cell r="G51">
            <v>70</v>
          </cell>
        </row>
        <row r="52">
          <cell r="G52">
            <v>70</v>
          </cell>
        </row>
        <row r="53">
          <cell r="G53">
            <v>192000</v>
          </cell>
        </row>
        <row r="54">
          <cell r="G54">
            <v>122194.66320000001</v>
          </cell>
        </row>
        <row r="55">
          <cell r="G55">
            <v>82140.130999999994</v>
          </cell>
        </row>
        <row r="56">
          <cell r="G56">
            <v>10250.674560000001</v>
          </cell>
        </row>
        <row r="57">
          <cell r="G57">
            <v>5615.3190000000004</v>
          </cell>
        </row>
        <row r="58">
          <cell r="G58">
            <v>371372.78499999997</v>
          </cell>
        </row>
        <row r="59">
          <cell r="G59">
            <v>12</v>
          </cell>
        </row>
        <row r="60">
          <cell r="G60">
            <v>192</v>
          </cell>
        </row>
        <row r="61">
          <cell r="G61">
            <v>960</v>
          </cell>
        </row>
        <row r="62">
          <cell r="G62">
            <v>60</v>
          </cell>
        </row>
        <row r="63">
          <cell r="G63">
            <v>120</v>
          </cell>
        </row>
        <row r="64">
          <cell r="G64">
            <v>160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1">
          <cell r="G11">
            <v>0</v>
          </cell>
        </row>
      </sheetData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erencia"/>
      <sheetName val="MAO DE OBRA"/>
      <sheetName val="EQUIPAMENTO"/>
      <sheetName val="MÃO DE OBRA"/>
      <sheetName val="RR-1C"/>
      <sheetName val="CM-30"/>
      <sheetName val="TRANSP. 4M3"/>
      <sheetName val="TRANSP.5M³"/>
      <sheetName val="GRAMA"/>
      <sheetName val="CAPINA"/>
      <sheetName val="ROÇADA "/>
      <sheetName val="ROÇ. COL."/>
      <sheetName val="RECOMP.MEC."/>
      <sheetName val="RECOMP.MANUAL"/>
      <sheetName val="VALETA"/>
      <sheetName val="MEIO FIO"/>
      <sheetName val="correção"/>
      <sheetName val="REM. MEC"/>
      <sheetName val="REM. MANUAL"/>
      <sheetName val="T. BURACO"/>
      <sheetName val="ESC. MANUAL"/>
      <sheetName val="LIMP.PONTE"/>
      <sheetName val="MBUF"/>
      <sheetName val="SOLO"/>
      <sheetName val="REGUL."/>
      <sheetName val="REAJ.AQUIS"/>
      <sheetName val="REAJ.TRANSP"/>
      <sheetName val="REAJUST"/>
      <sheetName val="DIVERSOS"/>
      <sheetName val="RELET"/>
      <sheetName val="F. MEDIÇAO"/>
      <sheetName val="REC.REV. PRIM."/>
      <sheetName val="M.BETUM."/>
      <sheetName val="TRANSPORTE10"/>
      <sheetName val="TRANSPORTE"/>
      <sheetName val="ROÇADA"/>
      <sheetName val="RECOMPOSIÇÃO"/>
      <sheetName val="capa selante"/>
      <sheetName val="REM. MECANIZADO"/>
      <sheetName val="T. BURACO (emer)"/>
      <sheetName val="ENROCAMENTO JOGADO"/>
      <sheetName val="ENROCAMENTO"/>
      <sheetName val="CONCRETO"/>
      <sheetName val="PONTE E CAIAÇÃO"/>
      <sheetName val="RECONF. E ESCAVAÇ."/>
      <sheetName val="REAJ.AQUIS (2)"/>
      <sheetName val="RELET 1"/>
      <sheetName val="RELET 2"/>
      <sheetName val="BOLETIM"/>
      <sheetName val="COMPOSIÇO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.BETUM."/>
      <sheetName val="TRANSPORTE"/>
      <sheetName val="CAPINA "/>
      <sheetName val="ROÇADA "/>
      <sheetName val="RECOMP.MEC."/>
      <sheetName val="RECOMP.MANUAL"/>
      <sheetName val="correção"/>
      <sheetName val="REM. MEC"/>
      <sheetName val="REM. MANUAL"/>
      <sheetName val="T. BURACO"/>
      <sheetName val="ENROCAMENTO"/>
      <sheetName val="CONCRETO"/>
      <sheetName val="MBUF"/>
      <sheetName val="SOLO"/>
      <sheetName val="MEIO FIO E VALETA"/>
      <sheetName val="PONTE E CAIAÇÃO"/>
      <sheetName val="REGUL. E ESCAVAÇ."/>
      <sheetName val="REAJ.AQUIS (2)"/>
      <sheetName val="REAJ.AQUIS"/>
      <sheetName val="REAJ.TRANSP"/>
      <sheetName val="DIVERSOS "/>
      <sheetName val="RELET"/>
      <sheetName val="F. MEDIÇAO"/>
      <sheetName val="REC.REV. PRIM."/>
      <sheetName val="TRANSPORTE10"/>
      <sheetName val="CAPINA"/>
      <sheetName val="ROÇADA"/>
      <sheetName val="RECOMPOSIÇÃO"/>
      <sheetName val="capa selante"/>
      <sheetName val="REM. MECANIZADO"/>
      <sheetName val="T. BURACO (emer)"/>
      <sheetName val="ENROCAMENTO JOGADO"/>
      <sheetName val="MEIO FIO"/>
      <sheetName val="RECONF. E ESCAVAÇ."/>
      <sheetName val="DIVERSOS"/>
      <sheetName val="RELET 1"/>
      <sheetName val="RELET 2"/>
      <sheetName val="BOLETIM"/>
      <sheetName val="COMPOSIÇOES"/>
      <sheetName val="F__MEDIÇAO"/>
      <sheetName val="M_BETUM_"/>
      <sheetName val="CAPINA_"/>
      <sheetName val="ROÇADA_"/>
      <sheetName val="RECOMP_MEC_"/>
      <sheetName val="RECOMP_MANUAL"/>
      <sheetName val="REM__MEC"/>
      <sheetName val="REM__MANUAL"/>
      <sheetName val="T__BURACO"/>
      <sheetName val="MEIO_FIO_E_VALETA"/>
      <sheetName val="PONTE_E_CAIAÇÃO"/>
      <sheetName val="REGUL__E_ESCAVAÇ_"/>
      <sheetName val="REAJ_AQUIS_(2)"/>
      <sheetName val="REAJ_AQUIS"/>
      <sheetName val="REAJ_TRANSP"/>
      <sheetName val="DIVERSOS_"/>
      <sheetName val="REC_REV__PRIM_"/>
      <sheetName val="capa_selante"/>
      <sheetName val="REM__MECANIZADO"/>
      <sheetName val="T__BURACO_(emer)"/>
      <sheetName val="ENROCAMENTO_JOGADO"/>
      <sheetName val="MEIO_FIO"/>
      <sheetName val="RECONF__E_ESCAVAÇ_"/>
      <sheetName val="RELET_1"/>
      <sheetName val="RELET_2"/>
      <sheetName val="M_BETUM_1"/>
      <sheetName val="CAPINA_1"/>
      <sheetName val="ROÇADA_1"/>
      <sheetName val="RECOMP_MEC_1"/>
      <sheetName val="RECOMP_MANUAL1"/>
      <sheetName val="REM__MEC1"/>
      <sheetName val="REM__MANUAL1"/>
      <sheetName val="T__BURACO1"/>
      <sheetName val="MEIO_FIO_E_VALETA1"/>
      <sheetName val="PONTE_E_CAIAÇÃO1"/>
      <sheetName val="REGUL__E_ESCAVAÇ_1"/>
      <sheetName val="REAJ_AQUIS_(2)1"/>
      <sheetName val="REAJ_AQUIS1"/>
      <sheetName val="REAJ_TRANSP1"/>
      <sheetName val="DIVERSOS_1"/>
      <sheetName val="F__MEDIÇAO1"/>
      <sheetName val="REC_REV__PRIM_1"/>
      <sheetName val="capa_selante1"/>
      <sheetName val="REM__MECANIZADO1"/>
      <sheetName val="T__BURACO_(emer)1"/>
      <sheetName val="ENROCAMENTO_JOGADO1"/>
      <sheetName val="MEIO_FIO1"/>
      <sheetName val="RECONF__E_ESCAVAÇ_1"/>
      <sheetName val="RELET_11"/>
      <sheetName val="RELET_21"/>
      <sheetName val="p a t o 99 b"/>
      <sheetName val="compos1"/>
    </sheetNames>
    <sheetDataSet>
      <sheetData sheetId="0">
        <row r="12">
          <cell r="J12">
            <v>37.46</v>
          </cell>
        </row>
      </sheetData>
      <sheetData sheetId="1">
        <row r="12">
          <cell r="J12">
            <v>37.46</v>
          </cell>
        </row>
      </sheetData>
      <sheetData sheetId="2">
        <row r="12">
          <cell r="J12">
            <v>37.46</v>
          </cell>
        </row>
      </sheetData>
      <sheetData sheetId="3">
        <row r="12">
          <cell r="J12">
            <v>37.46</v>
          </cell>
        </row>
      </sheetData>
      <sheetData sheetId="4">
        <row r="12">
          <cell r="J12">
            <v>37.46</v>
          </cell>
        </row>
      </sheetData>
      <sheetData sheetId="5">
        <row r="12">
          <cell r="J12">
            <v>37.46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J12">
            <v>37.46</v>
          </cell>
        </row>
      </sheetData>
      <sheetData sheetId="20">
        <row r="12">
          <cell r="J12">
            <v>37.46</v>
          </cell>
        </row>
      </sheetData>
      <sheetData sheetId="21">
        <row r="12">
          <cell r="J12">
            <v>37.46</v>
          </cell>
        </row>
      </sheetData>
      <sheetData sheetId="22">
        <row r="12">
          <cell r="J12">
            <v>37.46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Quadro + Gráfico"/>
      <sheetName val="Custo do CM-30"/>
      <sheetName val="Cálculo"/>
      <sheetName val="Preços"/>
      <sheetName val="Desp. Apoio"/>
      <sheetName val="Fresagem de Pista Ago-98"/>
      <sheetName val="memória de calculo_liquida"/>
      <sheetName val="Proposta"/>
      <sheetName val="Carimbo de Nota"/>
      <sheetName val="COMPOS1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3"/>
      <sheetName val="PLANILHA ATUALIZADA"/>
      <sheetName val="Auxiliar"/>
      <sheetName val="Tela"/>
      <sheetName val="Atualizacao"/>
      <sheetName val="Chuvas"/>
      <sheetName val="Medição"/>
      <sheetName val="RELATA"/>
      <sheetName val="Conc 20"/>
      <sheetName val="CRON.NOVO.ARIPUANA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PRO_08"/>
      <sheetName val="RESUMO_AUT1"/>
      <sheetName val="Custo da Imprimação"/>
      <sheetName val="Custo da Pintura de Ligação"/>
      <sheetName val="Resumo Financeiro"/>
      <sheetName val=""/>
      <sheetName val="RP-1 SB (3)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D"/>
      <sheetName val="TABELAS"/>
      <sheetName val="Read Me!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RED.-EXP."/>
      <sheetName val="BOCAIS"/>
      <sheetName val="LEQ"/>
      <sheetName val="Planejamento Detalh"/>
      <sheetName val="Relatório-1ª med."/>
      <sheetName val="Imai03"/>
      <sheetName val="Planilha orçamentária da PMJ"/>
      <sheetName val="NF 131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DIPRVS12"/>
      <sheetName val="PROJETO"/>
      <sheetName val="Relatório-1ª_med_"/>
      <sheetName val="Ob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/>
      <sheetData sheetId="16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. Mat."/>
      <sheetName val="M.O. Sal"/>
      <sheetName val="Anexo M.O."/>
      <sheetName val="C. Equip."/>
      <sheetName val="C. Equip. Formula (A FAZER)"/>
      <sheetName val="Anexo C. Equip. VR"/>
      <sheetName val="Anexo C. Equip. VU"/>
      <sheetName val="BDI"/>
      <sheetName val="DMT"/>
      <sheetName val="COMPOSIÇÃO"/>
      <sheetName val="Aux"/>
      <sheetName val="1 A 00 301 00"/>
      <sheetName val="1 A 00 302 00"/>
      <sheetName val="1 A 00 716 00"/>
      <sheetName val="1 A 00 717 00"/>
      <sheetName val="1 A 00 963 00"/>
      <sheetName val="1 A 01 100 01"/>
      <sheetName val="1 A 01 100 02"/>
      <sheetName val="1 A 01 105 01"/>
      <sheetName val="1 A 01 105 02"/>
      <sheetName val="1 A 01 111 01"/>
      <sheetName val="1 A 01 120 01"/>
      <sheetName val="1 A 01 150 01"/>
      <sheetName val="1 A 01 170 01"/>
      <sheetName val="1 A 01 200 01"/>
      <sheetName val="1 A 01 390 72"/>
      <sheetName val="1 A 01 401 01"/>
      <sheetName val="1 A 01 410 51"/>
      <sheetName val="1 A 01 412 51"/>
      <sheetName val="1 A 01 415 01"/>
      <sheetName val="1 A 01 415 51"/>
      <sheetName val="1 A 01 418 51"/>
      <sheetName val="1 A 01 422 51"/>
      <sheetName val="1 A 01 580 02"/>
      <sheetName val="1 A 01 606 51"/>
      <sheetName val="1 A 01 720 50"/>
      <sheetName val="1 A 01 720 02"/>
      <sheetName val="1 A 01 780 01"/>
      <sheetName val="1 A 01 790 02"/>
      <sheetName val="1 A 01 890 01"/>
      <sheetName val="1 A 01 891 01"/>
      <sheetName val="1 A 01 893 01"/>
      <sheetName val="1 A 01 894 51"/>
      <sheetName val="2 S 04 401 01"/>
      <sheetName val="2 S 04 900 01"/>
      <sheetName val="2 S 04 910 55"/>
      <sheetName val="2 S 04 940 02"/>
      <sheetName val="3 S 03 950 00"/>
      <sheetName val="Q15-Manut-1° Ano"/>
      <sheetName val="Q15-Manut-2° Ano"/>
      <sheetName val="3 S 08 101 02"/>
      <sheetName val="3 S 08 109 04"/>
      <sheetName val="3 S 08 200 50"/>
      <sheetName val="3 S 08 200 51"/>
      <sheetName val="3 S 08 300 01"/>
      <sheetName val="3 S 08 301 01"/>
      <sheetName val="3 S 08 301 03"/>
      <sheetName val="3 S 08 302 01"/>
      <sheetName val="3 S 08 401 00"/>
      <sheetName val="3 S 08 402 00"/>
      <sheetName val="3 S 08 500 00"/>
      <sheetName val="3 S 08 900 00"/>
      <sheetName val="3 S 08 901 00"/>
      <sheetName val="3 S 08 910 00"/>
      <sheetName val="4 S 06 100 11"/>
      <sheetName val="5 S 01 000 00"/>
      <sheetName val="5 S 01 000 13"/>
      <sheetName val="5 S 01 011 00"/>
      <sheetName val="5 S 01 511 00"/>
      <sheetName val="5 S 02 300 00"/>
      <sheetName val="5 S 02 400 00"/>
      <sheetName val="5 S 02 501 51"/>
      <sheetName val="5 S 02 540 71"/>
      <sheetName val="5 S 02 511 51"/>
      <sheetName val="5 S 02 511 52"/>
      <sheetName val="5 S 02 993 04"/>
      <sheetName val="CBUQ Sem codigo"/>
      <sheetName val="Aux. Usinagem"/>
      <sheetName val="Tranp"/>
      <sheetName val="1 A 00 002 00"/>
      <sheetName val="1 A 00 002 03"/>
      <sheetName val="1 A 00 002 04"/>
      <sheetName val="1 A 00 002 07"/>
      <sheetName val="1 A 00 002 40"/>
      <sheetName val="1 A 00 002 41"/>
      <sheetName val="1 A 00 002 90"/>
      <sheetName val="1 A 00 002 91"/>
      <sheetName val="1 A 00 102 00"/>
      <sheetName val="2 S 01 000 00"/>
      <sheetName val="1 A 01 120 01 cant"/>
      <sheetName val="2 S 01 511 00"/>
      <sheetName val="Prep. Area Estoc."/>
      <sheetName val="Manut. Cant."/>
      <sheetName val="Mont. Usina Asfal."/>
      <sheetName val="1 A 01 422 51 Cant."/>
      <sheetName val="Aluguel Lab."/>
      <sheetName val="Aluguel Top."/>
      <sheetName val="Aluguel Resid."/>
      <sheetName val="Aluguel Aloj."/>
      <sheetName val="Manut. Canteiro"/>
      <sheetName val="Resumo Canteiro"/>
      <sheetName val="Inst. de Canteiro"/>
      <sheetName val="Mobilização"/>
      <sheetName val="SINAPI"/>
      <sheetName val="MB"/>
      <sheetName val="AQ_CAP"/>
      <sheetName val="AQ_CM30"/>
      <sheetName val="AQ_RR1C"/>
      <sheetName val="AQ_RR2C"/>
      <sheetName val="AQ_RC1C"/>
      <sheetName val="TRANSP MB"/>
      <sheetName val="T_CAP"/>
      <sheetName val="T_CM30"/>
      <sheetName val="T_RR1C"/>
      <sheetName val="T_RR2C"/>
      <sheetName val="T_RC1C"/>
      <sheetName val="QUADRO 06_RESUMO"/>
      <sheetName val="QUADRO 08-ROBERTO"/>
      <sheetName val="QUADRO 08_PROPOSTA"/>
      <sheetName val="QUADRO 10"/>
      <sheetName val="Q09-Esc salarial"/>
      <sheetName val="Quadro 11"/>
      <sheetName val="A"/>
      <sheetName val="SERVIÇOS"/>
      <sheetName val="f. mediçao"/>
      <sheetName val="correção"/>
      <sheetName val="MBUQ"/>
      <sheetName val="recomp. revest. cbuq"/>
      <sheetName val="TRANSPORTE"/>
      <sheetName val="T. BURACO"/>
      <sheetName val="TPU-MARÇO_2002"/>
    </sheetNames>
    <sheetDataSet>
      <sheetData sheetId="0">
        <row r="4">
          <cell r="B4" t="str">
            <v>0144/2012-12</v>
          </cell>
        </row>
        <row r="5">
          <cell r="B5" t="str">
            <v>Lote Único</v>
          </cell>
        </row>
        <row r="11">
          <cell r="B11" t="str">
            <v>Transenge Engenharia e Construções Ltda</v>
          </cell>
        </row>
        <row r="12">
          <cell r="B12" t="str">
            <v>Engº José Roberto Fagiolo - CREA 516 -D/MS</v>
          </cell>
        </row>
        <row r="13">
          <cell r="B13" t="str">
            <v>PROCESSO N° 50600.012693/2012-34</v>
          </cell>
        </row>
        <row r="14">
          <cell r="B14">
            <v>40909</v>
          </cell>
        </row>
        <row r="16">
          <cell r="B16" t="str">
            <v>Jan/2012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3">
          <cell r="C13">
            <v>8.7200000000000006</v>
          </cell>
        </row>
        <row r="14">
          <cell r="C14">
            <v>20.28</v>
          </cell>
        </row>
        <row r="15">
          <cell r="C15">
            <v>35.979999999999997</v>
          </cell>
        </row>
        <row r="16">
          <cell r="C16">
            <v>12.72</v>
          </cell>
        </row>
        <row r="18">
          <cell r="C18">
            <v>31.94</v>
          </cell>
        </row>
        <row r="20">
          <cell r="C20">
            <v>20.28</v>
          </cell>
        </row>
        <row r="21">
          <cell r="C21">
            <v>31.94</v>
          </cell>
        </row>
        <row r="22">
          <cell r="C22">
            <v>0</v>
          </cell>
        </row>
        <row r="23">
          <cell r="C23">
            <v>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65">
          <cell r="H65">
            <v>99.79</v>
          </cell>
        </row>
      </sheetData>
      <sheetData sheetId="45">
        <row r="65">
          <cell r="H65">
            <v>64.34</v>
          </cell>
        </row>
      </sheetData>
      <sheetData sheetId="46">
        <row r="65">
          <cell r="H65">
            <v>33.42</v>
          </cell>
        </row>
      </sheetData>
      <sheetData sheetId="47">
        <row r="65">
          <cell r="H65">
            <v>85.94</v>
          </cell>
        </row>
      </sheetData>
      <sheetData sheetId="48"/>
      <sheetData sheetId="49">
        <row r="23">
          <cell r="F23">
            <v>205338.11</v>
          </cell>
        </row>
      </sheetData>
      <sheetData sheetId="50">
        <row r="22">
          <cell r="F22">
            <v>108516.43</v>
          </cell>
        </row>
      </sheetData>
      <sheetData sheetId="51"/>
      <sheetData sheetId="52"/>
      <sheetData sheetId="53">
        <row r="65">
          <cell r="H65">
            <v>112.52</v>
          </cell>
        </row>
      </sheetData>
      <sheetData sheetId="54"/>
      <sheetData sheetId="55"/>
      <sheetData sheetId="56"/>
      <sheetData sheetId="57"/>
      <sheetData sheetId="58"/>
      <sheetData sheetId="59">
        <row r="65">
          <cell r="H65">
            <v>178.84</v>
          </cell>
        </row>
      </sheetData>
      <sheetData sheetId="60"/>
      <sheetData sheetId="61"/>
      <sheetData sheetId="62"/>
      <sheetData sheetId="63"/>
      <sheetData sheetId="64"/>
      <sheetData sheetId="65">
        <row r="65">
          <cell r="H65">
            <v>9.91</v>
          </cell>
        </row>
      </sheetData>
      <sheetData sheetId="66"/>
      <sheetData sheetId="67"/>
      <sheetData sheetId="68"/>
      <sheetData sheetId="69"/>
      <sheetData sheetId="70">
        <row r="65">
          <cell r="H65">
            <v>0.19</v>
          </cell>
        </row>
      </sheetData>
      <sheetData sheetId="71"/>
      <sheetData sheetId="72">
        <row r="67">
          <cell r="H67">
            <v>3.41</v>
          </cell>
        </row>
      </sheetData>
      <sheetData sheetId="73">
        <row r="65">
          <cell r="H65">
            <v>67.59</v>
          </cell>
        </row>
      </sheetData>
      <sheetData sheetId="74">
        <row r="67">
          <cell r="H67">
            <v>1.94</v>
          </cell>
        </row>
      </sheetData>
      <sheetData sheetId="75">
        <row r="67">
          <cell r="H67">
            <v>3.71</v>
          </cell>
        </row>
      </sheetData>
      <sheetData sheetId="76"/>
      <sheetData sheetId="77">
        <row r="65">
          <cell r="H65">
            <v>109.43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65">
          <cell r="H65">
            <v>8672.75</v>
          </cell>
        </row>
      </sheetData>
      <sheetData sheetId="101"/>
      <sheetData sheetId="102">
        <row r="65">
          <cell r="H65">
            <v>159738.88</v>
          </cell>
        </row>
      </sheetData>
      <sheetData sheetId="103"/>
      <sheetData sheetId="104">
        <row r="65">
          <cell r="H65">
            <v>590.14</v>
          </cell>
        </row>
      </sheetData>
      <sheetData sheetId="105"/>
      <sheetData sheetId="106">
        <row r="65">
          <cell r="H65">
            <v>1341.6</v>
          </cell>
        </row>
      </sheetData>
      <sheetData sheetId="107">
        <row r="65">
          <cell r="H65">
            <v>2059.1999999999998</v>
          </cell>
        </row>
      </sheetData>
      <sheetData sheetId="108">
        <row r="65">
          <cell r="H65">
            <v>1081</v>
          </cell>
        </row>
      </sheetData>
      <sheetData sheetId="109">
        <row r="65">
          <cell r="H65">
            <v>1223.5999999999999</v>
          </cell>
        </row>
      </sheetData>
      <sheetData sheetId="110">
        <row r="65">
          <cell r="H65">
            <v>1674.4</v>
          </cell>
        </row>
      </sheetData>
      <sheetData sheetId="111">
        <row r="23">
          <cell r="C23">
            <v>1.0447</v>
          </cell>
        </row>
      </sheetData>
      <sheetData sheetId="112">
        <row r="65">
          <cell r="H65">
            <v>84.74</v>
          </cell>
        </row>
      </sheetData>
      <sheetData sheetId="113">
        <row r="65">
          <cell r="H65">
            <v>45</v>
          </cell>
        </row>
      </sheetData>
      <sheetData sheetId="114">
        <row r="65">
          <cell r="H65">
            <v>45</v>
          </cell>
        </row>
      </sheetData>
      <sheetData sheetId="115">
        <row r="65">
          <cell r="H65">
            <v>45</v>
          </cell>
        </row>
      </sheetData>
      <sheetData sheetId="116">
        <row r="65">
          <cell r="H65">
            <v>45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eiro"/>
      <sheetName val="AVS"/>
      <sheetName val="Ctr. (3)"/>
      <sheetName val="DMT"/>
      <sheetName val="Equipamentos"/>
      <sheetName val="Materiais"/>
      <sheetName val="Mão de Obra"/>
      <sheetName val="Diversos"/>
      <sheetName val="Trechos"/>
      <sheetName val="Vínculo (2)"/>
      <sheetName val="COLAR (2)"/>
      <sheetName val="Ctr. (2)"/>
      <sheetName val="Reciclagem de Base 1"/>
      <sheetName val="Reciclagem de Base 2"/>
      <sheetName val="CBUQ pol"/>
      <sheetName val="CBUQ Massa Fina"/>
      <sheetName val="Lama Grossa"/>
      <sheetName val="TSSp"/>
      <sheetName val="TSD"/>
      <sheetName val="Remoção CBUQ"/>
      <sheetName val="Selagem de trinca"/>
      <sheetName val="Micro Rev. 2 Cam."/>
      <sheetName val="AAUQ"/>
      <sheetName val="DCD 02 "/>
      <sheetName val="RBAM"/>
      <sheetName val="Base Solo Estab."/>
      <sheetName val="DPS 01"/>
      <sheetName val="Esc mat 1ª cat 600 a 800"/>
      <sheetName val="Compact 100% PN"/>
      <sheetName val="STC 03"/>
      <sheetName val="EDA 01"/>
      <sheetName val="Gabião"/>
      <sheetName val="Hidrossemeadura"/>
      <sheetName val="BSD 03"/>
      <sheetName val="DSS 03"/>
      <sheetName val="BSD 01"/>
      <sheetName val="Reciclagem de Base com BRITA"/>
      <sheetName val="TSS"/>
      <sheetName val="RBSM"/>
      <sheetName val="RBAM(FS)"/>
      <sheetName val="Fresagem Cont."/>
      <sheetName val="Vínculo"/>
      <sheetName val="COLAR"/>
      <sheetName val="Ctr."/>
      <sheetName val="aux"/>
      <sheetName val="indices"/>
      <sheetName val="f. mediçao"/>
      <sheetName val="correção"/>
      <sheetName val="MBUQ"/>
      <sheetName val="recomp. revest. cbuq"/>
      <sheetName val="TRANSPORTE"/>
      <sheetName val="T. BURA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Y8">
            <v>108.2</v>
          </cell>
        </row>
        <row r="9">
          <cell r="Y9">
            <v>185.5</v>
          </cell>
        </row>
        <row r="10">
          <cell r="Y10">
            <v>128.19999999999999</v>
          </cell>
        </row>
        <row r="11">
          <cell r="Y11">
            <v>185.5</v>
          </cell>
        </row>
        <row r="12">
          <cell r="Y12">
            <v>223.2</v>
          </cell>
        </row>
        <row r="13">
          <cell r="Y13">
            <v>165.7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DADOS"/>
      <sheetName val="TransComerc_Basc10m³"/>
      <sheetName val="TapaBuraco"/>
      <sheetName val="Plan1"/>
      <sheetName val="PRO-08"/>
      <sheetName val="PLANILHA ATUALIZADA"/>
      <sheetName val="RESUMO DE MEDIÇÃ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C"/>
      <sheetName val="FV-DNER"/>
      <sheetName val="orçamento_global"/>
      <sheetName val="Sub-base"/>
      <sheetName val="Resumo"/>
      <sheetName val="DMT Terrap."/>
      <sheetName val="Reajustamento"/>
      <sheetName val="FIDENS-R$mil"/>
      <sheetName val="Vínculo"/>
      <sheetName val="LISTAS"/>
      <sheetName val="COMPOS1"/>
      <sheetName val="LISTA_MATERIAIS"/>
      <sheetName val="MATERIAIS"/>
      <sheetName val="RESUMO TOTAL LOTE"/>
      <sheetName val="BR 146"/>
      <sheetName val="8ª MP_BR_459"/>
      <sheetName val="RBE ACT mi"/>
      <sheetName val="Plan 2.7"/>
      <sheetName val="CUSTO ZONA SUL"/>
      <sheetName val="DG"/>
      <sheetName val="points"/>
      <sheetName val="Mat"/>
      <sheetName val="8ª MP_BR-459"/>
      <sheetName val="QuQuant"/>
      <sheetName val="PLANILHA CONTRATUAL"/>
      <sheetName val="Equipamentos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Motores"/>
      <sheetName val="LISTAS (2)"/>
      <sheetName val="MATERIAIS (2)"/>
      <sheetName val="RESUMO BACIAS_IMPRESSÃO"/>
      <sheetName val="K"/>
      <sheetName val="Conversão"/>
      <sheetName val="P A T O 98 D"/>
      <sheetName val="MEDIÇÃO.XLS"/>
      <sheetName val="FICHA.XLS"/>
      <sheetName val="CONTROLE MEDIÇÕES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AUXILI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DADOS"/>
      <sheetName val="TransComerc_Basc10m³"/>
      <sheetName val="TapaBuraco"/>
      <sheetName val="eq"/>
      <sheetName val="mo"/>
      <sheetName val="Teor"/>
      <sheetName val="lista_comp"/>
      <sheetName val="Serviços"/>
      <sheetName val="RELAT610"/>
      <sheetName val="PQ"/>
      <sheetName val="CARTA PROPOSTA"/>
      <sheetName val="Página 16"/>
      <sheetName val="QuQuant"/>
      <sheetName val="Planilha Original"/>
      <sheetName val="PROJETO BR_146 (2)"/>
      <sheetName val="TABELA"/>
      <sheetName val="Quadro de qntd"/>
      <sheetName val="FIDENS-R$mil"/>
      <sheetName val="PLANILHA CONTRATUAL"/>
      <sheetName val="RESUMO"/>
      <sheetName val="Medição"/>
      <sheetName val="TRANSP"/>
      <sheetName val="geral"/>
      <sheetName val="Mat. Betum. - Port. 1078.15"/>
      <sheetName val="8ª MP_BR_459"/>
      <sheetName val="8ª MP_BR-459"/>
      <sheetName val="Orçamento"/>
      <sheetName val="PT"/>
      <sheetName val="TCB5"/>
      <sheetName val="PLANILHA ATUALIZADA"/>
      <sheetName val="Mat"/>
      <sheetName val="ficha medição"/>
      <sheetName val="Resumo Financeiro"/>
      <sheetName val="Produção x Medição"/>
      <sheetName val="dez00"/>
      <sheetName val="COMPOS1"/>
      <sheetName val="Equipamentos"/>
      <sheetName val="Planilha de Medição"/>
      <sheetName val="LISTA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  <sheetName val="original"/>
      <sheetName val="projeto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serviços"/>
      <sheetName val="orçamento"/>
      <sheetName val="INDICES"/>
      <sheetName val="fresagem de pista ago-98"/>
      <sheetName val="D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E2" t="str">
            <v>Serviços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E6" t="str">
            <v>Sondagem a percussão até 15 m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E7" t="str">
            <v>Sondagem a perc. até 15 m loc.alag.&lt;50cm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E8" t="str">
            <v>Sondagem a percussão de 15 a 30 m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E9" t="str">
            <v>Sondagem a perc.15a30m loc.alag.&lt;50cm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E10" t="str">
            <v>Sondagem percussão superior 30 m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E11" t="str">
            <v>Sondagem perc.+30 m loc.alag.&lt; 50 cm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E12" t="str">
            <v>Sondagem perc. - taxa fixa de instalação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E13" t="str">
            <v>Sondagem rotativa - taxa fixa instalação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E14" t="str">
            <v>Sondagem - transporte de equipamento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E15" t="str">
            <v>Sondagem - deslocamento de equipamento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E16" t="str">
            <v>Sondagem perc. - plataforma ou banqueta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E17" t="str">
            <v>Sondagem rotativa - plataforma ou banqueta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E18" t="str">
            <v>Abertura de picada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E19" t="str">
            <v>Sondagem - flutuante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E20" t="str">
            <v>Sondagem percussão instalação flutuante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E21" t="str">
            <v>Sondagem rotativa - instalação flutuante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E22" t="str">
            <v>Sondagem rotativa solo 57,10mm (AX)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E23" t="str">
            <v>Sondagem rotativa solo 73,00mm (BX)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E24" t="str">
            <v>Sondagem rotativa solo 88,9mm (NX)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E25" t="str">
            <v>Sondagem rotativa solo 114,30mm (HX)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E26" t="str">
            <v>Sondagem rotativa rocha alt. 57,1mm (AX)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E27" t="str">
            <v>Sondagem rotativa rocha alt. 73,0mm (BX)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E28" t="str">
            <v>Sondagem rotativa rocha alt. 88,9mm (NX)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E29" t="str">
            <v>Sondagem rotativa rocha alt. 114,3mm (HX)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E30" t="str">
            <v>Sondagem rotativa rocha sã 57,10mm (AX)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E31" t="str">
            <v>Sondagem rotativa rocha sã 73,00mm (BX)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E32" t="str">
            <v xml:space="preserve">Sondagem rotativa rocha sã 88,90mm (NX) 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E33" t="str">
            <v>Sondagem rotativa rocha sã 114,3mm (HX)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E34" t="str">
            <v>Sondagem à trado profundidade até 5 m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E35" t="str">
            <v>Sondagem à trado profundidade 5 a 10 m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E36" t="str">
            <v>Lev. até 10.000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E37" t="str">
            <v>Lev. até 10.000 m² em vegetação densa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E38" t="str">
            <v xml:space="preserve">Lev. até 10.000 m² em zona urbana 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E39" t="str">
            <v>Lev. até 10.000 m² em zona suburbana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E40" t="str">
            <v>Lev. de 10.000 a 50.000 m²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E41" t="str">
            <v>Lev. de 10.000 a 50.000 m² vegetação densa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E42" t="str">
            <v>Lev. de 10.000 a 50.000 m² zona urbana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E43" t="str">
            <v>Lev. de 10.000 a 50.000 m² zona suburbana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E44" t="str">
            <v>Lev. superior a 50.000 m²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E45" t="str">
            <v>Lev. superior a 50.000 m² vegetação densa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E46" t="str">
            <v>Lev. superior a 50.000 m² zona urbana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E47" t="str">
            <v>Lev. superior a 50.000 m² zona suburbana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E48" t="str">
            <v>Transp. Coordenadas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E49" t="str">
            <v>Transp. Coord. Vgt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E50" t="str">
            <v>Transporte coordenadas zona urbana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E51" t="str">
            <v>Transporte coordenadas zona suburbana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E52" t="str">
            <v>Transporte de turma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E53" t="str">
            <v>Locação de anteprojeto região ondulada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E54" t="str">
            <v>Locação anteprojeto região montanhosa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E55" t="str">
            <v>Locação linha ensaio região ondulada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E56" t="str">
            <v>Locação linha ensaio região montanhosa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E57" t="str">
            <v>Locação linha expl.em região montanhosa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E58" t="str">
            <v>Locação linha expl.região escarpada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E59" t="str">
            <v>Locação projeto região plana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E60" t="str">
            <v>Locação projeto região plana veget.densa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E61" t="str">
            <v>Locação projeto reg. plana zona urbana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E62" t="str">
            <v>Locação projeto reg.plana zona suburbana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E63" t="str">
            <v>Locação projeto reg.ondulada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E64" t="str">
            <v>Locação projeto reg. ondulada veget.densa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E65" t="str">
            <v>Locação projeto reg. ondulada zona urbana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E66" t="str">
            <v>Locação projeto reg. ondulada zona suburbana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E67" t="str">
            <v>Locação projeto região montanhosa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E68" t="str">
            <v>Locação projeto reg. montanhosa veget.densa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E69" t="str">
            <v>Locação projeto reg. montanhosa zona urbana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E70" t="str">
            <v>Locação projeto reg. montanhosa zona suburbana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E71" t="str">
            <v>Locação projeto região escarpada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E72" t="str">
            <v>Locação projeto reg. escarpada veget. densa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E73" t="str">
            <v>Locação projeto reg. escarpada z. urbana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E74" t="str">
            <v>Locação projeto reg. escarpada z.suburbana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E75" t="str">
            <v>Cadastro região ondulada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E76" t="str">
            <v>Cadastro reg.ondulada veget.densa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E77" t="str">
            <v>Cadastro reg.ondulada zona urbana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E78" t="str">
            <v>Cadastro reg.ondulada zona suburbana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E79" t="str">
            <v>Cadastro região montanhosa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E80" t="str">
            <v>Cadastro região montanhosa veget. densa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E81" t="str">
            <v>Cadastro reg. montanhosa zona urbana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E82" t="str">
            <v>Cadastro região montanhosa zona suburbana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E83" t="str">
            <v>Cadastro região escarpada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E84" t="str">
            <v>Cadastro reg. escarpada vegetação densa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E85" t="str">
            <v>Cadastro reg. escarpada zona urbana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E86" t="str">
            <v>Cadastro reg. escarpada zona suburbana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E87" t="str">
            <v>Lev.bat.áreas até 100000 m²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E88" t="str">
            <v>Lev.bat.áreas até 100000 m² veget.densa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E89" t="str">
            <v>Lev.bat.áreas até 100000 m² zona urbana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E90" t="str">
            <v>Lev.bat.áreas até 100000 m² z. suburbana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E91" t="str">
            <v>Lev.bat.áreas 100000 a 500000 m²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E92" t="str">
            <v>Lev.bat.áreas 100000/500000m² veg. densa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E93" t="str">
            <v>Lev.bat.áreas 100000/500000 m² z.urbana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E94" t="str">
            <v>Lev.bat.áreas 100000/500000m² z.suburbana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E95" t="str">
            <v>Lev.bat.áreas acima de 500000 m²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E96" t="str">
            <v>Lev.bat.áreas acima de 500000m² veget.densa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E97" t="str">
            <v>Lev.bat.áreas acima de 500000 m² z.urbana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E98" t="str">
            <v>Lev.bat.áreas acima de 500000 m² z. suburbana.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E99" t="str">
            <v>Lev.batimetrico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E100" t="str">
            <v>Lev.Batimetrico em vegetação densa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E101" t="str">
            <v>Lev.Batimetrico em zona urbana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E102" t="str">
            <v>Lev.Batimetrico em zona suburbana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E103" t="str">
            <v>Serv.hidrologia/drenagem reg. ondulada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E104" t="str">
            <v>Serv.hidrologia/drenagem reg. montanhosa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E105" t="str">
            <v>Serv.hidrologia/drenagem reg. escarpada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E106" t="str">
            <v>Remoção cerca arame, incl. Transporte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E107" t="str">
            <v>Remoção de defensa métalica simples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E108" t="str">
            <v>Remoção de defensa metálica dupla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E109" t="str">
            <v>Remoção canalização D&gt;0,60m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E110" t="str">
            <v>Remoção canalização D&lt;0,60m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E111" t="str">
            <v>Remoção e transporte de guia pré-moldada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E112" t="str">
            <v>Remoção de estaca de eucalipto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E113" t="str">
            <v>Remoção de tacha refletiva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E114" t="str">
            <v>Remoção de pintura demarcatória de via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E115" t="str">
            <v>Cerca de arame farpado c/ 4 fios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E116" t="str">
            <v>Cerca de arame farpado c/ 6 fios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E117" t="str">
            <v>Cerca arame farpado por reaproveitamento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E118" t="str">
            <v>Demolição de concreto Armado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E119" t="str">
            <v>Demolição de concreto simples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E120" t="str">
            <v>Demolição de Pavimento Rígido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E121" t="str">
            <v>Demolição de Edificação em Alvenaria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E122" t="str">
            <v>Demolição de Edificação em Madeira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E123" t="str">
            <v>Demolição pavi.flex, incl.transp.até 1km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E124" t="str">
            <v>Limpeza de dispositivo de drenagem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E125" t="str">
            <v>Limpeza manual de terreno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E126" t="str">
            <v>Limpeza de dispositivo de drenagem para plataforma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E128" t="str">
            <v>Serviços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E132" t="str">
            <v>Limp. terreno s/destocamento de árvores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E133" t="str">
            <v>Limp. terreno c/ dest.arv.perímetro&lt;= 78cm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E134" t="str">
            <v>Limp manual terreno amont. de materiais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E135" t="str">
            <v>Derrub.dest.arv.P&gt;78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E136" t="str">
            <v>Destocamento árv. com perímetro maior que 78cm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E137" t="str">
            <v>Raspagem do terreno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E138" t="str">
            <v>Carga de material de limpeza de escavação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E139" t="str">
            <v>Escavação 1/2ª cat. trator + pá carreg.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E140" t="str">
            <v>Escavação 1/2ª cat. c/ motoscraper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E141" t="str">
            <v>Escavação 1/2ª cat. c/ escav. Hidraúlica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E142" t="str">
            <v>Escavação e carga material 2ª cat. c/ripper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E143" t="str">
            <v>Escavação carga material 2ª cat. com explosivo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E144" t="str">
            <v>Escavação e carga material de 3ª cat.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E145" t="str">
            <v>Escavação Carga solo mole sob lâmina d'agua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E146" t="str">
            <v>Carga de material limpeza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E147" t="str">
            <v>Escavação, carga e desc. Mat. Sil-arg. No corte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E148" t="str">
            <v>Aquis. Mat. Espal. Conf. Rolagem mat. Sil. Arg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E149" t="str">
            <v>Espalhamento/Regularização/Compactação/ de Material em bota-Fora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E150" t="str">
            <v xml:space="preserve">Transporte de 1ª/2ª categoria até 1 km 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E151" t="str">
            <v>Transporte de 1ª/2ª categoria até 2 km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E152" t="str">
            <v xml:space="preserve">Transporte de 1ª/2ª categoria até 5 km 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E153" t="str">
            <v>Transporte de 1ª/2ª categoria até 10 km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E154" t="str">
            <v>Transporte de 1ª/2ª categoria até 15 km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E155" t="str">
            <v>Transporte de 1ª/2ª categoria alem 15 km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E156" t="str">
            <v>Transporte de 3ª categoria até 1 km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E157" t="str">
            <v xml:space="preserve">Transporte de 3ª categoria alem de 1 km 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E158" t="str">
            <v xml:space="preserve">Transporte de solo mole até 2 km 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E159" t="str">
            <v xml:space="preserve">Transporte de solo mole alem 2 km 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E160" t="str">
            <v>Transporte material de limpeza até 1km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E161" t="str">
            <v xml:space="preserve">Transporte material de limpeza além de 1km 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E162" t="str">
            <v xml:space="preserve">Compactação de aterro maior/igual 95%PS 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E163" t="str">
            <v>Lastro fundação de aterro c/areia lavada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E164" t="str">
            <v>Lastro fundação de aterro c/pedra rachão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E165" t="str">
            <v xml:space="preserve">Espalhamento Adensamento Material de Fund. de Aterro 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E166" t="str">
            <v>Valeta de proteção manual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E168" t="str">
            <v>Serviços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E172" t="str">
            <v>Dem. Pav. Flex. m³ 3,95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E173" t="str">
            <v>Melhoria/preparo sub-leito - 100% PN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E174" t="str">
            <v xml:space="preserve">Melhoria/preparo sub-leito - 100% PI 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E175" t="str">
            <v>Reforço sub-leito escav.solo escolhido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E176" t="str">
            <v xml:space="preserve">Reforço de sub-leito - transp até 01km 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E177" t="str">
            <v xml:space="preserve">Reforço de sub-leito - transp até 02km 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E178" t="str">
            <v>Reforço de sub-leito - transp até 05km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E179" t="str">
            <v xml:space="preserve">Reforço de sub-leito - transp até 10km 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E180" t="str">
            <v>Reforço de sub-leito - transp até 15km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E181" t="str">
            <v xml:space="preserve">Reforço de sub-leito - transp. + 15km 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E182" t="str">
            <v xml:space="preserve">Reforço de sub-leito compact 100% PI 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E183" t="str">
            <v xml:space="preserve">Reforço de sub-leito compact 100% PN 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E184" t="str">
            <v>Sub-base ou base solo cim 3% - Usina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E185" t="str">
            <v>Sub-base ou base solo cim 4% - Usina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E186" t="str">
            <v>Sub-base ou base solo cim 5% - Usina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E187" t="str">
            <v>Sub-base ou base solo cim 6% - Usina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E188" t="str">
            <v>Sub-base ou base solo cim 7% - Usina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E189" t="str">
            <v>Sub-base ou base solo cim 8% - Usina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E190" t="str">
            <v>Sub-base ou base solo cim 9% - Usina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E191" t="str">
            <v>Sub-base ou base solo cim 10% - Usina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E192" t="str">
            <v>Sub-base ou base solo cim 11% - Usina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E193" t="str">
            <v>Sub-base ou base solo cim 12% - Usina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E194" t="str">
            <v>Sub-base ou base solo cim 3% - Pulv.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E195" t="str">
            <v>Sub-base ou base solo cim 4% - Pulv.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E196" t="str">
            <v xml:space="preserve">Sub-base ou base solo cim 5% - Pulv. 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E197" t="str">
            <v>Sub-base ou base solo cim 6% - Pulv.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E198" t="str">
            <v xml:space="preserve">Sub-base ou base solo cim 7% - Pulv. 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E199" t="str">
            <v xml:space="preserve">Sub-base ou base solo cim 8% - Pulv. 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E200" t="str">
            <v xml:space="preserve">Sub-base ou base solo cim 9% - Pulv. 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E201" t="str">
            <v xml:space="preserve">Sub-base ou base solo cim 10% - Pulv. 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E202" t="str">
            <v xml:space="preserve">Sub-base ou base solo cim 11% - Pulv. 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E203" t="str">
            <v xml:space="preserve">Sub-base ou base solo cim 12% - Pulv. 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E204" t="str">
            <v xml:space="preserve">Sub-base ou base solo brita c/ cim.3% 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E205" t="str">
            <v xml:space="preserve">Sub-base ou base solo brita c/ cim.4% 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E206" t="str">
            <v xml:space="preserve">Sub-base ou base solo brita c/ cim.5% 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E207" t="str">
            <v xml:space="preserve">Sub-base ou base solo brita c/ cim.6% 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E208" t="str">
            <v xml:space="preserve">Sub-base ou base de solo brita 50% brita 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E209" t="str">
            <v>Sub-base ou base de solo brita 60% brita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E210" t="str">
            <v>Sub-base ou base de solo brita 70% brita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E211" t="str">
            <v xml:space="preserve">Sub-base ou base de solo brita 80% brita 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E212" t="str">
            <v>Sub-base ou base de solo brita 90% brita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E213" t="str">
            <v xml:space="preserve">Sub-base ou base brita grad. simples 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E214" t="str">
            <v>Sub-base ou base de Pedra Britada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E215" t="str">
            <v>Sub-base ou base de Bica Corrida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E216" t="str">
            <v>Sub-base ou base de Pedra Rachão, Conf. ET-POO/042 (DERSA)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E217" t="str">
            <v>Sub-base/base brita grad.c/ cim 1% vol.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E218" t="str">
            <v xml:space="preserve">Sub-base/base brita grad.c/cim 2% vol. 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E219" t="str">
            <v xml:space="preserve">Sub-base/base brita grad.c/cim 3% vol. 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E220" t="str">
            <v xml:space="preserve">Sub-base/base brita grad.c/cim 4% vol. 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E221" t="str">
            <v>Sub-base/base solo estabiliz. Granulometr.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E222" t="str">
            <v>Sub-base/base macadame hidraúlico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E223" t="str">
            <v>Sub-base/base macadame betum.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E224" t="str">
            <v xml:space="preserve">Sub-base/base solo aren. fino 95%PI 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E225" t="str">
            <v xml:space="preserve">Sub-base/base solo estabiliz. quimic. 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E226" t="str">
            <v xml:space="preserve">Imprimadura bet. impermeabilizante 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E227" t="str">
            <v xml:space="preserve">Imprimadura betuminosa ligante 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E228" t="str">
            <v xml:space="preserve">Imprimadura bet. auxiliar de ligação 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E229" t="str">
            <v>Imprimadura betuminosa ligante modif. Polimero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E230" t="str">
            <v xml:space="preserve">Tratamento superficial simples 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E231" t="str">
            <v xml:space="preserve">Tratamento superficial duplo 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E232" t="str">
            <v xml:space="preserve">Tratamento superficial triplo 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E233" t="str">
            <v>Micro Pavimento c/ Polimero Com Fibra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E234" t="str">
            <v>Micro Pavimento c/ Polimero Sem Fibra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E235" t="str">
            <v xml:space="preserve">Tratamento superf. c/ lama asfáltica 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E236" t="str">
            <v xml:space="preserve">Tratamento sup.cam. lama asfáltica grossa 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E237" t="str">
            <v xml:space="preserve">Tratamento superf. simples modif. p/polimero 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E238" t="str">
            <v xml:space="preserve">Tratamento superf. duplo modif. p/polimero 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E239" t="str">
            <v xml:space="preserve">Tratamento superf. triplo modif. p/polimero 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E240" t="str">
            <v xml:space="preserve">Camada Base Pré-misturado a frio 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E241" t="str">
            <v xml:space="preserve">Conc. asf. us.quente - Binder grad. A s/DOP 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E242" t="str">
            <v xml:space="preserve">Conc. asf. us.quente - Binder grad. B c/DOP 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E243" t="str">
            <v xml:space="preserve">Conc. asf. us.quente - Binder grad. B s/DOP 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E244" t="str">
            <v xml:space="preserve">Camada Rolante -CBUQ Graduação - "C" s/DOP 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E245" t="str">
            <v xml:space="preserve">Camada Rolante -CBUQ Graduação - "C" c/DOP 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E246" t="str">
            <v>Conc. asfaltico modificado / 15% em peso de Borracha ( CONTINUO)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E247" t="str">
            <v>Capa selante tipo 2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E248" t="str">
            <v xml:space="preserve">Capa selante tipo 3 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E249" t="str">
            <v xml:space="preserve">Fresagem de pav., indep. espessura 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E250" t="str">
            <v>Pavimento de conc. pobre rolado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E251" t="str">
            <v xml:space="preserve">Pavimento de conc. Mecanico 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E252" t="str">
            <v xml:space="preserve">Pavimento conc intertr. 6 cm 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E253" t="str">
            <v xml:space="preserve">Pavimento conc intertr. 8 cm 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E254" t="str">
            <v>Pavimento conc intertr. 10 cm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E256" t="str">
            <v>Serviços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E260" t="str">
            <v xml:space="preserve">Aterro de acesso 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E261" t="str">
            <v xml:space="preserve">Escavação manual para obras sem explosivos 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E262" t="str">
            <v xml:space="preserve">Escavação mecânica para obras sem explosivos 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E263" t="str">
            <v xml:space="preserve">Escavação mecânica para obras com explosivo 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E264" t="str">
            <v xml:space="preserve">Escavação corta-rio sem explosivo 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E265" t="str">
            <v xml:space="preserve">Escavação corta-rio com explosivo 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E266" t="str">
            <v xml:space="preserve">Escavação fund., bueiro ou dreno sem expl. até 2 m 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E267" t="str">
            <v xml:space="preserve">Acresc. p/Escav. 1,5 m profundidade, além 2m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E268" t="str">
            <v xml:space="preserve">Escavação fund., bueiro ou dreno c/expl. até 2 m 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E269" t="str">
            <v xml:space="preserve">Acresc.esc. ensec.explos.c/ 1,5m prof. além 2m 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E270" t="str">
            <v xml:space="preserve">Escavação fund. dentro ensec. sem expl. até 3m 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E271" t="str">
            <v xml:space="preserve">Acresc. p/escav. ensec. p/cada 1m prof. além 3m 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E272" t="str">
            <v xml:space="preserve">Escavação fund. dentro ensec. com expl. até 3 m 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E273" t="str">
            <v>Acresc. p/escav. ensec.c/explos.c/ 1,5m além 3m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E274" t="str">
            <v xml:space="preserve">Parede ensecadeira com prancha - esp. 0,05m 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E275" t="str">
            <v>Parede ensecadeira com prancha - esp. 0,075m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E276" t="str">
            <v xml:space="preserve">Argila ench. ensecadeira, incl. apiloamento 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E277" t="str">
            <v xml:space="preserve">Esgotamento continuo água 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E278" t="str">
            <v>Escoramento de valas/cavas p/ fund. contínuo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E279" t="str">
            <v xml:space="preserve">Escoramento de valas/cavas para fund. descont. 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E280" t="str">
            <v>Escoramento para formas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E281" t="str">
            <v xml:space="preserve">Cimbramento de passagem secundária e galeria ret. 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E282" t="str">
            <v>Cimbramento de galeria em abóboda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E283" t="str">
            <v>Andaime de madeira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E284" t="str">
            <v xml:space="preserve">Andaime tubular 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E285" t="str">
            <v xml:space="preserve">Forma plana para concreto comum 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E286" t="str">
            <v xml:space="preserve">Forma plana para concreto aparente 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E287" t="str">
            <v xml:space="preserve">Aço CA-25 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E288" t="str">
            <v xml:space="preserve">Aço CA-50 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E289" t="str">
            <v xml:space="preserve">Aço CA-60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E290" t="str">
            <v xml:space="preserve">Tela metálica 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E291" t="str">
            <v xml:space="preserve">Concreto Fck 10 Mpa 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E292" t="str">
            <v xml:space="preserve">Concreto Fck 15 MPa 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E293" t="str">
            <v xml:space="preserve">Concreto Fck 18 MPa 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E294" t="str">
            <v>Concreto Fck 20 MPa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E295" t="str">
            <v xml:space="preserve">Concreto Fck 25 Mpa 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E296" t="str">
            <v xml:space="preserve">Concreto Fck 30 MPa 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E297" t="str">
            <v xml:space="preserve">Concreto Ciclópico 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E298" t="str">
            <v>Bombeamento p/ concreto qualquer resistência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E299" t="str">
            <v xml:space="preserve">Concreto Fck 12 Mpa 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E300" t="str">
            <v xml:space="preserve">Concreto Fck 16 MPa 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E301" t="str">
            <v>Concreto Fck 35 MPa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E302" t="str">
            <v xml:space="preserve">Concreto Fck 40 MPa 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E303" t="str">
            <v>Junta elástica em PVC tipo O-12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E304" t="str">
            <v xml:space="preserve">Junta elástica em PVC tipo O-22 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E305" t="str">
            <v xml:space="preserve">Enrocamento pedra arrumada 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E306" t="str">
            <v xml:space="preserve">Enrocamento pedra arrumada e rejuntada 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E307" t="str">
            <v xml:space="preserve">Enrrocamento pedra jogada 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E308" t="str">
            <v>Gabião tipo caixa 50cm - tela galv.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E311" t="str">
            <v xml:space="preserve">Gabião tipo colchão espessura 17cm - tela galv. 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E312" t="str">
            <v xml:space="preserve">Gabião tipo colchão espessura 23cm - tela galv. 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E313" t="str">
            <v>Gabião tipo colchão espessura 30cm - tela galv.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E314" t="str">
            <v>Gabião tipo colchão espessura 17cm - tela pvc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E315" t="str">
            <v>Gabião tipo colchão espessura 23cm - tela pvc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E316" t="str">
            <v>Gabião tipo colchão espessura 30cm - tela pvc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E317" t="str">
            <v xml:space="preserve">Gabião tipo saco - tela galv. 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E318" t="str">
            <v>Gabião tipo saco - tela galv. revestido de PVC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E319" t="str">
            <v>Camada filtrante pedra britada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E320" t="str">
            <v xml:space="preserve">Calçamento concreto Fck 15 MPa 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E321" t="str">
            <v>Calçamento concreto Fck 10 MPa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E322" t="str">
            <v xml:space="preserve">Alvenaria tijolo 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E323" t="str">
            <v>Alvenaria de pedra seca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E324" t="str">
            <v>Alvenaria de pedra argamassada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E325" t="str">
            <v>Alvenaria de bloco de concreto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E326" t="str">
            <v>Argamassa de cimento e areia traço 1:3 esp 2cm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E327" t="str">
            <v xml:space="preserve">Enchimento de vala com pedra britada 1 e 2 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E328" t="str">
            <v xml:space="preserve">Enchimento de vala com pedra britada 3 e 4 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E329" t="str">
            <v>Enchimento de vala com areia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E330" t="str">
            <v>Enchimento de vala com pedra marroada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E331" t="str">
            <v>Enchimento base tubo com pedra britada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E332" t="str">
            <v xml:space="preserve">Enchimento base tubo com pedregulho de cava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E333" t="str">
            <v>Compactação manual com reaterro solo local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E334" t="str">
            <v>Val. 0,50m² 1ª categoria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E335" t="str">
            <v xml:space="preserve">Val. 0,50m² 2ª categoria 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E336" t="str">
            <v>Val. 0,50m² 3ª categoria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E337" t="str">
            <v>Val. seção transversal maior 0,50m² 1ª cat.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E338" t="str">
            <v xml:space="preserve">Val. seção transversal maior 0,50m² 2ª cat. 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E339" t="str">
            <v>Val. seção transversal maior 0,50m² 3ª cat.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E340" t="str">
            <v>Val. 0,50m² 3ª categoria ar comprimido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E341" t="str">
            <v>Manta geotêxtil não tecido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E348" t="str">
            <v>Manta geotêxtil tecido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E349" t="str">
            <v>Tubo dreno concreto 15 cm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E350" t="str">
            <v>Tubo dreno concreto 20 cm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E351" t="str">
            <v>Tubo dreno barro 15 cm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E352" t="str">
            <v>Tubo dreno barro 20 cm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E353" t="str">
            <v>Tubo de pvc perfurado ou não D=0,050m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E354" t="str">
            <v>Tubo de pvc perfurado ou não D=0,10m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E355" t="str">
            <v>Tubo de pvc perfurado ou não D=0,15m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E356" t="str">
            <v>Dreno horizontal profundo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E364" t="str">
            <v>Tubo De concreto D=0,40m classe CA-1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E365" t="str">
            <v xml:space="preserve">Tubo De concreto D=0,40m classe CA-2 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E370" t="str">
            <v>Tubo De concreto D=0,60m classe CA-1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E371" t="str">
            <v>Tubo De concreto D=0,60m classe CA-2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E372" t="str">
            <v>Tubo De concreto D=0,60m classe CA-3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E373" t="str">
            <v>Tubo De concreto D=0,60m classe CA-4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E374" t="str">
            <v>Tubo De concreto D=0,80m classe CA-1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E375" t="str">
            <v>Tubo De concreto D=0,80m classe CA-2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E376" t="str">
            <v>Tubo De concreto D=0,80m classe CA-3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E377" t="str">
            <v>Tubo De concreto D=0,80m classe CA-4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E378" t="str">
            <v xml:space="preserve">Tubo De concreto D=1,00m classe CA-1 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E379" t="str">
            <v xml:space="preserve">Tubo De concreto D=1,00m classe CA-2 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E380" t="str">
            <v>Tubo De concreto D=1,00m classe CA-3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E381" t="str">
            <v>Tubo De concreto D=1,00m classe CA-4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E382" t="str">
            <v>Tubo De concreto D=1,20m classe CA-1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E383" t="str">
            <v>Tubo De concreto D=1,20m classe CA-2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E384" t="str">
            <v>Tubo De concreto D=1,20m classe CA-3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E385" t="str">
            <v>Tubo De concreto D=1,20m classe CA-4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E386" t="str">
            <v>Tubo De concreto D=1,50m classe CA-1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E387" t="str">
            <v>Tubo De concreto D=1,50m classe CA-2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E388" t="str">
            <v>Tubo De concreto D=1,50m classe CA-3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E389" t="str">
            <v>Tubo De concreto D=1,50m classe CA-4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E390" t="str">
            <v>Tubo de concreto simples D=0,40m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E391" t="str">
            <v>Tubo de concreto simples D=0,60m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E396" t="str">
            <v>Canaleta concreto 40 cm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E397" t="str">
            <v>Canaleta concreto 60 cm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E398" t="str">
            <v>Canaleta concreto 80 cm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E399" t="str">
            <v>Lastro de concreto Fck 10 MPa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E400" t="str">
            <v>Sarjeta pré-fabricada de concreto Fck 15 MPa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E401" t="str">
            <v>Guia pre-fabricada concreto Fck 15 MPa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E402" t="str">
            <v>Sarjeta concreto Fck 15 MPa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E403" t="str">
            <v>Guia concreto Fck 15 MPa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E404" t="str">
            <v>Telar e tampão de ferro fundido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E405" t="str">
            <v>Grelha de concreto 0,10 X ,094 x 1,20m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E407" t="str">
            <v xml:space="preserve">Grelha de fºfº p/ boca de lobo tipo GRS-135 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E408" t="str">
            <v>Tubo aço corr.galv.met.não destrutivo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E409" t="str">
            <v>Tubo aço corr.epoxy met.não destrutivo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E410" t="str">
            <v>Tubo aço corr.galv.met. destrutivo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E411" t="str">
            <v>Tubo aço corr.epoxy met. destrutivo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E412" t="str">
            <v>Broca de concreto armado D=20,00cm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E413" t="str">
            <v>Broca de concreto armado D=25,00cm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E414" t="str">
            <v>Broca de concreto armado D=15,00cm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E416" t="str">
            <v>Serviços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E420" t="str">
            <v>Aterro de acesso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E421" t="str">
            <v>At. Solo cim. 6% pulv.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E422" t="str">
            <v>Escavação manual para obras sem explosivos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E423" t="str">
            <v>Escavação mecânica para obras sem explosivos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E424" t="str">
            <v>Escavação mecânica para obras com explosivo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E425" t="str">
            <v>Escavação corta-rio sem explosivo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E426" t="str">
            <v>Escavação corta-rio com explosivo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E427" t="str">
            <v>Escavação fund., bueiro ou dreno sem expl. até 2 m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E428" t="str">
            <v>Acresc. p/Escav. 1,5 m profundidade, além 2m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E429" t="str">
            <v>Escavação fund., bueiro ou dreno c/expl. até 2 m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E430" t="str">
            <v>Acresc.escav. ensec.explos.c/ 1,5m prof. além 2m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E431" t="str">
            <v>Escavação fund. dentro ensec. sem expl. até 3m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E432" t="str">
            <v>Acresc. p/escav. ensec. p/cada 1m prof. além 3m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E433" t="str">
            <v>Escavação fund. dentro ensec. com expl. até 3 m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E434" t="str">
            <v>Acresc. p/escav. ensec.c/explos.c/ 1,5m além 3m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E435" t="str">
            <v xml:space="preserve">Parede ensecadeira com prancha - esp. 2" 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E436" t="str">
            <v xml:space="preserve">Parede ensecadeira com prancha - esp. 3" 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E437" t="str">
            <v>Argila ench. ensecadeira, incl. apiloamento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E438" t="str">
            <v>Esgotamento continuo água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E439" t="str">
            <v>Escoramento de valas/cavas p/ fund. contínuo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E440" t="str">
            <v>Escoramento para formas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E441" t="str">
            <v>Estaca concreto pre-moldado20cm 20/25 T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E442" t="str">
            <v xml:space="preserve">Estaca concreto pre-moldado25cm - 30/35 T 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E443" t="str">
            <v>Estaca concreto pre-moldado30cm - 40/45 T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E444" t="str">
            <v>Estaca concreto pre-moldado35cm 50/60 T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E445" t="str">
            <v>Estaca concreto pre-moldado40cm - 70/80 T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E446" t="str">
            <v>Estaca metálica, fornec.e cravação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E447" t="str">
            <v>Estaca de madeira D=20cm - 8ton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E448" t="str">
            <v>Estaca de madeira D=25cm - 15ton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E449" t="str">
            <v>Estaca raiz em solo D= 15cm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E450" t="str">
            <v>Estaca raiz em solo D= 16cm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E451" t="str">
            <v>Estaca raiz em solo D= 20cm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E452" t="str">
            <v>Estaca raiz em solo D= 25cm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E453" t="str">
            <v>Estaca raiz em solo D= 31cm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E454" t="str">
            <v>Estaca raiz em solo D= 40cm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E455" t="str">
            <v>Estaca raiz em rocha alterada D= 15cm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E456" t="str">
            <v>Estaca raiz em rocha alterada D= 16cm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E457" t="str">
            <v>Estaca raiz em rocha alterada D= 20cm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E458" t="str">
            <v>Estaca raiz em rocha alterada D= 25cm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E459" t="str">
            <v>Estaca raiz em rocha alterada D= 31cm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E460" t="str">
            <v>Estaca raiz em rocha alterada D= 40cm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E461" t="str">
            <v>Estaca raiz - Taxa de instalação equipamento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E462" t="str">
            <v>Andaime de madeira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E463" t="str">
            <v>Andaime tubular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E464" t="str">
            <v>Forma plana para conc. armado comum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E465" t="str">
            <v>Formas para concreto protendido ou aparente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E466" t="str">
            <v>Aço CA-25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E467" t="str">
            <v>Aço CA-50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E468" t="str">
            <v>Aço CA-60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E469" t="str">
            <v>Aço para concreto protendido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E470" t="str">
            <v>Tela metálica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E471" t="str">
            <v xml:space="preserve">Aço para concreto protendido tipo Dywidag 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E472" t="str">
            <v>Apar. anc. p/ cabos de protensão ativo de 12 f -8 mm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E473" t="str">
            <v>Apar. anc. p/ cabos de protensão ativo de 4 f -1/2"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E474" t="str">
            <v>Apar. anc. p/ cabos de protensão ativo de 6 f -1/2"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E475" t="str">
            <v>Apar. anc. p/ cabos de protensão ativo de 12 f -1/2"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E476" t="str">
            <v>Apar. anc. p/ cabos de protensão ativo de 19 f -1/2"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E477" t="str">
            <v>Apar. anc. p/ cabos de protensão ativo de 22 f -1/2"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E478" t="str">
            <v>Apar. anc. p/ cabos de protensão pas. de 4 f -1/2"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E479" t="str">
            <v>Apar. anc. p/ cabos de protensão pas. de 6 f -1/2"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E480" t="str">
            <v>Apar. anc. p/ cabos de protensão pas. de 19 f -1/2"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E481" t="str">
            <v>Tiran. 40 TF 5F D= 1/2"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E482" t="str">
            <v>Tiran. 60 TF 8F D= 1/2"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E483" t="str">
            <v>Tiran. 80 TF 10F D=1/2"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E484" t="str">
            <v>Tiran. 100TF 12F D=1/2"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E485" t="str">
            <v>Termo fixo para tirante 40tf 8 D= 1/2"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E486" t="str">
            <v>Termo fixo para tirante 60tf 8 D= 1/2"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E487" t="str">
            <v>Termo fixo para tirante 80tf 10 D= 1/2"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E488" t="str">
            <v>Concreto Fck 10 MPa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E489" t="str">
            <v>Concreto Fck 15 MPa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E490" t="str">
            <v>Concreto Fck 18 MPa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E491" t="str">
            <v>Concreto Fck 20 Mpa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E492" t="str">
            <v>Concreto Fck 25 MPa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E493" t="str">
            <v>Concreto Fck 30 MPa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E494" t="str">
            <v>Concreto Fck 35 Mpa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E495" t="str">
            <v>Concreto Ciclópico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E496" t="str">
            <v>Concreto Projetado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E497" t="str">
            <v>Bombeamento concreto qualquer resistência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E498" t="str">
            <v>Injeção de calda de cimento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E499" t="str">
            <v>Concreto Fck 12 Mpa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E500" t="str">
            <v>Concreto Fck 16 MPa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E501" t="str">
            <v>Concreto Fck 40 Mpa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E502" t="str">
            <v>Perf. p/ dreno e tir.solo D=57,10mm (AX)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E503" t="str">
            <v>Perf. p/ dreno e tir.solo D=73,00mm (BX)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E504" t="str">
            <v>Perf. p/ dreno e tir.solo D=88,9mm (NX)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E505" t="str">
            <v>Perf. p/ dreno e tir.solo D=114,30mm (HX)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E506" t="str">
            <v>Perf. p/ dreno e tir.rochaalt. D=57,10mm (AX)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E507" t="str">
            <v>Perf. p/ dreno e tir.rochaalt. D=73,00mm (BX)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E508" t="str">
            <v>Perf. p/ dreno e tir.rochaalt. D=88,90mm (NX)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E509" t="str">
            <v>Perf. p/ dreno e tir.rochaalt. D=114,30mm (HX)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E510" t="str">
            <v>Perf. p/ dreno e tir.rocha sã D=57,10mm (AX)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E511" t="str">
            <v>Perf. p/ dreno e tir.rocha sã D=73,00mm (BX)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E512" t="str">
            <v>Perf. p/ dreno e tir.rocha sã D=88,90mm (NX)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E513" t="str">
            <v>Perf. p/ dreno e tir.rocha sã D=114,30mm (HX)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E514" t="str">
            <v>Enrocamento pedra arrumada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E515" t="str">
            <v>Enrocamento pedra arrumada e rejuntada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E516" t="str">
            <v>Enrrocamento pedra jogada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E517" t="str">
            <v>Gabião tipo caixa 50 cm - tela galv.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E518" t="str">
            <v>Gabião tipo colchão espessura 17cm - tela galv.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E519" t="str">
            <v>Gabião tipo colchão e= 23cm - tela galv.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E520" t="str">
            <v>Gabião tipo colchão espessura 30cm - tela galv.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E521" t="str">
            <v xml:space="preserve">Gabião tipo colchão espessura 17cm - tela pvc 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E522" t="str">
            <v>Gabião tipo colchão espessura 23cm - tela pvc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E523" t="str">
            <v>Gabião tipo colchão espessura 30cm - tela pvc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E524" t="str">
            <v>Gabião tipo saco - tela galv.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E525" t="str">
            <v>Camada filtrante pedra britada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E526" t="str">
            <v xml:space="preserve">Calçamento concreto Fck 15 MPa 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E527" t="str">
            <v xml:space="preserve">Calçamento concreto Fck 10 MPa 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E528" t="str">
            <v xml:space="preserve">Alvenaria de pedra seca 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E529" t="str">
            <v>Alvenaria de pedra argamassada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E530" t="str">
            <v>Alvenaria de bloco de concreto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E531" t="str">
            <v>Argamassa de cimento e areia traço 1:3 esp 2cm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E532" t="str">
            <v>Manta geotêxtil não tecida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E533" t="str">
            <v xml:space="preserve">Manta geotêxtil tecida 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E534" t="str">
            <v>Fornecimento de tubo dreno barro 15 cm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E535" t="str">
            <v>Fornecimento de tubo dreno barro 20 cm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E536" t="str">
            <v>Assentamento de tubo dreno concreto 15 cm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E537" t="str">
            <v>Assentamento de tubo dreno concreto 20 cm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E538" t="str">
            <v>Assentamento de tubo dreno barro 15 cm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E539" t="str">
            <v>Assentamento de tubo dreno barro 20 cm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E540" t="str">
            <v>Tubo de pvc perfurado ou não D=0,050m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E541" t="str">
            <v xml:space="preserve">Tubo de pvc perfurado ou não D=0,10m 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E542" t="str">
            <v xml:space="preserve">Tubo de pvc perfurado ou não D=0,15m 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E543" t="str">
            <v>Grama armada com adubo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E544" t="str">
            <v>Grama armada sem adubo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E546" t="str">
            <v>Serviços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E550" t="str">
            <v>Escavação manual para obras sem explosivos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E551" t="str">
            <v>Escavação mecânica para obras sem explosivos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E552" t="str">
            <v>Escavação mecânica para obras com explosivo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E553" t="str">
            <v xml:space="preserve">Estaca concreto pre-moldado20cm 20/25 T 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E554" t="str">
            <v>Estaca concreto pre-moldado25cm - 30/35 T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E555" t="str">
            <v xml:space="preserve">Estaca concreto pre-moldado30cm - 40/45 T 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E556" t="str">
            <v>Estaca concreto pre-moldado35cm 50/60 T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E557" t="str">
            <v>Estaca concreto pre-moldado40cm - 70/80 T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E558" t="str">
            <v>Estaca concreto - Taxa mobil. de equip. bate-estaca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E559" t="str">
            <v xml:space="preserve">Estaca metálica, fornec.e cravação 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E560" t="str">
            <v>Estacão em solo D=1,00m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E561" t="str">
            <v>Estacão em solo D=1,20m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E562" t="str">
            <v>Estacão em solo D=1,40m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E563" t="str">
            <v xml:space="preserve">Estacão em solo D=1,50m 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E564" t="str">
            <v xml:space="preserve">Estacão em solo D=1,60m 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E565" t="str">
            <v xml:space="preserve">Estacão em solo D=1,80m 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E566" t="str">
            <v xml:space="preserve">Estacão -Taxa mobilização de equip. 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E567" t="str">
            <v>Camisa metálica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E568" t="str">
            <v xml:space="preserve">Estaca de madeira D=20cm - 8ton 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E569" t="str">
            <v xml:space="preserve">Estaca de madeira D=25cm - 15ton 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E570" t="str">
            <v xml:space="preserve">Escavação Tub.céu aberto 1/2 cat. - solo 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E571" t="str">
            <v xml:space="preserve">Escavação tub. Ar compr. 1/2 cat. - solo 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E572" t="str">
            <v xml:space="preserve">Escavação tub. Céu aberto 3 cat. - rocha 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E573" t="str">
            <v xml:space="preserve">Escavação tub. Ar comprimido 3 cat. - rocha 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E574" t="str">
            <v xml:space="preserve">Cimbramento pontes e viadutos c/estaca 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E575" t="str">
            <v xml:space="preserve">Cimbramento pontes e viadutos s/estaca 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E576" t="str">
            <v xml:space="preserve">Cimbramento de passagem sec. galeria ret. 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E577" t="str">
            <v xml:space="preserve">Andaime de madeira 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E578" t="str">
            <v xml:space="preserve">Andaime tubular 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E579" t="str">
            <v xml:space="preserve">Forma plana para conc. armado comum 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E580" t="str">
            <v xml:space="preserve">Forma plana p/conc.protend. ou aparente 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E581" t="str">
            <v xml:space="preserve">Forma sem reaproveitamento 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E582" t="str">
            <v xml:space="preserve">Forma metálicas especial para vigas 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E583" t="str">
            <v xml:space="preserve">Forma curva para concreto comum 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E584" t="str">
            <v>Forma curva para concreto aparente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E585" t="str">
            <v xml:space="preserve">Aço CA-25 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E586" t="str">
            <v>Aço CA-50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E587" t="str">
            <v>Aço CA-60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E588" t="str">
            <v>Aço para concreto protendido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E589" t="str">
            <v xml:space="preserve">Tela metálica 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E590" t="str">
            <v>Aço para concreto protendido ST 85/105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E591" t="str">
            <v xml:space="preserve">Apar. anc. p/ cabos de protensão ativo de 4 f -1/2" 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E592" t="str">
            <v>Apar. anc. p/ cabos de protensão ativo de 6 f -1/2"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E593" t="str">
            <v xml:space="preserve">Apar. anc. p/ cabos de protensão ativo de 12 f -1/2" 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E594" t="str">
            <v xml:space="preserve">Apar. anc. p/ cabos de protensão ativo de 19 f -1/2" 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E595" t="str">
            <v xml:space="preserve">Apar. anc. p/ cabos de protensão pas. de 4 f -1/2" 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E596" t="str">
            <v>Apar. anc. p/ cabos de protensão pas. de 6 f -1/2"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E597" t="str">
            <v xml:space="preserve">Apar. anc. p/ cabos de protensão pas. de 19 f -1/2" 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E598" t="str">
            <v>Aparelho de apoio neoprene fretado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E599" t="str">
            <v>Aparelho de apoio neoprene com teflon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E600" t="str">
            <v xml:space="preserve">Articulação de concreto tipo "Freyssinet" 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E601" t="str">
            <v>Concreto Fck 10 MPa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E602" t="str">
            <v>Concreto Fck 15 MPa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E603" t="str">
            <v>Concreto Fck 18 MPa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E604" t="str">
            <v>Concreto Fck 20 MPa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E605" t="str">
            <v>Concreto Fck 25 MPa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E606" t="str">
            <v xml:space="preserve">Concreto Fck 30 MPa 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E607" t="str">
            <v>Concreto Ciclópico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E608" t="str">
            <v>Bombeamento p/ conc. qualquer resist.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E609" t="str">
            <v>Concreto Fck 12 MPa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E610" t="str">
            <v>Concreto Fck 16 Mpa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E611" t="str">
            <v>Concreto Fck 35 MPa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E612" t="str">
            <v>Concreto Fck 40 MPa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E613" t="str">
            <v>Junta/retração c/lábio polim. ab.15 até 40mm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E614" t="str">
            <v>Junta/retração c/lábio polim. ab.40 até 50mm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E615" t="str">
            <v>Junta/retração c/lábio polim. ab. 50 até 70mm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E616" t="str">
            <v>Junta de dilatação metálica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E617" t="str">
            <v>Juntas de dilatação metálica c/neoprene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E618" t="str">
            <v>G.c.intransponível tipo I - des. 5289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E619" t="str">
            <v>G.c.intransponível tipo II - des. 5307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E620" t="str">
            <v xml:space="preserve">G.c.de conc. pré passarela - des. 5370 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E621" t="str">
            <v xml:space="preserve">Barreira de seg.tipo New Jersey des-5396 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E622" t="str">
            <v>Barreira double face New Jersey des 5514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E623" t="str">
            <v>Barreira double face New Jersey O.A.E.des 5464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E624" t="str">
            <v>Barreira double face New Jersey des 5465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E625" t="str">
            <v>Barreira com passeio p/ O.A.E. - des 5397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E626" t="str">
            <v>Tubo de pvc perfurado ou não D=0,050m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E627" t="str">
            <v>Tubo de pvc perfurado ou não D=0,10m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E628" t="str">
            <v>Tubo de pvc perfurado ou não D=0,15m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E629" t="str">
            <v>Lançamento viga P&lt;= 50ton-guindaste autoprop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E630" t="str">
            <v>Lançamento viga 50&lt;P&lt;=80 -guind. Autoprop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E631" t="str">
            <v>Esgotamento continuo água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E632" t="str">
            <v>Parede ensecadeira com prancha - esp. 0,05m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E633" t="str">
            <v>Parede ensecadeira com prancha - esp. 0,075m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E634" t="str">
            <v>Enrocamento pedra arrumada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E635" t="str">
            <v>Enrocamento pedra arrumada e rejuntada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E636" t="str">
            <v>Enrocamento pedra jogada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E638" t="str">
            <v>Serviços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E642" t="str">
            <v>Remoção manual de concreto segregado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E643" t="str">
            <v>Demolição de concreto simples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E644" t="str">
            <v>Demolição de concreto armado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E645" t="str">
            <v xml:space="preserve">Remoção, carga e transp. entulho em geral 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E646" t="str">
            <v>Apic. manual concreto c/ eliminação sup. lisas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E647" t="str">
            <v>Limpeza com jato d´água s/ sup. de concreto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E648" t="str">
            <v>Lixamento manual da superfície de concreto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E649" t="str">
            <v>Jateamento de concreto com areia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E650" t="str">
            <v>Jateamento em estr. concreto com água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E651" t="str">
            <v>Jateamento ao metal quase branco c/ areia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E652" t="str">
            <v>Jateamento ao metal branco com areia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E653" t="str">
            <v>Limpeza manual com escova de aço para aço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E654" t="str">
            <v>Limpeza manual c/escova aço para concreto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E655" t="str">
            <v>Andaime de madeira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E656" t="str">
            <v>Andaime tubular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E657" t="str">
            <v>Andaime suspenso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E658" t="str">
            <v xml:space="preserve">Furo no concreto D=1" profund. de 05cm 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E659" t="str">
            <v>Furo no concreto D=1" profund. de 15cm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E660" t="str">
            <v xml:space="preserve">Furo no concreto D=1" profund. de 30cm 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E661" t="str">
            <v>Furo no concreto D=3/4" profund. de 05cm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E662" t="str">
            <v>Furo no concreto D=3/4" profund. de 15cm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E663" t="str">
            <v>Furo no concreto D=3/4" profund. de 30cm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E664" t="str">
            <v>Furo no concreto D=1/2" profund. de 05cm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E665" t="str">
            <v>Furo no concreto D=1/2" profund. de 15cm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E666" t="str">
            <v>Furo no concreto D=1/2" profund. de 30cm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E667" t="str">
            <v>Furo no concreto D=3/8" profund. de 05cm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E668" t="str">
            <v>Furo no concreto D=3/8" profund. de 15cm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E669" t="str">
            <v>Furo no concreto D=3/8" profund. de 30cm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E670" t="str">
            <v>Forma plana para conc. armado comum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E671" t="str">
            <v>Forma plana p/conc.protend. ou aparente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E672" t="str">
            <v>Formas metálica para concreto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E673" t="str">
            <v>Aço CA-25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E674" t="str">
            <v>Aço CA-50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E675" t="str">
            <v>Aço CA-60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E676" t="str">
            <v>Aço para concreto protendido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E677" t="str">
            <v>Tela metálica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E678" t="str">
            <v>Substituição de aço da armadura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E679" t="str">
            <v>Retirada da armadura corroída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E680" t="str">
            <v>Aço para concreto protendido ST 85/105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E681" t="str">
            <v>Emenda barras de aço com luva prensada d=12mm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E682" t="str">
            <v>Emenda barras de aço com luva prensada d=16mm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E683" t="str">
            <v>Emenda barras de aço com luva prensada d=20mm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E684" t="str">
            <v>Emenda barras de aço com luva prensada d=25mm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E685" t="str">
            <v>Emenda barras de aço com rosca d=12mm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E686" t="str">
            <v>Emenda barras de aço com rosca d=16mm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E687" t="str">
            <v>Emenda barras de aço com rosca d=20mm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E688" t="str">
            <v>Emenda barras de aço com rosca d=25mm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E689" t="str">
            <v xml:space="preserve">Chumbamento barras c/ resina epox. Injecão 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E690" t="str">
            <v>Apar. anc. p/ cabos de protensão ativo de 4 f -1/2"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E691" t="str">
            <v>Apar. anc. p/ cabos de protensão ativo de 6 f -1/2"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E692" t="str">
            <v>Apar. anc. p/ cabos de protensão ativo de 12 f -1/2"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E693" t="str">
            <v>Apar. anc. p/ cabos de protensão ativo de 19 f -1/2"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E694" t="str">
            <v xml:space="preserve">Apar. anc. p/ cabos de protensão pas. de 4 f -1/2" 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E695" t="str">
            <v>Apar. anc. p/ cabos de protensão pas. de 6 f -1/2"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E696" t="str">
            <v xml:space="preserve">Apar. anc. p/ cabos de protensão pas. de 19 f -1/2"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E697" t="str">
            <v>Substituição aparelho apoio neoprene fretado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E698" t="str">
            <v>Substituição aparelho apoio neoprene c/teflon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E699" t="str">
            <v>Concreto Fck 10 MPa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E700" t="str">
            <v>Concreto Fck 15 MPa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E701" t="str">
            <v>Concreto Fck 18 MPa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E702" t="str">
            <v>Concreto Fck 20 MPa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E703" t="str">
            <v>Concreto Fck 25 MPa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E704" t="str">
            <v>Concreto Fck 30 MPa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E705" t="str">
            <v>Concreto Ciclópico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E706" t="str">
            <v>Concreto Projetado, medido na seção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E707" t="str">
            <v xml:space="preserve">Bombeamento p/ conc. qualquer resist. 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E708" t="str">
            <v>Concreto grout alta resistência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E709" t="str">
            <v>Enchimento com concreto celular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E710" t="str">
            <v>Concreto Fck 12 Mpa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E711" t="str">
            <v>Concreto Fck 16 Mpa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E712" t="str">
            <v>Concreto Fck 35 Mpa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E713" t="str">
            <v>Concreto Fck 40 Mpa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E714" t="str">
            <v>Junta/retração c/lábio polim. ab.15 até 40mm-subst.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E715" t="str">
            <v>Junta/retração c/lábio polim. ab.40 até 50mm-subst.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E716" t="str">
            <v>Junta/retração c/lábio polim. ab. 50 até 70mm-subst.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E717" t="str">
            <v>Substituição de junta metálica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E718" t="str">
            <v>Preparação e aplicação de argamassa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E719" t="str">
            <v>Ades.epoxi p/ trincas e fis.extrut.(incl. furo e mang.)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E720" t="str">
            <v>Injeção de calda de cimento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E721" t="str">
            <v>Injeção de calda de cimento em bainhas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E722" t="str">
            <v>Argamassa de cimento e areia traço 1:6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E723" t="str">
            <v>Argamassa cimento e areia traço 1:3 esp 2cm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E724" t="str">
            <v>Tubo de pvc perfurado ou não D=0,050m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E725" t="str">
            <v>Tubo de pvc perfurado ou não D=0,10m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E726" t="str">
            <v xml:space="preserve">Tubo de pvc perfurado ou não D=0,15m 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E727" t="str">
            <v>Aditivo super plastificante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E728" t="str">
            <v>Aditivo super fluidificante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E729" t="str">
            <v xml:space="preserve">Aditivo acelerador de pega 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E730" t="str">
            <v>Aditivo retardador de pega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E731" t="str">
            <v>Pintura a base de epoxi - 2 demãos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E733" t="str">
            <v>Serviços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E737" t="str">
            <v>Placa de aço + GT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E738" t="str">
            <v>Placa de aço GT+ GT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E739" t="str">
            <v>Placa de aço GT+ AI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E740" t="str">
            <v>Placa alumínio mod. GT+GT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E741" t="str">
            <v xml:space="preserve">Placa al. mod. GT+AI 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E742" t="str">
            <v xml:space="preserve">Placa al.mod.Ed./Ob.GT+Vinil 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E743" t="str">
            <v xml:space="preserve">Placa em al. mod. p/Port/Semi-Port - GT+GT 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E744" t="str">
            <v>Placa al. mod. p/Port./Semi GT+AI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E745" t="str">
            <v>Sinaliz.hor. res.alquid. + bor.clor.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E746" t="str">
            <v xml:space="preserve">Sinaliz.hor. c/resina vinilica ou acrilica 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E747" t="str">
            <v xml:space="preserve">Sinaliz.hor. com termoplast. Hot-spray 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E748" t="str">
            <v xml:space="preserve">Sinaliz.hor. c/termoplast.spray- c/visib 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E749" t="str">
            <v>Sinaliz. hor. c/termoplast estrudado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E750" t="str">
            <v>Sinaliz. hor tinta para pouco trafego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E751" t="str">
            <v>Sinaliz. horiz. acril.base de água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E752" t="str">
            <v>Sinaliz. horiz. acril. base água c/visibead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E753" t="str">
            <v xml:space="preserve">Tacha c/elem refl. vidro esp.lap. monod. 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E754" t="str">
            <v>Tacha c/elem refl. vidro esp.lap.bidir.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E755" t="str">
            <v xml:space="preserve">Tachão mini refl. vidro esp.lap.monod. 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E756" t="str">
            <v>Tachão mini refl. vidro esp.lap.bid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E757" t="str">
            <v xml:space="preserve">Tachão c/elem refl vidro esp.lap.monod. 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E758" t="str">
            <v xml:space="preserve">Tachão c/elem refl. vidro esp.lap bidirec. 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E759" t="str">
            <v>Tacha c/elem refl de plastico monod.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E760" t="str">
            <v>Tacha c/elem refl de plastico bidirec.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E761" t="str">
            <v xml:space="preserve">Tacha c/elem refl prism.monodirec. 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E762" t="str">
            <v xml:space="preserve">Tacha c/elem refl prism. bidirec. 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E763" t="str">
            <v>Balizador de solo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E764" t="str">
            <v xml:space="preserve">Barreira plast. bicolor 1000x 500x500mm 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E765" t="str">
            <v>Cilindro Canalizador de trafego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E766" t="str">
            <v>Balizador cilindrico GT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E767" t="str">
            <v xml:space="preserve">Balizador cilindrico AI 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E768" t="str">
            <v>Baia proteção simples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E769" t="str">
            <v>Baia proteção duplo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E770" t="str">
            <v>Baia proteção master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E771" t="str">
            <v xml:space="preserve">Lamela ant.fixada em barr.N.Jersey h=0,60m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E772" t="str">
            <v xml:space="preserve">Lamela ant.fixada em barr.N.Jersey h=0,80m 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E773" t="str">
            <v>Lamela ant.fixada em defensa h=0,80m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E774" t="str">
            <v xml:space="preserve">Defensa -maleável simples 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E775" t="str">
            <v xml:space="preserve">Defensa -maleável duplo 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E776" t="str">
            <v>Defensa -maleável simples - implantação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E777" t="str">
            <v>Defensa -maleável duplo - implantação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E778" t="str">
            <v xml:space="preserve">Defensa -semi-maleável simples - fornecim. 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E779" t="str">
            <v xml:space="preserve">Defensa -semi-maleável simples - instalação 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E780" t="str">
            <v xml:space="preserve">G.c.intransponível tipo I - des. 5289 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E781" t="str">
            <v xml:space="preserve">G.c.intransponível tipo II - des. 5307 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E782" t="str">
            <v>G.c.de conc. pré passarela - des. 5370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E783" t="str">
            <v xml:space="preserve">Barreira de segurança tipo New Jersey - des. 5396 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E784" t="str">
            <v xml:space="preserve">Barreira double face New Jersey des 5514 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E785" t="str">
            <v xml:space="preserve">Barreira double face New Jersey O.A.E.des 5464 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E786" t="str">
            <v xml:space="preserve">Barreira double face New Jersey des 5465 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E787" t="str">
            <v xml:space="preserve">Barreira com passeio p/ O.A.E. - des 5397 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E788" t="str">
            <v xml:space="preserve">Barreira New-Jersey extrudada 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E789" t="str">
            <v xml:space="preserve">Suporte madeira tratada 0,10 x 0,10m 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E790" t="str">
            <v xml:space="preserve">Suporte de perfil metálico galvanizado 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E791" t="str">
            <v xml:space="preserve">Suporte de tubo galvanizado d= 2 1/2" 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E792" t="str">
            <v xml:space="preserve">Broca de concreto armado D=20,00cm 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E793" t="str">
            <v xml:space="preserve">Broca de concreto armado D=25,00cm 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E794" t="str">
            <v>Broca de concreto armado D=15,00cm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E795" t="str">
            <v xml:space="preserve">Placa institucional 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E796" t="str">
            <v xml:space="preserve">Manut placa instit. 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E798" t="str">
            <v>Serviços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E802" t="str">
            <v>Grama placa s/adubo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E803" t="str">
            <v>Grama placa c/adubo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E804" t="str">
            <v>Grama muda s/adubo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E805" t="str">
            <v>Grama muda c/adubo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E806" t="str">
            <v>Plant. Semen. s/adubo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E807" t="str">
            <v>Plant. Semen. c/adubo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E808" t="str">
            <v>Hidrossemeadura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E809" t="str">
            <v>Irrig. Revest. Vegetal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E810" t="str">
            <v xml:space="preserve">Plantio de arbustos 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E811" t="str">
            <v>Plantio de arvores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E812" t="str">
            <v xml:space="preserve">Plant gram sem c adu. 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E813" t="str">
            <v xml:space="preserve">Alambrado com tela de arame galv., mourao de conc, 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E815" t="str">
            <v>Serviços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E819" t="str">
            <v>Remendo pre-mist. Quente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E820" t="str">
            <v>Remendo pre-mist. Frio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E821" t="str">
            <v>Reparo em pav. Tapa buraco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E822" t="str">
            <v>Reparo de base brita graduada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E823" t="str">
            <v>Selagem de trinca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E824" t="str">
            <v>Reparo de concreto portland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E825" t="str">
            <v xml:space="preserve">Repos. Ver. Prim. Pista 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E826" t="str">
            <v>Repos. Ver. Prim. Acost.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E827" t="str">
            <v xml:space="preserve">Reconformação de plataforma 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E828" t="str">
            <v xml:space="preserve">Reconformação de acostamento 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E829" t="str">
            <v>Plantio de grama em placa sem adubo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E830" t="str">
            <v>Plantio de grama em placa com adubo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E831" t="str">
            <v>Roçada manual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E832" t="str">
            <v xml:space="preserve">Roçada mecânica 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E833" t="str">
            <v>Capina manual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E834" t="str">
            <v>Capina química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E835" t="str">
            <v>Conservação manual de aceiro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E836" t="str">
            <v>Despraguejamento manual de gramado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E837" t="str">
            <v>Remoção lixo entulho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E838" t="str">
            <v>Reparo total de cerca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E839" t="str">
            <v>Reparo parcial de cerca - mourão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E840" t="str">
            <v>Reparo parcial de cerca - arame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E841" t="str">
            <v>Recomposição manual de aterro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E842" t="str">
            <v>Recomposição mecânica de aterro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E843" t="str">
            <v xml:space="preserve">Remoção manual de barreira 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E844" t="str">
            <v>Remoção mecânica de barreira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E845" t="str">
            <v>Limpeza de drenagem da plataforma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E846" t="str">
            <v>Limpeza de drenagem fora da plataforma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E847" t="str">
            <v>Limpeza de bueiros diametro até 60cm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E848" t="str">
            <v>Limpeza de bueiros diametro até 80cm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E849" t="str">
            <v>Limpeza de bueiros diametro até 100cm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E850" t="str">
            <v>Limpeza de bueiros diametro até 120cm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E851" t="str">
            <v>Limpeza de bueiros diametro até 150cm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E852" t="str">
            <v>Limpeza de galeria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E853" t="str">
            <v>Reparo drenagem superficial de concreto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E854" t="str">
            <v>Demolição de concreto simples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E855" t="str">
            <v xml:space="preserve">Demolição de concreto Armado 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E856" t="str">
            <v>Demolição e retirada de guarda-corpo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E857" t="str">
            <v>Limpeza de placa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E858" t="str">
            <v>Substituição de placa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E859" t="str">
            <v>Fornec. de placa de aco FP+GT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E860" t="str">
            <v>Placa de alumínio GT+GT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E861" t="str">
            <v>Suporte madeira tratada 0,10 x 0,10m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E862" t="str">
            <v>Suporte de perfil metálico galvanizado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E863" t="str">
            <v>Suporte de tubo galvanizado d=2 1/2"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E864" t="str">
            <v>Limpeza tacha refletiva mono/bidirecional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E865" t="str">
            <v>Pintura de caiação 2 demãos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E866" t="str">
            <v>Substituição de defensa semi-maleável sem mat.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E867" t="str">
            <v>Defensa semi-maleável - fornecimento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E868" t="str">
            <v>Defensa semi-maleável - Instalação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E869" t="str">
            <v>Reparo de guarda corpo metálico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E870" t="str">
            <v>Limpeza superficial concreto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E871" t="str">
            <v>Alvenaria de 1 tijolo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E872" t="str">
            <v xml:space="preserve">Recolhimento de animais 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E873" t="str">
            <v>Equipe para serviços conservação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E874" t="str">
            <v>Transporte de pessoal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E875" t="str">
            <v>Pintura latex acrílica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E876" t="str">
            <v>Guia concreto Fck 15 Mpa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E877" t="str">
            <v>Sarjeta concreto Fck 15 Mpa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E879" t="str">
            <v>Serviços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E883" t="str">
            <v>Reforço de sub-leito - Escavação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E884" t="str">
            <v>Reforço de sub-leito - compactação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E885" t="str">
            <v xml:space="preserve">Preparo e melhoramento sub-leito 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E886" t="str">
            <v>Sub-base ou base brita grad. simples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E887" t="str">
            <v>Imprimadura bet. impermeabilizante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E888" t="str">
            <v>Imprimadura betuminosa ligante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E889" t="str">
            <v>Tratamento superf. c/ lama asfáltica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E890" t="str">
            <v>Camada de lama asfáltica grossa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E891" t="str">
            <v>Camada de rolamento CBUQ - panos s/DOP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E892" t="str">
            <v>Camada Base/regularização de pré mist. A frio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E893" t="str">
            <v>Capa selante Betuminosa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E894" t="str">
            <v>Fresagem Pavimento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E895" t="str">
            <v>Imprimadura bet. auxiliar de ligação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E896" t="str">
            <v>Remoção Camada de rolamento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E897" t="str">
            <v>Tratamento superficial duplo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E898" t="str">
            <v>Tratamento superficial triplo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E899" t="str">
            <v xml:space="preserve">Escavação manual de 1ª/2ª categoria 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E900" t="str">
            <v>Escavação fund., bueiro ou dreno s/expl.até 2m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E901" t="str">
            <v>Acresc. p/Escav. 1,5 m prof., além 2m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E902" t="str">
            <v>Escavação fund., bueiro ou dreno c/expl. até 2 m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E903" t="str">
            <v>Acresc. p/escav. ensec.c/explos. c/ 1,5m além 3m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E904" t="str">
            <v>Compactação manual com reaterro solo local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E905" t="str">
            <v>Forma plana para concreto comum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E906" t="str">
            <v>Forma plana para concreto aparente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E907" t="str">
            <v>Forma curva para concreto comum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E908" t="str">
            <v>Forma curva para concreto aparente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E909" t="str">
            <v>Aço CA-25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E910" t="str">
            <v>Aço CA-50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E911" t="str">
            <v>Aço CA-60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E912" t="str">
            <v>Concreto Fck 10 MPa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E913" t="str">
            <v>Concreto Fck 12 MPa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E914" t="str">
            <v>Concreto Fck 15 MPa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E915" t="str">
            <v>Concreto Fck 16 MPa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E916" t="str">
            <v>Concreto Fck 18 MPa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E917" t="str">
            <v>Concreto Fck 20 MPa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E918" t="str">
            <v>Concreto Fck 25 MPa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E919" t="str">
            <v>Concreto Fck 30 MPa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E920" t="str">
            <v>Concreto Fck 35 Mpa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E921" t="str">
            <v>Concreto Fck 40 MPa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E922" t="str">
            <v>Concreto Ciclópico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E923" t="str">
            <v>Bombeamento p/conc. qualquer resist.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E924" t="str">
            <v>Enrocamento pedra arrumada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E925" t="str">
            <v>Enrocamento pedra arrumada e rejuntada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E926" t="str">
            <v>Enrrocamento pedra jogada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E927" t="str">
            <v xml:space="preserve">Tubo concreto D=0,40m CA-1 - fornec. 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E928" t="str">
            <v>Tubo concreto D=0,40m CA-2 - fornec.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E929" t="str">
            <v xml:space="preserve">Tubo concreto D=0,50m CA-3 - fornec. 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E930" t="str">
            <v>Tubo concreto D=0,60m CA-1 - fornec.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E931" t="str">
            <v xml:space="preserve">Tubo concreto D=0,60m CA-2 - fornec. 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E932" t="str">
            <v>Tubo concreto D=0,60m CA-3 - fornec.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E933" t="str">
            <v>Tubo concreto D=0,60m CA-4 - fornec.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E934" t="str">
            <v>Tubo concreto D=0,80m CA-1 - fornec.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E935" t="str">
            <v>Tubo concreto D=0,80m CA-2 - fornec.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E936" t="str">
            <v>Tubo concreto D=0,80m CA-3 - fornec.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E937" t="str">
            <v xml:space="preserve">Tubo concreto D=0,80m CA-4 - fornceimento 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E938" t="str">
            <v xml:space="preserve">Tubo concreto D=1,00m CA-1 - fornec. 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E939" t="str">
            <v xml:space="preserve">Tubo concreto D=1,20m CA-1 - fornec. 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E940" t="str">
            <v xml:space="preserve">Tubo concreto D=1,50m CA-1 - fornec. 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E941" t="str">
            <v>Tubo concreto D=0,40m assentamento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E942" t="str">
            <v>Tubo de concreto D=0,50m assentamento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E943" t="str">
            <v>Tubo concreto D=0,60m assentamento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E944" t="str">
            <v xml:space="preserve">Tubo concreto D=0,80m assentamento 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E945" t="str">
            <v>Tubo concreto D=1,00m assentamento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E946" t="str">
            <v>Tubo concreto D=1,20m assentamento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E947" t="str">
            <v>Tubo concreto D=1,50m assentamento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E948" t="str">
            <v>Gabião tipo caixa 50cm - tela galv.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E949" t="str">
            <v>Gabião tipo colchão e= 17cm - tela galv.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E950" t="str">
            <v>Gabião tipo colchão e= 23cm - tela galv.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E951" t="str">
            <v xml:space="preserve">Gabião tipo colchão espessura 30cm - tela galv. 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E952" t="str">
            <v xml:space="preserve">Gabião tipo colchão e= 17cm - tela pvc 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E953" t="str">
            <v>Gabião tipo colchão espessura 23cm - tela pvc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E954" t="str">
            <v>Gabião tipo colchão espessura 30cm - tela pvc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E955" t="str">
            <v>Gabião tipo saco - tela galv.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E956" t="str">
            <v>Camada filtrante pedra britada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E957" t="str">
            <v>Canaleta concreto 40 cm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E958" t="str">
            <v>Canaleta concreto 60 cm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E959" t="str">
            <v>Canaleta concreto 80 cm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E960" t="str">
            <v>Tubo pvc perfurado ou não D=0,050m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E961" t="str">
            <v>Tubo pvc perfurado ou não D=0,10m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E962" t="str">
            <v>Tubo pvc perfurado ou não D=0,15m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E963" t="str">
            <v xml:space="preserve">Manta geotêxtil não tecida 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E964" t="str">
            <v xml:space="preserve">Manta geotêxtil tecida 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E965" t="str">
            <v>Enchimento de vala com areia lavada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E966" t="str">
            <v>Enchimento de vala com pedra britada 3 e 4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E967" t="str">
            <v>Enchimento de vala com pedra rachão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E968" t="str">
            <v>Retaludamento mecânico 1ª/2ª cat.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E969" t="str">
            <v>Tubo aço corr.galv.met.não destrutivo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E970" t="str">
            <v>Tubo aço corr.epoxy met.não destrutivo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E971" t="str">
            <v>Tubo aço corr.galv.met. destrutivo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E972" t="str">
            <v>Tubo aço corr.epoxy met. destrutivo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E973" t="str">
            <v xml:space="preserve">Tacha c/elem refl. vidro esp.lap. monod. 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E974" t="str">
            <v xml:space="preserve">Tacha c/elem refl. vidro esp.lap.bidir. 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E975" t="str">
            <v xml:space="preserve">Tachão c/elem refl vidro esp.lap.monod. 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E976" t="str">
            <v>Tachão c/elem refl. vidro esp.lap bidirec.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E977" t="str">
            <v xml:space="preserve">Tachão mini refl. vidro esp.lap.monod. 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E978" t="str">
            <v xml:space="preserve">Tachão mini refl. vidro esp.lap.bid 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E979" t="str">
            <v>Tacha c/elem refl de plastico monod.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E980" t="str">
            <v xml:space="preserve">Tacha c/elem refl de plastico bidirec. 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E981" t="str">
            <v xml:space="preserve">Tacha c/elem refl prism. bidirec. 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E982" t="str">
            <v>Sinaliz. horiz. acril.base de água m²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E983" t="str">
            <v>Sinaliz. horiz. acril. base água c/visibead m²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E984" t="str">
            <v>Renovação tinta res. acríl./vinílica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E985" t="str">
            <v>Renovação mat.termopl.aspersão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E986" t="str">
            <v>Renovação mat.termopl.extrusão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E987" t="str">
            <v>Renovação tinta res. alqd.borracha clorada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E988" t="str">
            <v xml:space="preserve">Destocamento árv. com perímetro maior que 78cm 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E989" t="str">
            <v>Limp. terreno c/ dest.arv.perímetro&lt;= 78cm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E990" t="str">
            <v>Limp. terreno s/destocamento de árvores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E991" t="str">
            <v>Escavação 1/2ª cat. trator + pá carreg.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E992" t="str">
            <v>Escavação 1/2ª cat. c/ motoscraper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E993" t="str">
            <v>Escavação 1/2ª cat. c/ escav. hidraúlica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E994" t="str">
            <v>Escavação e carga material 2ª cat. c/ripper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E995" t="str">
            <v>Escavação carga material 2ª cat. com explosivo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E996" t="str">
            <v xml:space="preserve">Escavação e carga material de 3ª cat. 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E997" t="str">
            <v xml:space="preserve">Compactação de aterro maior/igual 95%PS 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E998" t="str">
            <v xml:space="preserve">Transporte de 1ª/2ª categoria até 1 km 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E999" t="str">
            <v xml:space="preserve">Transporte de 1ª/2ª categoria até 2 km 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E1000" t="str">
            <v xml:space="preserve">Transporte de 1ª/2ª categoria até 5 km 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E1001" t="str">
            <v xml:space="preserve">Transporte de 1ª/2ª categoria até 10 km 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E1002" t="str">
            <v xml:space="preserve">Transporte de 1ª/2ª categoria até 15 km 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E1003" t="str">
            <v xml:space="preserve">Transporte de 1ª/2ª categoria alem 15 km 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E1004" t="str">
            <v xml:space="preserve">Transporte de solo cimento ate 5 km 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E1005" t="str">
            <v xml:space="preserve">Sub-base ou base solo cim 7% - Pulv. 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E1006" t="str">
            <v xml:space="preserve">Sub-base ou base solo cim 10% - Pulv. 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E1008" t="str">
            <v>Serviços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E1012" t="str">
            <v xml:space="preserve">Arrecadador 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E1013" t="str">
            <v>Auxiliar Man. El. Eletronica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E1014" t="str">
            <v>Auxiliar de Pista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E1015" t="str">
            <v>Auxiliar de tráfego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E1016" t="str">
            <v>Coordenador de pedágio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E1017" t="str">
            <v>Supervisor de pedágio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E1018" t="str">
            <v>Conferente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E1019" t="str">
            <v xml:space="preserve">Técnico manut. Elet-eletr 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E1020" t="str">
            <v xml:space="preserve">Auxiliar Técnico 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E1021" t="str">
            <v>Balanceiro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E1022" t="str">
            <v>Auxiliar de pesagem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E1023" t="str">
            <v>Limpeza de áreas int. pisos acarpetados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E1024" t="str">
            <v>Limpeza de áreas internas e pisos frios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E1025" t="str">
            <v>Limpeza de áreas internas laboratórios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E1026" t="str">
            <v>Limpeza de áreas int.almoxarif.e galpões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E1027" t="str">
            <v>Limpeza de áreas internas oficinas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E1028" t="str">
            <v>Limpeza áreas ext. pisos pav.e terra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E1029" t="str">
            <v>Limpeza ext. pát.e áreas verdes alta freq.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E1030" t="str">
            <v xml:space="preserve">Limpeza ext. pát.e áreas verdes média freq 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E1031" t="str">
            <v>Limpeza ext. pát.e áreas verdes baixa freq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E1032" t="str">
            <v xml:space="preserve">Vidros externos c/ exp.risco trimestr. 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E1033" t="str">
            <v>Vidros externos s/ exp.risco - trimestr.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E1034" t="str">
            <v xml:space="preserve">Vidros externos c/ exp.risco - s/estral 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E1035" t="str">
            <v xml:space="preserve">Vidros externos s/ exp.risco - s/estral 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E1036" t="str">
            <v xml:space="preserve">Vigilância 44h sem. de segunda a sextaVig.feira 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E1037" t="str">
            <v xml:space="preserve">Vigilância 12h diurno de segunda a domingo 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E1038" t="str">
            <v xml:space="preserve">Vigilância 12h noturno de segunda a domingo 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E1039" t="str">
            <v xml:space="preserve">Portaria 44h sem. diurno deseg/ sexta-feira 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E1040" t="str">
            <v xml:space="preserve">Portaria 12h sem. diurno deseg/ sexta-feira 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E1041" t="str">
            <v xml:space="preserve">Portaria 8h diurno de segunda a domingo 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E1042" t="str">
            <v xml:space="preserve">Portaria 24h diuturno de segunda a domingo 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E1043" t="str">
            <v>Médico Supervisor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E1044" t="str">
            <v>Paramédico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E1045" t="str">
            <v>Atendente de primeiros socorros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E1046" t="str">
            <v>Auxiliar Atendente de primeiros socorros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E1047" t="str">
            <v>Motorista ambulância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E1048" t="str">
            <v>Operador de guincho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E1049" t="str">
            <v>Hidr. Daee e deprn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E1051" t="str">
            <v>Serviços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E1055" t="str">
            <v>Analista de Sistema Júnior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E1056" t="str">
            <v>Analista de Sistema Pleno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E1057" t="str">
            <v>Analista de Sistema Senior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E1058" t="str">
            <v>Auxiliar de Laboratório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E1059" t="str">
            <v>Auxiliar Topografia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E1060" t="str">
            <v>Auxiliar/Escritório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E1061" t="str">
            <v>Chefe de Escritório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E1062" t="str">
            <v>Consultor (sem vínculo)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E1063" t="str">
            <v>Consultor jurídico (sem vínculo)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E1064" t="str">
            <v>Digitado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E1065" t="str">
            <v>Desenhista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E1066" t="str">
            <v>Desenhista/Calculista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E1067" t="str">
            <v>Economista Júnior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E1068" t="str">
            <v>Economista Pleno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E1069" t="str">
            <v>Economista Senior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E1070" t="str">
            <v>Engenheiro Júnior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E1071" t="str">
            <v>Engenheiro Pleno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E1072" t="str">
            <v>Engenheiro Senior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E1073" t="str">
            <v>Especialista em Treinamento Pleno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E1074" t="str">
            <v>Especialista em Treinamento Senior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E1075" t="str">
            <v>Fiscal de Obras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E1076" t="str">
            <v>Geólogo Júnior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E1077" t="str">
            <v>Geólogo Pleno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E1078" t="str">
            <v>Geólogo Senior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E1079" t="str">
            <v>Laboratorista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E1080" t="str">
            <v>Laboratorista Auxiliar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E1081" t="str">
            <v>Motorista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E1082" t="str">
            <v>Nivelador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E1083" t="str">
            <v>Operador de Microcomputador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E1084" t="str">
            <v>Programador de Computador Júnior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E1085" t="str">
            <v>Programador de Computador Pleno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E1086" t="str">
            <v>Programador de Computador Senior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E1087" t="str">
            <v>Psicólogo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E1088" t="str">
            <v>Seccionista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E1089" t="str">
            <v>Secretária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E1090" t="str">
            <v>Topógrafo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E1091" t="str">
            <v>Topógrafo Auxiliar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E1092" t="str">
            <v>Entrevistador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E1093" t="str">
            <v>Auxiliar de escritório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E1094" t="str">
            <v>Auxiliar de topografia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E1095" t="str">
            <v>Auxiliar Técnico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E1096" t="str">
            <v>Consultor A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E1097" t="str">
            <v xml:space="preserve">Consultor B 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E1098" t="str">
            <v>Consultor C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E1099" t="str">
            <v>Coordenador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E1100" t="str">
            <v>Desenhista e Calculista I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E1101" t="str">
            <v>Desenhista e Calculista II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E1102" t="str">
            <v xml:space="preserve">Desenhista e Calculista III 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E1103" t="str">
            <v>Engenheiro Júnior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E1104" t="str">
            <v>Engenheiro Pleno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E1105" t="str">
            <v>Engenheiro Senior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E1106" t="str">
            <v>Projetista A / Assistente Técnico I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E1107" t="str">
            <v>Projetista B / Assistente Técnico II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E1108" t="str">
            <v xml:space="preserve">Projetista C / Assistente Técnico III 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E1109" t="str">
            <v>Engenheiro Agronomo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E1110" t="str">
            <v>Antropólogo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E1111" t="str">
            <v>Nivelador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E1112" t="str">
            <v>Topógrafo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E1113" t="str">
            <v>Biólogo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E1114" t="str">
            <v>Economista Júnior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E1115" t="str">
            <v>Economista Pleno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E1116" t="str">
            <v>Economista Senior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E1117" t="str">
            <v>Especialista Ambiental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E1118" t="str">
            <v>Geógrafo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E1119" t="str">
            <v>Geólogo Júnior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E1120" t="str">
            <v>Geólogo Pleno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E1121" t="str">
            <v>Geólogo Senior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E1122" t="str">
            <v>Sociólogo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E1123" t="str">
            <v>Técnico Artes visuais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E1124" t="str">
            <v>Arqueólogo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E1125" t="str">
            <v>Geomorfologo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E1127" t="str">
            <v>Serviços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E1131" t="str">
            <v>Inst. Canteiro tipo I (1,50%)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E1132" t="str">
            <v xml:space="preserve">Oper. E manutençãocanteiro tipo I (0,875%) 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E1133" t="str">
            <v>Desmobilização canteiro tipo I (0,125%)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E1134" t="str">
            <v>Inst. Canteiro tipo II (1,80%)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E1135" t="str">
            <v>Oper. E manutençãocanteiro tipo II (1,050%)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E1136" t="str">
            <v>Desmobilização canteiro tipo II (0,150%)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E1137" t="str">
            <v>Inst. Canteiro tipo III (4,80%)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E1138" t="str">
            <v>Oper. E manutençãocanteiro tipo III (0,900%)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E1139" t="str">
            <v>Desmobilização canteiro tipo III (0,300%)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E1141" t="str">
            <v>Serviços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E1145" t="str">
            <v>Rachão intertravado com bica corrida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E1146" t="str">
            <v>Camada de Bloqueio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E1147" t="str">
            <v>Conc. asf. us. quente - Grad. C c/ DOP.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E1148" t="str">
            <v>Compactação de Aterro maior /igual 95%PS( inclusive Reaterro mat. Brejoso)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E1149" t="str">
            <v>Tubo de concreto Ø 0,60m classe CA-2 ( fornecimento e assentamento )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E1150" t="str">
            <v>Tubo de concreto Ø 1,00m classe CA-2 ( fornecimento e assentamento )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E1151" t="str">
            <v>Escavação para execução de dreno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E1152" t="str">
            <v>Aquis. Mat. Espal. Conf. Rolagem mat. Sil. Argil. (*)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E1153" t="str">
            <v>Transporte de 1ª/2ª categoria até 1 Km (*)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E1154" t="str">
            <v>Transporte de 1ª/2ª categoria até 2 Km (*)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E1155" t="str">
            <v>Espalhamento de material no bota fora inclusive mat. de limpeza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E1156" t="str">
            <v>Conc. asf. us. quente - Binder - DERSA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E1157" t="str">
            <v>Conc. asf. us. quente - capa asfáltica - DERSA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E1158" t="str">
            <v>Tubo de concreto Ø 0,80m classe CA-2 ( fornecimento e assentamento )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E1159" t="str">
            <v>Tubo de concreto Ø 0,80m classe CA-3 ( fornecimento e assentamento )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E1160" t="str">
            <v>Tubo de concreto Ø 1,00m classe CA-4 ( fornecimento e assentamento )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E1161" t="str">
            <v>Tubo de concreto Ø 1,20m classe CA-2 ( fornecimento e assentamento )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E1162" t="str">
            <v>Tubo de aço corr. Epoxy met. Destrutivo-MP100/ e= 2,0mm/84kg/m Ø = 1,30m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E1163" t="str">
            <v>Tubo de aço corr. Epoxy met. Destrutivo-MP100/ e= 3,4mm/136kg/m Ø = 1,30m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E1164" t="str">
            <v>Tubo de aço corr. Epoxy met. Destrutivo-MP100/ e= 2,0mm/125kg/m Ø = 1,50m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E1165" t="str">
            <v>Tubo de aço corr. Epoxy met. Destrutivo-MP152/ e= 2,7mm/162kg/m Ø = 1,50m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E1166" t="str">
            <v>Remoção de Tubo Ø = 0,30m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E1167" t="str">
            <v>Remoção de Tubo Ø = 0,40m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E1168" t="str">
            <v>Remoção de Tubo Ø = 0,60m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E1169" t="str">
            <v>Tubo de concreto Ø 0,60m classe CA-3 ( fornecimento e assentamento )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E1170" t="str">
            <v>Tubo de concreto Ø 0,40m classe CA-2 ( fornecimento e assentamento )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E1171" t="str">
            <v>Tubo de concreto Ø 1,50m classe CA-2 ( fornecimento e assentamento )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E1172" t="str">
            <v>Remoção de Tubo Ø = 0,80m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E1173" t="str">
            <v>Passeio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E1174" t="str">
            <v>Aterro - Solo mole - material de 3ª Categoria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E1175" t="str">
            <v>Aterros - materila de 3ª Categoria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E1176" t="str">
            <v>Revestimento vegetal de taludes com hidrossemeadura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E1177" t="str">
            <v>Abertura de caixa para execução do acostamento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E1178" t="str">
            <v>Demolição pavi.flex, incl.transp.até 1km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E1179" t="str">
            <v>Concreto Fck 13,5 MPa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E1180" t="str">
            <v>Gabião tipo colchão espessura 30cm - tela galv.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E1181" t="str">
            <v>Barreira double face New Jersey - des 5514 (TIPO 3)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E1182" t="str">
            <v>Manta geotêxtil não tecido ( Bidim RT-09 ou similar)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E1183" t="str">
            <v>Escavação de material em jazida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E1184" t="str">
            <v>Tubo ovóide S=2,25 m²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E1185" t="str">
            <v>Tubo ovóide S=3,00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E1186" t="str">
            <v>Tubo ovóide S=4,00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E1187" t="str">
            <v>Demolição do Pavimento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E1188" t="str">
            <v>Restauração do Pavimento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E1189" t="str">
            <v xml:space="preserve">Articulação de concreto tipo "Freyssinet" 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E1190" t="str">
            <v>Junta de dilatação tipo Jeene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E1191" t="str">
            <v>Tirantes 280 kN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E1192" t="str">
            <v>Tirantes 140 kN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E1193" t="str">
            <v>Ap. Ancoragem p/ Cabos Proten. Ativa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E1194" t="str">
            <v>Barbacãs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E1195" t="str">
            <v>Tubo de concreto Ø 0,50m classe CA-2 ( fornecimento e assentamento )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E1196" t="str">
            <v>Barreira de segurança tipo New Jersey - des 5396 (TIPO 1A)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E1197" t="str">
            <v>Tubo MP 100 Ø 2,10m e= 2,0mm - ( Forncimento e assentamento )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E1198" t="str">
            <v>Tubo MP 100 Ø 2,20m e= 2,7mm - ( Forncimento e assentamento )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E1199" t="str">
            <v>Tubo MP 152 Ø 4,60m e= 2,7mm - ( Forncimento e assentamento )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E1200" t="str">
            <v>Remoção de Tubo metálico Ø = 1,50m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E1201" t="str">
            <v>Tubo Metálico Ø =2,30m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E1202" t="str">
            <v>Tubo de concreto Ø 1,00m classe CA-3 ( fornecimento e assentamento )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E1203" t="str">
            <v>Tubo de concreto Ø 0,50m classe CA-4 ( fornecimento e assentamento )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E1204" t="str">
            <v>Tubo de concreto Ø 1,50m classe CA-3 ( fornecimento e assentamento )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E1205" t="str">
            <v>Restauração do Pavimento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E1206" t="str">
            <v>Aterro solo mole - material de 3ª categoria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E1207" t="str">
            <v>Aterros - material de 3ª categoria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E1208" t="str">
            <v>Sub-base ou base solo brita c/ cimento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E1209" t="str">
            <v>Apiloamento / Nivelamento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E1210" t="str">
            <v>Tela metálica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E1212" t="str">
            <v>Perfuração  p/ DHP em solo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E1213" t="str">
            <v>Perfuração  p/ tirante em solo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E1214" t="str">
            <v>Túnnel Liner Ø 2,00 e=3,4mm epoxy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E1215" t="str">
            <v>Implantação de Túnnel Liner Ø = 2,00m e=3,4mm ( em solo )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E1216" t="str">
            <v>Implantação de Túnnel Liner Ø = 2,00m e=3,4mm ( em talus )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E1217" t="str">
            <v>Implantação de fuste metálico Ø = 2,00m e=3,4mm ( em talus )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E1218" t="str">
            <v>Levantamento Topográfico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  <cell r="E1219" t="str">
            <v>Remoção de Tubo metálico Ø = 1,50m</v>
          </cell>
        </row>
        <row r="1220">
          <cell r="B1220" t="str">
            <v>16.1.76</v>
          </cell>
          <cell r="D1220" t="str">
            <v>37.01.76</v>
          </cell>
          <cell r="E1220" t="str">
            <v>Injeção de calda de cimento p/ consolidação do Talude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E1221" t="str">
            <v xml:space="preserve">Perfuração  p/ DHP  em talus 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E1222" t="str">
            <v xml:space="preserve">Perfuração  p/ tirante em rocha sã 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E1223" t="str">
            <v>Perfuração  p/ tirante em talus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E1224" t="str">
            <v>Apar. anc. p/ Tirantes 40 TF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E1225" t="str">
            <v>Tiran. 60 TF 8F D= 1/2"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E1226" t="str">
            <v>Dispositivo eletronico para canalização de Tráfego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E1227" t="str">
            <v>Junta Fungenband tipo "O-22"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E1247" t="str">
            <v>Serviços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E1251" t="str">
            <v>AC.CONC.SUP.B436 C-A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E1252" t="str">
            <v xml:space="preserve">AC.CONC.SUP.B436 C-B 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E1253" t="str">
            <v>AC.CONC.SUP.B436 C-C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E1254" t="str">
            <v>AC.CONC.SUP.B436 C-D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E1255" t="str">
            <v>AC.CONC.SUP.BG38 C-A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E1256" t="str">
            <v>AC.CONC.SUP.BG38 C-B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E1257" t="str">
            <v>AC.CONC.SUP.BG38 C-C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E1258" t="str">
            <v>AC.CONC.SUP.BG38 C-D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E1259" t="str">
            <v>VEIC.PEQ.1600CC C-A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E1260" t="str">
            <v>VEIC.PEQ.1600CC C-B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E1261" t="str">
            <v>VEIC.PEQ.1600CC C-C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E1262" t="str">
            <v>VEIC.PEQ.1600CC C-D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E1263" t="str">
            <v xml:space="preserve">VEIC.PEQ.1600CC C-E 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E1264" t="str">
            <v>VEIC.PEQ.1600CC C-F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E1265" t="str">
            <v>VEIC.PEQ.1000CC C-A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E1266" t="str">
            <v>VEIC.PEQ.1000CC C-B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E1267" t="str">
            <v>VEIC.PEQ.1000CC C-C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E1268" t="str">
            <v>VEIC.PEQ.1000CC C-D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E1269" t="str">
            <v>VEIC.PEQ.1000CC C-E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E1270" t="str">
            <v xml:space="preserve">VEIC.PEQ.1000CC C-F 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E1271" t="str">
            <v>VEIC.UTIL. 09 PS C-A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E1272" t="str">
            <v xml:space="preserve">VEIC.UTIL. 09 PS C-B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E1273" t="str">
            <v>VEIC.UTIL. 09 PS C-C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E1274" t="str">
            <v xml:space="preserve">VEIC.UTIL. 09 PS C-D 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E1275" t="str">
            <v>VEIC.UTIL. 09 PS C-E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E1276" t="str">
            <v xml:space="preserve">VEIC.UTIL. 09 PS C-F 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E1277" t="str">
            <v>VEIC.UT.PICK-UP C-A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E1278" t="str">
            <v>VEIC.UT.PICK-UP C-B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E1279" t="str">
            <v xml:space="preserve">VEIC.UT.PICK-UP C-C 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E1280" t="str">
            <v>VEIC.UT.PICK-UP C-D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E1281" t="str">
            <v>VEIC.UT.PICK-UP C-E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E1282" t="str">
            <v xml:space="preserve">VEIC.UT.PICK-UP C-F 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E1283" t="str">
            <v xml:space="preserve">VEIC.PREMARCAÇÃO C-A 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E1284" t="str">
            <v>VEIC.PREMARCAÇÃO C-B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E1285" t="str">
            <v xml:space="preserve">VEIC.PREMARCAÇÃO C-C 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E1286" t="str">
            <v xml:space="preserve">VEIC.PREMARCAÇÃO C-D 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E1287" t="str">
            <v>ONIBUS C-A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E1288" t="str">
            <v xml:space="preserve">ONIBUS C-B 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E1289" t="str">
            <v>ONIBUS C-C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E1290" t="str">
            <v>ONIBUS C-D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E1291" t="str">
            <v>ONIBUS C-E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E1292" t="str">
            <v>MICRO ONIBUS C-A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E1293" t="str">
            <v>MICRO ONIBUS C-B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E1294" t="str">
            <v>MICRO ONIBUS C-C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E1295" t="str">
            <v>MICRO ONIBUS C-D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E1296" t="str">
            <v>MICRO ONIBUS C-E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E1297" t="str">
            <v>BATE EST.40/80T C-A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E1298" t="str">
            <v>BATE EST.40/80T C-B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E1299" t="str">
            <v>BATE EST.40/80T C-C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E1300" t="str">
            <v>BATE EST.40/80T C-D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E1301" t="str">
            <v>BATE EST.ATE 40T C-A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E1302" t="str">
            <v>BATE EST.ATE 40T C-B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E1303" t="str">
            <v>BATE EST.ATE 40T C-C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E1304" t="str">
            <v>BATE EST.ATE 40T C-D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E1305" t="str">
            <v>BETONEIRA 320L C-A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E1306" t="str">
            <v>BETONEIRA 320L C-B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E1307" t="str">
            <v>BETONEIRA 320L C-C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E1308" t="str">
            <v>BETONEIRA 320L C-D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E1309" t="str">
            <v>BETON.320L M.G.C-A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E1310" t="str">
            <v>BETON.320L M.G.C-B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E1311" t="str">
            <v>BETON.320L M.G.C-C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E1312" t="str">
            <v>BETON.320L M.G.C-D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E1313" t="str">
            <v>BETON.580L E.C/C.C-A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E1314" t="str">
            <v>BETON.580L E.C/C.C-B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E1315" t="str">
            <v>BETON.580L E.C/C.C-C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E1316" t="str">
            <v>BETON.580L E.C/C.C-D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E1317" t="str">
            <v xml:space="preserve">BETON.580L M.G.C-A 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E1318" t="str">
            <v>BETON.580L M.G.C-B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E1319" t="str">
            <v>BETON.580L M.G.C-C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E1320" t="str">
            <v>BETON.580L M.G.C-D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E1321" t="str">
            <v>BOM.DREN.27M3/H C-A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E1322" t="str">
            <v>BOM.DREN.27M3/H C-B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E1323" t="str">
            <v>BOM.DREN.27M3/H C-C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E1324" t="str">
            <v>BOM.DREN.27M3/H C-D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E1325" t="str">
            <v>BOM.DREN.60M3/H C-A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E1326" t="str">
            <v>BOM.DREN.60M3/H C-B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E1327" t="str">
            <v>BOM.DREN.60M3/H C-C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E1328" t="str">
            <v>BOM.DREN.60M3/H C-D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E1329" t="str">
            <v>BOM.DREN.144M3/H C-A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E1330" t="str">
            <v>BOM.DREN.144M3/H C-B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E1331" t="str">
            <v>BOM.DREN.144M3/H C-C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E1332" t="str">
            <v>BOM.DREN.144M3/H C-D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E1333" t="str">
            <v>BOM.DREN.180M3/H C-A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E1334" t="str">
            <v>BOM.DREN.180M3/H C-B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E1335" t="str">
            <v>BOM.DREN.180M3/H C-C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E1336" t="str">
            <v>BOM.DREN.180M3/H C-D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E1337" t="str">
            <v>BOM.DREN.60.000L C-A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E1338" t="str">
            <v>BOM.DREN.60.000L C-B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E1339" t="str">
            <v>BOM.DREN.60.000L C-C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E1340" t="str">
            <v>BOM.DREN.60.000L C-D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E1341" t="str">
            <v>BOM.INJ.1M3/H C-A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E1342" t="str">
            <v xml:space="preserve">BOM.INJ.1M3/H C-B 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E1343" t="str">
            <v>BOM.INJ.1M3/H C-C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E1344" t="str">
            <v>BOM.INJ.1M3/H C-D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E1345" t="str">
            <v>BOM.INJ.3M3/H C-A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E1346" t="str">
            <v>BOM.INJ.3M3/H C-B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E1347" t="str">
            <v>BOM.INJ.3M3/H C-C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E1348" t="str">
            <v xml:space="preserve">BOM.INJ.3M3/H C-D 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E1349" t="str">
            <v>BOM.INJ.35 M3/H C-A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E1350" t="str">
            <v>BOM.INJ.35 M3/H C-B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E1351" t="str">
            <v>BOM.INJ.35 M3/H C-C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E1352" t="str">
            <v>BOM.INJ.35 M3/H C-D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E1353" t="str">
            <v>BOM.PROJ.MAN.10 C-A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E1354" t="str">
            <v>BOM.PROJ.MAN.10 C-B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E1355" t="str">
            <v>BOM.PROJ.MAN.10 C-C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E1356" t="str">
            <v>BOM.PROJ.MAN.10 C-D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E1357" t="str">
            <v>BOM.PROJ.23M3/H C-A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E1358" t="str">
            <v>BOM.PROJ.23M3/H C-B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E1359" t="str">
            <v>BOM.PROJ.23M3/H C-C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E1360" t="str">
            <v>BOM.PROJ.23M3/H C-D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E1361" t="str">
            <v>BOMBA HIDR.PROT.C-A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E1362" t="str">
            <v>BOMBA HIDR.PROT.C-B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E1363" t="str">
            <v>BOMBA HIDR.PROT.C-C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E1364" t="str">
            <v>BOMBA HIDR.PROT.C-D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E1365" t="str">
            <v>MAC.P/PROT. AU-1 C-A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E1366" t="str">
            <v>MAC.P/PROT. AU-1 C-B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E1367" t="str">
            <v>MAC.P/PROT. AU-1 C-C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E1368" t="str">
            <v>MAC.P/PROT. AU-1 C-D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E1369" t="str">
            <v>MAC.P/PROT. AU-5 C-A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E1370" t="str">
            <v>MAC.P/PROT. AU-5 C-B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E1371" t="str">
            <v>MAC.P/PROT. AU-5 C-C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E1372" t="str">
            <v>MAC.P/PROT. AU-5 C-D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E1373" t="str">
            <v>MAC.P/PROT.S-6 C-A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E1374" t="str">
            <v>MAC.P/PROT.S-6 C-B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E1375" t="str">
            <v>MAC.P/PROT.S-6 C-C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E1376" t="str">
            <v>MAC.P/PROT.S-6 C-D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E1377" t="str">
            <v>MAC.P/PROT.K-350 C-A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E1378" t="str">
            <v>MAC.P/PROT.K-350 C-B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E1379" t="str">
            <v>MAC.P/PROT.K-350 C-C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E1380" t="str">
            <v>MAC.P/PROT.K-350 C-D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E1381" t="str">
            <v>CHAS.IRRIG.6000L C-A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E1382" t="str">
            <v>CHAS.IRRIG.6000L C-B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E1383" t="str">
            <v>CHAS.IRRIG.6000L C-C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E1384" t="str">
            <v>CHAS.IRRIG.6000L C-D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E1385" t="str">
            <v>CHAS.IRRIG.6000L C-E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E1386" t="str">
            <v>CHAS.IRRIG.9000L C-A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E1387" t="str">
            <v>CHAS.IRRIG.9000L C-B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E1388" t="str">
            <v>CHAS.IRRIG.9000L C-C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E1389" t="str">
            <v>CHAS.IRRIG.9000L C-D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E1390" t="str">
            <v>CHAS.IRRIG.9000L C-E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E1391" t="str">
            <v>CHAS.BASC. 5M3 C-A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E1392" t="str">
            <v>CHAS.BASC. 5M3 C-B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E1393" t="str">
            <v>CHAS.BASC. 5M3 C-C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E1394" t="str">
            <v>CHAS.BASC. 5M3 C-D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E1395" t="str">
            <v>CHAS.BASC. 5M3 C-E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E1396" t="str">
            <v>CHAS.BASC. 8M3 C-A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E1397" t="str">
            <v>CHAS.BASC. 8M3 C-B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E1398" t="str">
            <v>CHAS.BASC. 8M3 C-C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E1399" t="str">
            <v>CHAS.BASC. 8M3 C-D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E1400" t="str">
            <v xml:space="preserve">CHAS.BASC. 8M3 C-E 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E1401" t="str">
            <v>CHAS.BASC. 10M3 C-A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E1402" t="str">
            <v>CHAS.BASC. 10M3 C-B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E1403" t="str">
            <v>CHAS.BASC. 10M3 C-C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E1404" t="str">
            <v>CHAS.BASC. 10M3 C-D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E1405" t="str">
            <v>CHAS.BASC. 10M3 C-E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E1406" t="str">
            <v>CHAS.BASC. 18,3M3 C-A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E1407" t="str">
            <v>CHAS.BASC. 18,3M3 C-B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E1408" t="str">
            <v>CHAS.BASC. 18,3M3 C-C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E1409" t="str">
            <v>CHAS.BASC. 18,3M3 C-D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E1410" t="str">
            <v>CHAS.BASC. 18,3M3 C-E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E1411" t="str">
            <v xml:space="preserve">CHAS.BET. 5M3 C-A 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E1412" t="str">
            <v>CHAS.BET. 5M3 C-B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E1413" t="str">
            <v>CHAS.BET. 5M3 C-C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E1414" t="str">
            <v>CHAS.BET. 5M3 C-D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E1415" t="str">
            <v>CHAS.BET. 5M3 C-E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E1416" t="str">
            <v>CHAS.BET. 7M3 C-A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E1417" t="str">
            <v>CHAS.BET. 7M3 C-B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E1418" t="str">
            <v>CHAS.BET. 7M3 C-C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E1419" t="str">
            <v>CHAS.BET. 7M3 C-D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E1420" t="str">
            <v>CHAS.BET. 7M3 C-E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E1421" t="str">
            <v>CHAS.BOMB.C.22T C-A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E1422" t="str">
            <v>CHAS.BOMB.C.22T C-B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E1423" t="str">
            <v>CHAS.BOMB.C.22T C-C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E1424" t="str">
            <v>CHAS.BOMB.C.22T C-D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E1425" t="str">
            <v>CHAS.BOMB.C.22T C-E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E1426" t="str">
            <v>CHAS.C.M.4,5T C-A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E1427" t="str">
            <v>CHAS.C.M.4,5T C-B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E1428" t="str">
            <v>CHAS.C.M.4,5T C-C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E1429" t="str">
            <v>CHAS.C.M.4,5T C-D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E1430" t="str">
            <v>CHAS.C.M.4,5T C-E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E1431" t="str">
            <v xml:space="preserve">CHAS.C.M.8,0T C-A 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E1432" t="str">
            <v>CHAS.C.M.8,0T C-B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E1433" t="str">
            <v>CHAS.C.M.8,0T C-C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E1434" t="str">
            <v xml:space="preserve">CHAS.C.M.8,0T C-D 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E1435" t="str">
            <v>CHAS.C.M.8,0T C-E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E1436" t="str">
            <v>CHAS.C.M.10,5T C-A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E1437" t="str">
            <v>CHAS.C.M.10,5T C-B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E1438" t="str">
            <v>CHAS.C.M.10,5T C-C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E1439" t="str">
            <v xml:space="preserve">CHAS.C.M.10,5T C-D 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E1440" t="str">
            <v>CHAS.C.M.10,5T C-E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E1441" t="str">
            <v>CHAS.LUBR.3000L C-A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E1442" t="str">
            <v>CHAS.LUBR.3000L C-B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E1443" t="str">
            <v>CHAS.LUBR.3000L C-C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E1444" t="str">
            <v>CHAS.LUBR.3000L C-D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E1445" t="str">
            <v>CHAS.LUBR.3000L C-E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E1446" t="str">
            <v>CHAS.LUBR.7000L C-A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E1447" t="str">
            <v>CHAS.LUBR.7000L C-B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E1448" t="str">
            <v>CHAS.LUBR.7000L C-C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E1449" t="str">
            <v>CHAS.LUBR.7000L C-D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E1450" t="str">
            <v>CHAS.LUBR.7000L C-E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E1451" t="str">
            <v>CHAS.ABASTECEDOR C-A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E1452" t="str">
            <v>CHAS.ABASTECEDOR C-B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E1453" t="str">
            <v>CHAS.ABASTECEDOR C-C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E1454" t="str">
            <v>CHAS.ABASTECEDOR C-D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E1455" t="str">
            <v>CHAS.ABASTECEDOR C-E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E1456" t="str">
            <v>CHAS.BOIAD.R. 8T C-A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E1457" t="str">
            <v>CHAS.BOIAD.R. 8T C-B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E1458" t="str">
            <v>CHAS.BOIAD.R. 8T C-C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E1459" t="str">
            <v>CHAS.BOIAD.R. 8T C-D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E1460" t="str">
            <v>CAMIN. ELEETRIF. C/CEST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E1461" t="str">
            <v>CHAS.HIDROS.5600 C-A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E1462" t="str">
            <v>CHAS.HIDROS.5600 C-B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E1463" t="str">
            <v>CHAS.HIDROS.5600 C-C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E1464" t="str">
            <v>CHAS.HIDROS.5600 C-D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E1465" t="str">
            <v>CHAS.HIDROS.5600 C-E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E1466" t="str">
            <v>CHAS.ESPARG.6000 C-A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E1467" t="str">
            <v>CHAS.ESPARG.6000 C-B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E1468" t="str">
            <v>CHAS.ESPARG.6000 C-C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E1469" t="str">
            <v>CHAS.ESPARG.6000 C-D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E1470" t="str">
            <v>CHAS.ESPARG.6000 C-E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E1471" t="str">
            <v>CHAS.GUIN. 3,75T C-A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E1472" t="str">
            <v>CHAS.GUIN. 3,75T C-B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E1473" t="str">
            <v>CHAS.GUIN. 3,75T C-C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E1474" t="str">
            <v>CHAS.GUIN. 3,75T C-D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E1475" t="str">
            <v>CHAS.GUIN. 3,75T C-E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E1476" t="str">
            <v>CHAS.GUINCHO 4,10T C-A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E1477" t="str">
            <v>CHAS.GUINCHO 4,10T C-B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E1478" t="str">
            <v>CHAS.GUINCHO 4,10T C-C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E1479" t="str">
            <v>CHAS.GUINCHO 4,10T C-D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E1480" t="str">
            <v>CHAS.GUINCHO 4,10T C-E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E1481" t="str">
            <v>CHAS.US.L.A.10,5 C-A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E1482" t="str">
            <v>CHAS.US.L.A.10,5 C-B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E1483" t="str">
            <v>CHAS.US.L.A.10,5 C-C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E1484" t="str">
            <v>CHAS.US.L.A.10,5 C-D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E1485" t="str">
            <v>CHAS.US.L.A.10,5 C-E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E1486" t="str">
            <v>CHAS.US.M.P.9M3 C-A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E1487" t="str">
            <v>CHAS.US.M.P.9M3 C-B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E1488" t="str">
            <v>CHAS.US.M.P.9M3 C-C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E1489" t="str">
            <v>CHAS.US.M.P.9M3 C-D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E1490" t="str">
            <v>CHAS.PANT.9M C-A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E1491" t="str">
            <v>CHAS.PANT.9M C-B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E1492" t="str">
            <v>CHAS.PANT.9M C-C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E1493" t="str">
            <v>CHAS.PANT.9M C-D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E1494" t="str">
            <v>CAV.M.CARR.30000 C-A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E1495" t="str">
            <v>CAV.M.CARR.30000 C-B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E1496" t="str">
            <v>CAV.M.CARR.30000 C-C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E1497" t="str">
            <v>CAV.M.CARR.30000 C-D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E1498" t="str">
            <v>CAV.M.CARR.30000 C-E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E1499" t="str">
            <v>CAV.M.PRAN.30000 C-A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E1500" t="str">
            <v>CAV.M.PRAN.30000 C-B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E1501" t="str">
            <v>CAV.M.PRAN.30000 C-C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E1502" t="str">
            <v>CAV.M.PRAN.30000 C-D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E1503" t="str">
            <v>CAV.M.PRAN.30000 C-E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E1504" t="str">
            <v>CAMPANULA C-A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E1505" t="str">
            <v>CAMPANULA C-B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E1506" t="str">
            <v>CAMPANULA C-C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E1507" t="str">
            <v>CAMPANULA C-D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E1508" t="str">
            <v xml:space="preserve">COMP.PERC.M.220 C-A 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E1509" t="str">
            <v>COMP.PERC.M.220 C-B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E1510" t="str">
            <v>COMP.PERC.M.220 C-C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E1511" t="str">
            <v>COMP.PERC.M.220 C-D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E1512" t="str">
            <v>COMP.PL.M.1000 C-A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E1513" t="str">
            <v>COMP.PL.M.1000 C-B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E1514" t="str">
            <v>COMP.PL.M.1000 C-C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E1515" t="str">
            <v>COMP.PL.M.1000 C-D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E1516" t="str">
            <v>COMP. XA-90 MWD C-A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E1517" t="str">
            <v>COMP. XA-90 MWD C-B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E1518" t="str">
            <v>COMP. XA-90 MWD C-C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E1519" t="str">
            <v>COMP. XA-90 MWD C-D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E1520" t="str">
            <v>COMP. XA-125 MWD C-A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E1521" t="str">
            <v>COMP. XA-125 MWD C-B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E1522" t="str">
            <v>COMP. XA-125 MWD C-C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E1523" t="str">
            <v>COMP. XA-125 MWD C-D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E1524" t="str">
            <v>COMP. XA-175 MWD C-A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E1525" t="str">
            <v>COMP. XA-175 MWD C-B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E1526" t="str">
            <v>COMP. XA-175 MWD C-C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E1527" t="str">
            <v>COMP. XA-175 MWD C-D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E1528" t="str">
            <v>COMP. XA-360 MWD C-A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E1529" t="str">
            <v>COMP. XA-360 MWD C-B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E1530" t="str">
            <v>COMP. XA-360 MWD C-C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E1531" t="str">
            <v>COMP. XA-360 MWD C-D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E1532" t="str">
            <v>DEM.FAIXA Q. 500L C-A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E1533" t="str">
            <v>DEM.FAIXA Q. 500L C-B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E1534" t="str">
            <v>DEM.FAIXA Q. 500L C-C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E1535" t="str">
            <v>DEM.FAIXA Q. 500L C-D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E1536" t="str">
            <v>DIST.A.S/E 1000 C-A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E1537" t="str">
            <v>DIST.A.S/E 1000 C-B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E1538" t="str">
            <v>DIST.A.S/E 1000 C-C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E1539" t="str">
            <v>DIST.A.S/E 1000 C-D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E1540" t="str">
            <v>DIST.AGR.600T/H C-A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E1541" t="str">
            <v>DIST.AGR.600T/H C-B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E1542" t="str">
            <v>DIST.AGR.600T/H C-C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E1543" t="str">
            <v>DIST.AGR.600T/H C-D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E1544" t="str">
            <v>DISTR.ASF.R.2400 C-A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E1545" t="str">
            <v>DISTR.ASF.R.2400 C-B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E1546" t="str">
            <v>DISTR.ASF.R.2400 C-C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E1547" t="str">
            <v>DISTR.ASF.R.2400 C-D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E1548" t="str">
            <v>DIST.AD. SEM.700L C-A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E1549" t="str">
            <v>DIST.AD. SEM.700L C-B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E1550" t="str">
            <v>DIST.AD. SEM.700L C-C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E1551" t="str">
            <v>DIST.AD. SEM.700L C-D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E1552" t="str">
            <v>DRAGA C/EMB.A.400 C-A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E1553" t="str">
            <v>DRAGA C/EMB.A.400 C-B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E1554" t="str">
            <v>DRAGA C/EMB.A.400 C-C h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E1555" t="str">
            <v>DRAGA C/EMB.A.400 C-D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E1556" t="str">
            <v>EQUIP.VIS.OAE 25M C-A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E1557" t="str">
            <v>EQUIP.VIS.OAE 25M C-B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E1558" t="str">
            <v>EQUIP.VIS.OAE 25M C-C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E1559" t="str">
            <v>EQUIP.VIS.OAE 25M C-D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E1560" t="str">
            <v>EQ.VIS.OAE 12,14M C-A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E1561" t="str">
            <v>EQ.VIS.OAE 12,14M C-B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E1562" t="str">
            <v>EQ.VIS.OAE 12,14M C-C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E1563" t="str">
            <v xml:space="preserve">EQ.VIS.OAE 12,14M C-D 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E1564" t="str">
            <v>EQ.VIS.OAE 7,62M C-A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E1565" t="str">
            <v>EQ.VIS.OAE 7,62M C-B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E1566" t="str">
            <v>EQ.VIS.OAE 7,62M C-C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E1567" t="str">
            <v>EQ.VIS.OAE 7,62M C-D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E1568" t="str">
            <v>E. LAB. CAMPO/SEDE C-F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E1569" t="str">
            <v>ESC.H.S/ES.0,7M3 C-A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E1570" t="str">
            <v>ESC.H.S/ES.0,7M3 C-B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E1571" t="str">
            <v>ESC.H.S/ES.0,7M3 C-C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E1572" t="str">
            <v>ESC.H.S/ES.0,7M3 C-D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E1573" t="str">
            <v>ESC.H.S/ES.0,6M3 C-A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E1574" t="str">
            <v xml:space="preserve">ESC.H.S/ES.0,6M3 C-B 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E1575" t="str">
            <v>ESC.H.S/ES.0,6M3 C-C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E1576" t="str">
            <v>ESC.H.S/ES.0,6M3 C-D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E1577" t="str">
            <v xml:space="preserve">ESC.H.S/ES.0,62M3 C-A 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E1578" t="str">
            <v>ESC.H.S/ES.0,62M3 C-B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E1579" t="str">
            <v>ESC.H.S/ES.0,62M3 C-C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E1580" t="str">
            <v>ESC.H.S/ES.0,62M3 C-D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E1581" t="str">
            <v>ESC.H.S/ES.2,2M3 C-A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E1582" t="str">
            <v>ESC.H.S/ES.2,2M3 C-B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E1583" t="str">
            <v>ESC.H.S/ES.2,2M3 C-C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E1584" t="str">
            <v>ESC.H.S/ES.2,2M3 C-D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E1585" t="str">
            <v>ESC.H.S/PN0,25M3 C-A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E1586" t="str">
            <v>ESC.H.S/PN0,25M3 C-B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E1587" t="str">
            <v>ESC.H.S/PN0,25M3 C-C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E1588" t="str">
            <v>ESC.H.S/PN0,25M3 C-D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E1589" t="str">
            <v>EMPILHAD.2500KG C-A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E1590" t="str">
            <v>EMPILHAD.2500KG C-B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E1591" t="str">
            <v xml:space="preserve">EMPILHAD.2500KG C-C 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E1592" t="str">
            <v>EMPILHAD.2500KG C-D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E1593" t="str">
            <v>EMPILHAD.5000KG C-A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E1594" t="str">
            <v>EMPILHAD.5000KG C-B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E1595" t="str">
            <v>EMPILHAD.5000KG C-C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E1596" t="str">
            <v>EMPILHAD.5000KG C-D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E1597" t="str">
            <v>FRES.F.S/PN 150 C-A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E1598" t="str">
            <v>FRES.F.S/PN 150 C-B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E1599" t="str">
            <v xml:space="preserve">FRES.F.S/PN 150 C-C 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E1600" t="str">
            <v>FRES.F.S/PN 150 C-D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E1601" t="str">
            <v>FRES.F.S/EST.403 C-A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E1602" t="str">
            <v>FRES.F.S/EST.403 C-B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E1603" t="str">
            <v>FRES.F.S/EST.403 C-C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E1604" t="str">
            <v>FRES.F.S/EST.403 C-D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E1605" t="str">
            <v>GRUP.GERAD.40KVA C-A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E1606" t="str">
            <v>GRUP.GERAD.40KVA C-B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E1607" t="str">
            <v>GRUP.GERAD.40KVA C-C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E1608" t="str">
            <v>GRUP.GERAD.40 KVA C-D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E1609" t="str">
            <v>GRUP.GERAD.55 KVA C-A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E1610" t="str">
            <v>GRUP.GERAD.55 KVA C-B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E1611" t="str">
            <v>GRUP.GERAD.55 KVA C-C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E1612" t="str">
            <v>GRUP.GERAD.55 KVA C-D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E1613" t="str">
            <v>GRUP.GERAD.83 KVA C-A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E1614" t="str">
            <v>GRUP.GERAD.83 KVA C-B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E1615" t="str">
            <v>GRUP.GERAD.83 KVA C-C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E1616" t="str">
            <v>GRUP.GERAD.83 KVA C-D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E1617" t="str">
            <v>G.GERADOR 115 KVA C-A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E1618" t="str">
            <v>G.GERADOR 115 KVA C-B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E1619" t="str">
            <v>G.GERADOR 115 KVA C-C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E1620" t="str">
            <v>G.GERADOR 115 KVA C-D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E1621" t="str">
            <v>G.GER.POR.3,5KVA C-A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E1622" t="str">
            <v>G.GER.POR.3,5KVA C-B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E1623" t="str">
            <v>G.GER.POR.3,5KVA C-C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E1624" t="str">
            <v>G.GER.POR.3,5KVA C-D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E1625" t="str">
            <v>G.GER.POR.7KVA C-A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E1626" t="str">
            <v>G.GER.POR.7KVA C-B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E1627" t="str">
            <v>G.GER.POR.7KVA C-C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E1628" t="str">
            <v>G.GER.POR.7KVA C-D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E1629" t="str">
            <v>GUIN.ELET.COL.30MC-A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E1630" t="str">
            <v>GUIN.ELET.COL.30MC-B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E1631" t="str">
            <v>GUIN.ELET.COL.30MC-C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E1632" t="str">
            <v>GUIN.ELET.COL.30MC-D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E1633" t="str">
            <v>GUIN.ELET.EL.30M C-A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E1634" t="str">
            <v>GUIN.ELET.EL.30M C-B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E1635" t="str">
            <v>GUIN.ELET.EL.30M C-C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E1636" t="str">
            <v>GUIN.ELET.EL.30M C-D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E1637" t="str">
            <v>GUIN.H.S/PN 20T C-A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E1638" t="str">
            <v>GUIN.H.S/PN 20T C-B h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E1639" t="str">
            <v>GUIN.H.S/PN 20T C-C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E1640" t="str">
            <v>GUIN.H.S/PN 20T C-D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E1641" t="str">
            <v>GUIN.H.S/PN27,2T C-A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E1642" t="str">
            <v>GUIN.H.S/PN27,2T C-B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E1643" t="str">
            <v>GUIN.H.S/PN27,2T C-C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E1644" t="str">
            <v>GUIN.H.S/PN27,2T C-D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E1645" t="str">
            <v>LAVA JATO 200L/H C-A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E1646" t="str">
            <v xml:space="preserve">LAVA JATO 200L/H C-B 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E1647" t="str">
            <v>LAVA JATO 200L/H C-C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E1648" t="str">
            <v>LAVA JATO 200L/H C-D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E1649" t="str">
            <v>MAR.ROMP.PN.11,2 C-A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E1650" t="str">
            <v>MAR.ROMP.PN.11,2 C-B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E1651" t="str">
            <v>MAR.ROMP.PN.11,2 C-C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E1652" t="str">
            <v>MAR.ROMP.PN.11,2 C-D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E1653" t="str">
            <v>MAR.ROMP.PN.35KG C-A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E1654" t="str">
            <v>MAR.ROMP.PN.35KG C-B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E1655" t="str">
            <v>MAR.ROMP.PN.35KG C-C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E1656" t="str">
            <v>MAR.ROMP.PN.35KG C-D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E1657" t="str">
            <v>MAR.ROMP.PN.42KG C-A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E1658" t="str">
            <v>MAR.ROMP.PN.42KG C-B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E1659" t="str">
            <v>MAR.ROMP.PN.42KG C-C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E1660" t="str">
            <v>MAR.ROMP.PN.42KG C-D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E1661" t="str">
            <v>ROMP.HIDR.ESC. C-A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E1662" t="str">
            <v>ROMP.HIDR.ESC. C-B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E1663" t="str">
            <v>ROMP.HIDR.ESC. C-C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E1664" t="str">
            <v>ROMP.HIDR.ESC. C-D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E1665" t="str">
            <v>ROMP.HID.RETRO. C-A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E1666" t="str">
            <v>ROMP.HID.RETRO. C-B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E1667" t="str">
            <v>ROMP.HID.RETRO. C-C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E1668" t="str">
            <v>ROMP.HID.RETRO. C-D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E1669" t="str">
            <v>MOTONIV.RIPPER C-A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E1670" t="str">
            <v>MOTONIV.RIPPER C-B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E1671" t="str">
            <v>MOTONIV.RIPPER C-C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E1672" t="str">
            <v>MOTONIV.RIPPER C-D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E1673" t="str">
            <v>MOTONIV.ESCARIF. C-A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E1674" t="str">
            <v>MOTONIV.ESCARIF. C-B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E1675" t="str">
            <v>MOTONIV.ESCARIF. C-C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E1676" t="str">
            <v>MOTONIV.ESCARIF. C-D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E1677" t="str">
            <v>MOTOSCRAPER 15M3 C-A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E1678" t="str">
            <v>MOTOSCRAPER 15M3 C-B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E1679" t="str">
            <v>MOTOSCRAPER 15M3 C-C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E1680" t="str">
            <v>MOTOSCRAPER 15M3 C-D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E1681" t="str">
            <v>MOTOSCRAPER 26M3 C-A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E1682" t="str">
            <v>MOTOSCRAPER 26M3 C-B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E1683" t="str">
            <v>MOTOSCRAPER 26M3 C-C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E1684" t="str">
            <v>MOTOSCRAPER 26M3 C-D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E1685" t="str">
            <v>MAQ.SOLDA ELETR. C-A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E1686" t="str">
            <v>MAQ.SOLDA ELETR. C-B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E1687" t="str">
            <v>MAQ.SOLDA ELETR. C-C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E1688" t="str">
            <v>MAQ.SOLDA ELETR. C-D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E1689" t="str">
            <v>MAQ.SOLDA DIESEL C-A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E1690" t="str">
            <v>MAQ.SOLDA DIESEL C-B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E1691" t="str">
            <v>MAQ.SOLDA DIESEL C-C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E1692" t="str">
            <v>MAQ.SOLDA DIESEL C-D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E1693" t="str">
            <v>MACARICO CORTE C-A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E1694" t="str">
            <v>MACARICO CORTE C-B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E1695" t="str">
            <v>MACARICO CORTE C-C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E1696" t="str">
            <v>MACARICO CORTE C-D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E1697" t="str">
            <v>TEODOLITO C/TRIP.C-A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E1698" t="str">
            <v>TEODOLITO C/TRIP.C-B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E1699" t="str">
            <v>TEODOLITO C/TRIP.C-C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E1700" t="str">
            <v>TEODOLITO C/TRIP.C-D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E1701" t="str">
            <v xml:space="preserve">ESTACAO TOTAL C-A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E1702" t="str">
            <v>ESTACAO TOTAL C-B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E1703" t="str">
            <v>ESTACAO TOTAL C-C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E1704" t="str">
            <v>ESTACAO TOTAL C-D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E1705" t="str">
            <v xml:space="preserve">NIVEL C/TRIPE C-A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E1706" t="str">
            <v>NIVEL C/TRIPE C-B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E1707" t="str">
            <v>NIVEL C/TRIPE C-C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E1708" t="str">
            <v>NIVEL C/TRIPE C-D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E1709" t="str">
            <v>PA CAR.S/PN1,8M3 C-A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E1710" t="str">
            <v>PA CAR.S/PN1,8M3 C-B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E1711" t="str">
            <v>PA CAR.S/PN1,8M3 C-C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E1712" t="str">
            <v>PA CAR.S/PN1,8M3 C-D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E1713" t="str">
            <v>PA CAR.S/PN2,2M3 C-A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E1714" t="str">
            <v>PA CAR.S/PN2,2M3 C-B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E1715" t="str">
            <v>PA CAR.S/PN2,2M3 C-C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E1716" t="str">
            <v>PA CAR.S/PN2,2M3 C-D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E1717" t="str">
            <v>PA CAR.S/PN3,6M3 C-A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E1718" t="str">
            <v>PA CAR.S/PN3,6M3 C-B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E1719" t="str">
            <v>PA CAR.S/PN3,6M3 C-C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E1720" t="str">
            <v>PA CAR.S/PN3,6M3 C-D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E1721" t="str">
            <v>PA CAR.S/ES.1,85 C-A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E1722" t="str">
            <v>PA CAR.S/ES.1,85 C-B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E1723" t="str">
            <v>PA CAR.S/ES.1,85 C-C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E1724" t="str">
            <v>PA CAR.S/ES.1,85 C-D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E1725" t="str">
            <v xml:space="preserve">PA CAR.S/ES.2,3 C-A 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E1726" t="str">
            <v>PA CAR.S/ES.2,3 C-B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E1727" t="str">
            <v>PA CAR.S/ES.2,3 C-C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E1728" t="str">
            <v>PA CAR.S/ES.2,3 C-D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E1729" t="str">
            <v>PERF. MANUAL C-A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E1730" t="str">
            <v>PERF. MANUAL C-B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E1731" t="str">
            <v>PERF. MANUAL C-C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E1732" t="str">
            <v>PERF. MANUAL C-D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E1733" t="str">
            <v>PERF.S/EST. C-A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E1734" t="str">
            <v>PERF.S/EST. C-B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E1735" t="str">
            <v>PERF.S/EST. C-C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E1736" t="str">
            <v>PERF.S/EST. C-D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E1737" t="str">
            <v>PERF.JUMBO C-A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E1738" t="str">
            <v>PERF.JUMBO C-B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E1739" t="str">
            <v>PERF.JUMBO C-C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E1740" t="str">
            <v>PERF.JUMBO C-D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E1741" t="str">
            <v>SONDA ROTATIVA C-A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E1742" t="str">
            <v>SONDA ROTATIVA C-B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E1743" t="str">
            <v>SONDA ROTATIVA C-C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E1744" t="str">
            <v>SONDA ROTATIVA C-D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E1745" t="str">
            <v>PERF.CINZAL C-A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E1746" t="str">
            <v>PERF.CINZAL C-B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E1747" t="str">
            <v>PERF.CINZAL C-C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E1748" t="str">
            <v>PERF.CINZAL C-D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E1749" t="str">
            <v>RETRO CARR.0,77M3C-A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E1750" t="str">
            <v>RETRO CARR.0,77M3C-B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E1751" t="str">
            <v>RETRO CARR.0,77M3C-C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E1752" t="str">
            <v>RETRO CARR.0,77M3C-D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E1753" t="str">
            <v>RETRO CARR.0,30M3C-A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E1754" t="str">
            <v>RETRO CARR.0,30M3C-B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E1755" t="str">
            <v>RETRO CARR.0,30M3C-C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E1756" t="str">
            <v>RETRO CARR.0,30M3C-D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E1757" t="str">
            <v>ROCAD.MAN.GAS. C-A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E1758" t="str">
            <v>ROCAD.MAN.GAS. C-B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E1759" t="str">
            <v>ROCAD.MAN.GAS. C-C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E1760" t="str">
            <v>ROCAD.MAN.GAS. C-D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E1761" t="str">
            <v>ROCAD.MAN.ELETR. C-A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E1762" t="str">
            <v>ROCAD.MAN.ELETR. C-B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E1763" t="str">
            <v>ROCAD.MAN.ELETR. C-C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E1764" t="str">
            <v>ROCAD.MAN.ELETR. C-D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E1765" t="str">
            <v>ROCAD. REBOC. C-A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E1766" t="str">
            <v>ROCAD. REBOC. C-B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E1767" t="str">
            <v>ROCAD. REBOC. C-C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E1768" t="str">
            <v>ROCAD. REBOC. C-D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E1769" t="str">
            <v>ROLO COMPACT.7T C-A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E1770" t="str">
            <v>ROLO COMPACT.7T C-B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E1771" t="str">
            <v xml:space="preserve">ROLO COMPACT.7T C-C 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E1772" t="str">
            <v>ROLO COMPACT.7T C-D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E1773" t="str">
            <v>ROLO COMPACT.7,7T C-A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E1774" t="str">
            <v>ROLO COMPACT.7,7T C-B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E1775" t="str">
            <v xml:space="preserve">ROLO COMPACT.7,7T C-C 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E1776" t="str">
            <v>ROLO COMPACT.7,7T C-D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E1777" t="str">
            <v>ROLO COMPACT.10T C-A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E1778" t="str">
            <v>ROLO COMPACT.10T C-B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E1779" t="str">
            <v>ROLO COMPACT.10T C-C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E1780" t="str">
            <v>ROLO COMPACT.10T C-D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E1781" t="str">
            <v>ROLO COMPAC.11,3T C-A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E1782" t="str">
            <v>ROLO COMPAC.11,3T C-B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E1783" t="str">
            <v>ROLO COMPAC.11,3T C-C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E1784" t="str">
            <v>ROLO COMPAC.11,3T C-D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E1785" t="str">
            <v>ROLO COMPAC.15,5T C-A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E1786" t="str">
            <v>ROLO COMPAC.15,5T C-B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E1787" t="str">
            <v>ROLO COMPAC.15,5T C-C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E1788" t="str">
            <v>ROLO COMPAC.15,5T C-D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E1789" t="str">
            <v>ROLO COMP.PE15,5T C-A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E1790" t="str">
            <v>ROLO COMP.PE15,5T C-B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E1791" t="str">
            <v>ROLO COMP.PE15,5T C-C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E1792" t="str">
            <v>ROLO COMP.PE15,5T C-D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E1793" t="str">
            <v>ROLO COMP.ASF.7,2 C-A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E1794" t="str">
            <v>ROLO COMP.ASF.7,2 C-B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E1795" t="str">
            <v>ROLO COMP.ASF.7,2 C-C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E1796" t="str">
            <v>ROLO COMP.ASF.7,2 C-D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E1797" t="str">
            <v>ROLO COM.ASF.10,2 C-A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E1798" t="str">
            <v>ROLO COM.ASF.10,2 C-B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E1799" t="str">
            <v>ROLO COM.ASF.10,2 C-C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E1800" t="str">
            <v>ROLO COM.ASF.10,2 C-D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E1801" t="str">
            <v>ROLO COM.TAN.2,3 C-A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E1802" t="str">
            <v>ROLO COM.TAN.2,3 C-B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E1803" t="str">
            <v>ROLO COM.TAN.2,3 C-C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E1804" t="str">
            <v>ROLO COM.TAN.2,3 C-D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E1805" t="str">
            <v>ROLO COMP.TAN.7T C-A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E1806" t="str">
            <v>ROLO COMP.TAN.7T C-B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E1807" t="str">
            <v>ROLO COMP.TAN.7T C-C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E1808" t="str">
            <v>ROLO COMP.TAN.7T C-D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E1809" t="str">
            <v>ROLO COMP.TAN.12T C-A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E1810" t="str">
            <v>ROLO COMP.TAN.12T C-B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E1811" t="str">
            <v>ROLO COMP.TAN.12T C-C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E1812" t="str">
            <v>ROLO COMP.TAN.12T C-D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E1813" t="str">
            <v>ROLO COM.P.A.12,5 C-A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E1814" t="str">
            <v>ROLO COM.P.A.12,5 C-B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E1815" t="str">
            <v>ROLO COM.P.A.12,5 C-C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E1816" t="str">
            <v>ROLO COM.P.A.12,5 C-D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E1817" t="str">
            <v>ROLO COM.P.A.27T C-A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E1818" t="str">
            <v>ROLO COM.P.A.27T C-B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E1819" t="str">
            <v>ROLO COM.P.A.27T C-C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E1820" t="str">
            <v>ROLO COM.P.A.27T C-D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E1821" t="str">
            <v>TRAT.AGR.3,7TON C-A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E1822" t="str">
            <v>TRAT.AGR.3,7TON C-B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E1823" t="str">
            <v>TRAT.AGR.3,7TON C-C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E1824" t="str">
            <v>TRAT.AGR.3,7TON C-D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E1825" t="str">
            <v>TRAT.AGR.5TON C-A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E1826" t="str">
            <v>TRAT.AGR.5TON C-B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E1827" t="str">
            <v>TRAT.AGR.5TON C-C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E1828" t="str">
            <v>TRAT.AGR.5TON C-D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E1829" t="str">
            <v>MICRO TRAT.2,2T C-A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E1830" t="str">
            <v>MICRO TRAT.2,2T C-B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E1831" t="str">
            <v>MICRO TRAT.2,2T C-C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E1832" t="str">
            <v>MICRO TRAT.2,2T C-D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E1833" t="str">
            <v>TRAT.TRIT.VEG.5T C-A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E1834" t="str">
            <v>TRAT.TRIT.VEG.5T C-B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E1835" t="str">
            <v>TRAT.TRIT.VEG.5T C-C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E1836" t="str">
            <v>TRAT.TRIT.VEG.5T C-D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E1837" t="str">
            <v>TRAT.AGR.PULV.5T C-A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E1838" t="str">
            <v>TRAT.AGR.PULV.5T C-B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E1839" t="str">
            <v>TRAT.AGR.PULV.5T C-C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E1840" t="str">
            <v>TRAT.AGR.PULV.5T C-D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E1841" t="str">
            <v>TRAT.EST.L.1,93M3 C-A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E1842" t="str">
            <v>TRAT.EST.L.1,93M3 C-B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E1843" t="str">
            <v>TRAT.EST.L.1,93M3 C-C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E1844" t="str">
            <v>TRAT.EST.L.1,93M3 C-D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E1845" t="str">
            <v>TRAT.EST.L.3,18M3 C-A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E1846" t="str">
            <v>TRAT.EST.L.3,18M3 C-B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E1847" t="str">
            <v>TRAT.EST.L.3,18M3 C-C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E1848" t="str">
            <v>TRAT.EST.L.3,18M3 C-D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E1849" t="str">
            <v>TRAT.EST.L.2,28M3 C-A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E1850" t="str">
            <v>TRAT.EST.L.2,28M3 C-B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E1851" t="str">
            <v>TRAT.EST.L.2,28M3 C-C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E1852" t="str">
            <v>TRAT.EST.L.2,28M3 C-D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E1853" t="str">
            <v xml:space="preserve">TRAT.EST.R.1,93M3 C-A 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E1854" t="str">
            <v xml:space="preserve">TRAT.EST.R.1,93M3 C-B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E1855" t="str">
            <v xml:space="preserve">TRAT.EST.R.1,93M3 C-C 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E1856" t="str">
            <v xml:space="preserve">TRAT.EST.R.1,93M3 C-D 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E1857" t="str">
            <v xml:space="preserve">TRAT.EST.R.2,28M3 C-A 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E1858" t="str">
            <v>TRAT.EST.R..2,28M3 C-B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E1859" t="str">
            <v xml:space="preserve">TRAT.EST.R.2,28M3 C-C 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E1860" t="str">
            <v xml:space="preserve">TRAT.EST.R.2,28M3 C-D 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E1861" t="str">
            <v>TRAT.EST.R.3,18M3 C-A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E1862" t="str">
            <v>TRAT.EST.R.3,18M3 C-B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E1863" t="str">
            <v>TRAT.EST.R.3,18M3 C-C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E1864" t="str">
            <v xml:space="preserve">TRAT.EST.R.3,18M3 C-D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E1865" t="str">
            <v>US.CONC.200M3/H C-A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E1866" t="str">
            <v>US.CONC.200M3/H C-B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E1867" t="str">
            <v>US.CONC.200M3/H C-C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E1868" t="str">
            <v>US.CONC.200M3/H C-D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E1869" t="str">
            <v>US.CONC.40M3/H C-A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E1870" t="str">
            <v>US.CONC.40M3/H C-B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E1871" t="str">
            <v>US.CONC.40M3/H C-C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E1872" t="str">
            <v>US.CONC.40M3/H C-D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E1873" t="str">
            <v>US.GRAV.Q.80T/H C-A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E1874" t="str">
            <v>US.GRAV.Q.80T/H C-B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E1875" t="str">
            <v>US.GRAV.Q.80T/H C-C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E1876" t="str">
            <v>US.GRAV.Q.80T/H C-D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E1877" t="str">
            <v>US.ASF.FR.150T/H C-A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E1878" t="str">
            <v>US.ASF.FR.150T/H C-B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E1879" t="str">
            <v>US.ASF.FR.150T/H C-C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E1880" t="str">
            <v>US.ASF.FR.150T/H C-D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E1881" t="str">
            <v xml:space="preserve">US.SOLOS 400T/H C-A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E1882" t="str">
            <v>US.SOLOS 400T/H C-B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E1883" t="str">
            <v xml:space="preserve">US.SOLOS 400T/H C-C 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E1884" t="str">
            <v>US.SOLOS 400T/H C-D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E1885" t="str">
            <v>VIBR.IMER.ELETR.C-A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E1886" t="str">
            <v>VIBR.IMER.ELETR.C-B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E1887" t="str">
            <v>VIBR.IMER.ELETR.C-C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E1888" t="str">
            <v>VIBR.IMER.ELETR.C-D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E1889" t="str">
            <v>VIBR.IMER.GAS. C-A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E1890" t="str">
            <v>VIBR.IMER.GAS. C-B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E1891" t="str">
            <v xml:space="preserve">VIBR.IMER.GAS. C-C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E1892" t="str">
            <v>VIBR.IMER.GAS. C-D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E1893" t="str">
            <v>VIB.AC.AS.400T/H C-A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E1894" t="str">
            <v>VIB.AC.AS.400T/H C-B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E1895" t="str">
            <v>VIB.AC.AS.400T/H C-C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E1896" t="str">
            <v>VIB.AC.AS.400T/H C-D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E1897" t="str">
            <v>VIB.AC.AS.2838T/H C-A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E1898" t="str">
            <v>VIB.AC.AS.2838T/H C-B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E1899" t="str">
            <v>VIB.AC.AS.2838T/H C-C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E1900" t="str">
            <v>VIB.AC.AS.2838T/H C-D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E1901" t="str">
            <v>VIB.AC.AS.500T/H C-A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E1902" t="str">
            <v xml:space="preserve">VIB.AC.AS.500T/H C-B 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E1903" t="str">
            <v xml:space="preserve">VIB.AC.AS.500T/H C-C 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E1904" t="str">
            <v xml:space="preserve">VIB.AC.AS.500T/H C-D 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E1905" t="str">
            <v xml:space="preserve">VIB.AC.AS.14,7T/H C-A 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E1906" t="str">
            <v xml:space="preserve">VIB.AC.AS.14,7T/H C-B 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E1907" t="str">
            <v>VIB.AC.AS.14,7T/H C-C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E1908" t="str">
            <v>VIB.AC.AS.14,7T/H C-D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E1909" t="str">
            <v>V.AC.CONC.200M3/H C-A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E1910" t="str">
            <v>V.AC.CONC.200M3/H C-B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E1911" t="str">
            <v xml:space="preserve">V.AC.CONC.200M3/H C-C 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E1912" t="str">
            <v xml:space="preserve">V.AC.CONC.200M3/H C-D 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E1913" t="str">
            <v xml:space="preserve">SERRA PAV.8HP C-A 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E1914" t="str">
            <v>SERRA PAV.8HP C-B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E1915" t="str">
            <v>SERRA PAV.8HP C-C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E1916" t="str">
            <v xml:space="preserve">SERRA PAV.8HP C-D 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E1917" t="str">
            <v xml:space="preserve">SERRA PAV.9HP C-A 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E1918" t="str">
            <v>SERRA PAV.9HP C-B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E1919" t="str">
            <v>SERRA PAV.9HP C-C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E1920" t="str">
            <v xml:space="preserve">SERRA PAV.9HP C-D 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E1921" t="str">
            <v>SELADORA A FRIO C-A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E1922" t="str">
            <v>SELADORA A FRIO C-B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E1923" t="str">
            <v>SELADORA A FRIO C-C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E1924" t="str">
            <v>SELADORA A FRIO C-D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E1925" t="str">
            <v>UNID.APLIC.EXTR. C-A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E1926" t="str">
            <v>UNID.APLIC.EXTR. C-B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E1927" t="str">
            <v>UNID.APLIC.EXTR. C-C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E1928" t="str">
            <v>UNID.APLIC.EXTR. C-D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E1929" t="str">
            <v xml:space="preserve">UNI.APLI.TINT.EL.C-A 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E1930" t="str">
            <v>UNI.APLI.TINT.EL.C-B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E1931" t="str">
            <v xml:space="preserve">UNI.APLI.TINT.EL.C-C 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E1932" t="str">
            <v>UNI.APLI.TINT.EL.C-D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E1933" t="str">
            <v>UNIDADE FUSORA C-A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E1934" t="str">
            <v xml:space="preserve">UNIDADE FUSORA C-B 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E1935" t="str">
            <v>UNIDADE FUSORA C-C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E1936" t="str">
            <v xml:space="preserve">UNIDADE FUSORA C-D 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E1937" t="str">
            <v>UN.APL.HOT-SPRAY C-A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E1938" t="str">
            <v xml:space="preserve">UN.APL.HOT-SPRAY C-B 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E1939" t="str">
            <v>UN.APL.HOT-SPRAY C-C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E1940" t="str">
            <v>UN.APL.HOT-SPRAY C-D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E1941" t="str">
            <v>UN.APL.HOFFMAN C-A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E1942" t="str">
            <v>UN.APL.HOFFMAN C-B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E1943" t="str">
            <v>UN.APL.HOFFMAN C-C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E1944" t="str">
            <v>UN.APL.HOFFMAN C-D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E1945" t="str">
            <v>SILO EST.CIM.30T C-A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E1946" t="str">
            <v>SILO EST.CIM.30T C-B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E1947" t="str">
            <v>SILO EST.CIM.30T C-C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E1948" t="str">
            <v>SILO EST.CIM.30T C-D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E1949" t="str">
            <v>SILO EST.ASF.35T C-A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E1950" t="str">
            <v xml:space="preserve">SILO EST.ASF.35T C-B 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E1951" t="str">
            <v xml:space="preserve">SILO EST.ASF.35T C-C 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E1952" t="str">
            <v xml:space="preserve">SILO EST.ASF.35T C-D 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E1953" t="str">
            <v xml:space="preserve">VAS.MEC.REBOC. C-A 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E1954" t="str">
            <v>VAS.MEC.REBOC. C-B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E1955" t="str">
            <v>VAS.MEC.REBOC. C-C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E1956" t="str">
            <v xml:space="preserve">VAS.MEC.REBOC. C-D 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E1957" t="str">
            <v xml:space="preserve">MAQUINA DE JATO C-A 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E1958" t="str">
            <v xml:space="preserve">MAQUINA DE JATO C-B 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E1959" t="str">
            <v>MAQUINA DE JATO C-C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E1960" t="str">
            <v>MAQUINA DE JATO C-D</v>
          </cell>
          <cell r="F1960" t="str">
            <v>h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MT"/>
      <sheetName val="RESUMO ND"/>
      <sheetName val="ORÇ. ND"/>
      <sheetName val="CFF ND"/>
      <sheetName val="CPU ND"/>
      <sheetName val="SERVIÇOS PRELIMINARES"/>
      <sheetName val="CADASTRO ESQ."/>
      <sheetName val="PPG"/>
      <sheetName val="MEMORIAL "/>
      <sheetName val="ESQUADRIAS "/>
      <sheetName val="COTAÇÕES"/>
      <sheetName val="ÁREAS DE CAD"/>
      <sheetName val="SAPATAS"/>
    </sheetNames>
    <sheetDataSet>
      <sheetData sheetId="0">
        <row r="5">
          <cell r="G5">
            <v>152</v>
          </cell>
        </row>
        <row r="7">
          <cell r="G7">
            <v>120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indices"/>
      <sheetName val="original"/>
      <sheetName val="serviços"/>
      <sheetName val="orçamento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MAT"/>
      <sheetName val="EQUIPMO"/>
      <sheetName val="SERV"/>
      <sheetName val="TRAÇOS"/>
      <sheetName val="COMP1"/>
      <sheetName val="COMP2"/>
      <sheetName val="COMP3"/>
      <sheetName val="COMP4"/>
      <sheetName val="COMP5"/>
      <sheetName val="PATO"/>
      <sheetName val="INS. BÁS."/>
      <sheetName val="DADO ENT."/>
      <sheetName val="INDICES"/>
      <sheetName val="SERVIÇOS"/>
      <sheetName val="TCB5"/>
      <sheetName val="MULTIPLICADORES"/>
      <sheetName val="BR 262 CORUMBA COMP"/>
      <sheetName val="F. MEDIÇAO"/>
      <sheetName val="fresagem de pista ago-98"/>
      <sheetName val="DADOS"/>
    </sheetNames>
    <sheetDataSet>
      <sheetData sheetId="0"/>
      <sheetData sheetId="1"/>
      <sheetData sheetId="2">
        <row r="11">
          <cell r="B11" t="str">
            <v>E.0.08</v>
          </cell>
        </row>
      </sheetData>
      <sheetData sheetId="3">
        <row r="4">
          <cell r="B4" t="str">
            <v>1.A.01.111.01</v>
          </cell>
          <cell r="C4" t="str">
            <v>ESCAV. E CARGA DE MAT. DE JAZIDA P/ RECOMP.</v>
          </cell>
          <cell r="D4" t="str">
            <v>m³</v>
          </cell>
          <cell r="E4">
            <v>70</v>
          </cell>
          <cell r="F4">
            <v>3.86</v>
          </cell>
        </row>
        <row r="5">
          <cell r="B5" t="str">
            <v>1.A.01.720.02</v>
          </cell>
          <cell r="C5" t="str">
            <v>FABRICAÇÃO DE GUARDA-CORPO</v>
          </cell>
          <cell r="D5" t="str">
            <v>m</v>
          </cell>
          <cell r="E5">
            <v>1</v>
          </cell>
          <cell r="F5">
            <v>23.86</v>
          </cell>
        </row>
        <row r="6">
          <cell r="B6" t="str">
            <v>01.401.00</v>
          </cell>
          <cell r="C6" t="str">
            <v>RECOMPOSIÇÃO DE REVESTIMENTO PRIMÁRIO</v>
          </cell>
          <cell r="D6" t="str">
            <v>m³</v>
          </cell>
          <cell r="E6">
            <v>93</v>
          </cell>
          <cell r="F6" t="e">
            <v>#N/A</v>
          </cell>
        </row>
        <row r="7">
          <cell r="B7" t="str">
            <v>01.930.00</v>
          </cell>
          <cell r="C7" t="str">
            <v>REGULARIZAÇÃO MECÂNICADA FAIXA DE DOMÍNIO</v>
          </cell>
          <cell r="D7" t="str">
            <v>m²</v>
          </cell>
          <cell r="E7">
            <v>700</v>
          </cell>
          <cell r="F7">
            <v>0.13</v>
          </cell>
        </row>
        <row r="8">
          <cell r="B8" t="str">
            <v>02.200.00</v>
          </cell>
          <cell r="C8" t="str">
            <v>SOLO PARA BASE DE REMENDO PROFUNDO</v>
          </cell>
          <cell r="D8" t="str">
            <v>m³</v>
          </cell>
          <cell r="E8">
            <v>1</v>
          </cell>
          <cell r="F8" t="e">
            <v>#N/A</v>
          </cell>
        </row>
        <row r="9">
          <cell r="B9" t="str">
            <v>02.200.01</v>
          </cell>
          <cell r="C9" t="str">
            <v>RECOMP. DE CAMADA GRANULAR DO PAVIMENTO</v>
          </cell>
          <cell r="D9" t="str">
            <v>m³</v>
          </cell>
          <cell r="E9">
            <v>70</v>
          </cell>
          <cell r="F9" t="e">
            <v>#N/A</v>
          </cell>
        </row>
        <row r="10">
          <cell r="B10" t="str">
            <v>02.220.00</v>
          </cell>
          <cell r="C10" t="str">
            <v>SOLO BRITA PARA BASE DE REMENDO PROFUNDO</v>
          </cell>
          <cell r="D10" t="str">
            <v>m³</v>
          </cell>
          <cell r="E10">
            <v>1</v>
          </cell>
          <cell r="F10">
            <v>12.72</v>
          </cell>
        </row>
        <row r="11">
          <cell r="B11" t="str">
            <v>02.230.00</v>
          </cell>
          <cell r="C11" t="str">
            <v>BRITA PARA BASE DE REMENDO PROFUNDO</v>
          </cell>
          <cell r="D11" t="str">
            <v>m³</v>
          </cell>
          <cell r="E11">
            <v>1</v>
          </cell>
          <cell r="F11">
            <v>31.76</v>
          </cell>
        </row>
        <row r="12">
          <cell r="B12" t="str">
            <v>3.S.02.241.00</v>
          </cell>
          <cell r="C12" t="str">
            <v>SOLO MELHOR. C/CIMENTO P/BASE DE REM. PROF.</v>
          </cell>
          <cell r="D12" t="str">
            <v>m³</v>
          </cell>
          <cell r="E12">
            <v>1</v>
          </cell>
          <cell r="F12">
            <v>30.42</v>
          </cell>
        </row>
        <row r="13">
          <cell r="B13" t="str">
            <v>3.S.02.300.00</v>
          </cell>
          <cell r="C13" t="str">
            <v>IMPRIMAÇÃO</v>
          </cell>
          <cell r="D13" t="str">
            <v>m²</v>
          </cell>
          <cell r="E13">
            <v>1125</v>
          </cell>
          <cell r="F13">
            <v>0.11</v>
          </cell>
        </row>
        <row r="14">
          <cell r="B14" t="str">
            <v>3.S.02.400.00</v>
          </cell>
          <cell r="C14" t="str">
            <v>PINTURA DE LIGAÇÃO</v>
          </cell>
          <cell r="D14" t="str">
            <v>m²</v>
          </cell>
          <cell r="E14">
            <v>1687</v>
          </cell>
          <cell r="F14">
            <v>0.08</v>
          </cell>
        </row>
        <row r="15">
          <cell r="B15" t="str">
            <v>3.S.02.500.00</v>
          </cell>
          <cell r="C15" t="str">
            <v>CAPA SELANTE COM PEDRISCO</v>
          </cell>
          <cell r="D15" t="str">
            <v>m²</v>
          </cell>
          <cell r="E15">
            <v>1350</v>
          </cell>
          <cell r="F15">
            <v>0.33</v>
          </cell>
        </row>
        <row r="16">
          <cell r="B16" t="str">
            <v>3.S.02.500.01</v>
          </cell>
          <cell r="C16" t="str">
            <v>CAPA SELANTE COM AREIA</v>
          </cell>
          <cell r="D16" t="str">
            <v>m²</v>
          </cell>
          <cell r="E16">
            <v>2250</v>
          </cell>
          <cell r="F16">
            <v>0.23</v>
          </cell>
        </row>
        <row r="17">
          <cell r="B17" t="str">
            <v>02.500.02</v>
          </cell>
          <cell r="C17" t="str">
            <v>TRATAMENTO SUPERFICIAL SIMPLES</v>
          </cell>
          <cell r="D17" t="str">
            <v>m²</v>
          </cell>
          <cell r="E17">
            <v>880</v>
          </cell>
          <cell r="F17">
            <v>0.36</v>
          </cell>
        </row>
        <row r="18">
          <cell r="B18" t="str">
            <v>3.S.02.501.01</v>
          </cell>
          <cell r="C18" t="str">
            <v>TRATAMENTO SUPERFICIAL DUPLO COM EMULSÃO</v>
          </cell>
          <cell r="D18" t="str">
            <v>m²</v>
          </cell>
          <cell r="E18">
            <v>343</v>
          </cell>
          <cell r="F18">
            <v>1.33</v>
          </cell>
        </row>
        <row r="19">
          <cell r="B19" t="str">
            <v>3.S.02.510.00</v>
          </cell>
          <cell r="C19" t="str">
            <v>LAMA ASFÁLTICA FINA (GRANULOMETRIA I E II )</v>
          </cell>
          <cell r="D19" t="str">
            <v>m²</v>
          </cell>
          <cell r="E19">
            <v>838</v>
          </cell>
          <cell r="F19">
            <v>0.44</v>
          </cell>
        </row>
        <row r="20">
          <cell r="B20" t="str">
            <v>3.S.02.510.01</v>
          </cell>
          <cell r="C20" t="str">
            <v>LAMA ASFÁLTICA GROSSA  (GRANULOMETRIA III E IV )</v>
          </cell>
          <cell r="D20" t="str">
            <v>m²</v>
          </cell>
          <cell r="E20">
            <v>419</v>
          </cell>
          <cell r="F20">
            <v>0.84</v>
          </cell>
        </row>
        <row r="21">
          <cell r="B21" t="str">
            <v>02.510.02</v>
          </cell>
          <cell r="C21" t="str">
            <v>LAMA ASFÁLTICA GROSSA II</v>
          </cell>
          <cell r="D21" t="str">
            <v>m²</v>
          </cell>
          <cell r="E21">
            <v>400</v>
          </cell>
          <cell r="F21">
            <v>0.84</v>
          </cell>
        </row>
        <row r="22">
          <cell r="B22" t="str">
            <v>02.520.00</v>
          </cell>
          <cell r="C22" t="str">
            <v>MISTURA AREIA-ASFALTO EM BETONEIRA</v>
          </cell>
          <cell r="D22" t="str">
            <v>m³</v>
          </cell>
          <cell r="E22">
            <v>1.6</v>
          </cell>
          <cell r="F22">
            <v>50.39</v>
          </cell>
        </row>
        <row r="23">
          <cell r="B23" t="str">
            <v>02.520.01</v>
          </cell>
          <cell r="C23" t="str">
            <v>MISTURA AREIA-ASFALTO USINADA A FRIO</v>
          </cell>
          <cell r="D23" t="str">
            <v>m³</v>
          </cell>
          <cell r="E23">
            <v>15</v>
          </cell>
          <cell r="F23">
            <v>23.06</v>
          </cell>
        </row>
        <row r="24">
          <cell r="B24" t="str">
            <v>02.520.02</v>
          </cell>
          <cell r="C24" t="str">
            <v>RECOMP DO REVEST COM AREIA ASFALTO A FRIO</v>
          </cell>
          <cell r="D24" t="str">
            <v>m³</v>
          </cell>
          <cell r="E24">
            <v>15</v>
          </cell>
          <cell r="F24">
            <v>32.76</v>
          </cell>
        </row>
        <row r="25">
          <cell r="B25" t="str">
            <v>02.521.00</v>
          </cell>
          <cell r="C25" t="str">
            <v>MISTURA AREIA-ASFALTO USINADA A QUENTE</v>
          </cell>
          <cell r="D25" t="str">
            <v>m³</v>
          </cell>
          <cell r="E25">
            <v>20</v>
          </cell>
          <cell r="F25">
            <v>36.979999999999997</v>
          </cell>
        </row>
        <row r="26">
          <cell r="B26" t="str">
            <v>02.521.01</v>
          </cell>
          <cell r="C26" t="str">
            <v>RECOMP DO REVEST COM AREIA ASFALTO A QUENTE</v>
          </cell>
          <cell r="D26" t="str">
            <v>m³</v>
          </cell>
          <cell r="E26">
            <v>20</v>
          </cell>
          <cell r="F26">
            <v>45.12</v>
          </cell>
        </row>
        <row r="27">
          <cell r="B27" t="str">
            <v>3.S.02.530.00</v>
          </cell>
          <cell r="C27" t="str">
            <v>MISTURA BETUMINOSA EM BETONEIRA</v>
          </cell>
          <cell r="D27" t="str">
            <v>m³</v>
          </cell>
          <cell r="E27">
            <v>4.3</v>
          </cell>
          <cell r="F27">
            <v>40.39</v>
          </cell>
        </row>
        <row r="28">
          <cell r="B28" t="str">
            <v>3.S.02.530.01</v>
          </cell>
          <cell r="C28" t="str">
            <v>MISTURA BETUMINOSA USINADA A FRIO</v>
          </cell>
          <cell r="D28" t="str">
            <v>m³</v>
          </cell>
          <cell r="E28">
            <v>15</v>
          </cell>
          <cell r="F28">
            <v>38.28</v>
          </cell>
        </row>
        <row r="29">
          <cell r="B29" t="str">
            <v>3.S.02.530.02</v>
          </cell>
          <cell r="C29" t="str">
            <v>RECOMP DO REVEST C/ MISTURA BETUMINOSA A FRIO</v>
          </cell>
          <cell r="D29" t="str">
            <v>m³</v>
          </cell>
          <cell r="E29">
            <v>11</v>
          </cell>
          <cell r="F29">
            <v>20.059999999999999</v>
          </cell>
        </row>
        <row r="30">
          <cell r="B30" t="str">
            <v>3.S.02.540.00</v>
          </cell>
          <cell r="C30" t="str">
            <v>MISTURA BETUMINOSA USINADA A QUENTE</v>
          </cell>
          <cell r="D30" t="str">
            <v>m³</v>
          </cell>
          <cell r="E30">
            <v>14</v>
          </cell>
          <cell r="F30">
            <v>58.3</v>
          </cell>
        </row>
        <row r="31">
          <cell r="B31" t="str">
            <v>3.S.02.540.01</v>
          </cell>
          <cell r="C31" t="str">
            <v>RECOMP. REVEST C/ MISTURA BETUMINOSA A QUENTE</v>
          </cell>
          <cell r="D31" t="str">
            <v>m³</v>
          </cell>
          <cell r="E31">
            <v>14</v>
          </cell>
          <cell r="F31">
            <v>14.08</v>
          </cell>
        </row>
        <row r="32">
          <cell r="B32" t="str">
            <v>02.601.00</v>
          </cell>
          <cell r="C32" t="str">
            <v>RECOMPOSIÇÃO DE PLACA DE CONCRETO</v>
          </cell>
          <cell r="D32" t="str">
            <v>m³</v>
          </cell>
          <cell r="E32">
            <v>1.8</v>
          </cell>
          <cell r="F32" t="e">
            <v>#N/A</v>
          </cell>
        </row>
        <row r="33">
          <cell r="B33" t="str">
            <v>3.S.02.900.00</v>
          </cell>
          <cell r="C33" t="str">
            <v>REMOÇÃO MECANIZADA DE REVEST. BETUMINOSO</v>
          </cell>
          <cell r="D33" t="str">
            <v>m³</v>
          </cell>
          <cell r="E33">
            <v>35</v>
          </cell>
          <cell r="F33">
            <v>4.8</v>
          </cell>
        </row>
        <row r="34">
          <cell r="B34" t="str">
            <v>3.S.02.901.00</v>
          </cell>
          <cell r="C34" t="str">
            <v>REMOÇÃO MANUAL DE REVEST. BETUMINOSO</v>
          </cell>
          <cell r="D34" t="str">
            <v>m³</v>
          </cell>
          <cell r="E34">
            <v>1</v>
          </cell>
          <cell r="F34">
            <v>84.45</v>
          </cell>
        </row>
        <row r="35">
          <cell r="B35" t="str">
            <v>3.S.02.902.00</v>
          </cell>
          <cell r="C35" t="str">
            <v>REMOÇÃO MECANIZADA DA CAMADA GRANUL. DO PAV.</v>
          </cell>
          <cell r="D35" t="str">
            <v>m³</v>
          </cell>
          <cell r="E35">
            <v>61</v>
          </cell>
          <cell r="F35">
            <v>3.04</v>
          </cell>
        </row>
        <row r="36">
          <cell r="B36" t="str">
            <v>3.S.02.903.00</v>
          </cell>
          <cell r="C36" t="str">
            <v>REMOÇÃO MANUAL DA CAMADA GRANUL. DO PAV.</v>
          </cell>
          <cell r="D36" t="str">
            <v>m³</v>
          </cell>
          <cell r="E36">
            <v>1</v>
          </cell>
        </row>
        <row r="37">
          <cell r="B37" t="str">
            <v>02.999.00</v>
          </cell>
          <cell r="C37" t="str">
            <v>PENEIRAMENTO</v>
          </cell>
          <cell r="D37" t="str">
            <v>m³</v>
          </cell>
          <cell r="E37">
            <v>5</v>
          </cell>
          <cell r="F37">
            <v>84.45</v>
          </cell>
        </row>
        <row r="38">
          <cell r="B38" t="str">
            <v>03.310.00</v>
          </cell>
          <cell r="C38" t="str">
            <v>CONCRETO CICLÓPICO</v>
          </cell>
          <cell r="D38" t="str">
            <v>m³</v>
          </cell>
          <cell r="E38">
            <v>2</v>
          </cell>
          <cell r="F38">
            <v>0.32</v>
          </cell>
        </row>
        <row r="39">
          <cell r="B39" t="str">
            <v>3.S.03.329.00</v>
          </cell>
          <cell r="C39" t="str">
            <v>CONCRETO DE CIMENTO (CONFECÇÃO E LANÇAM.)</v>
          </cell>
          <cell r="D39" t="str">
            <v>m³</v>
          </cell>
          <cell r="E39">
            <v>2.5</v>
          </cell>
          <cell r="F39">
            <v>191.6</v>
          </cell>
        </row>
        <row r="40">
          <cell r="B40" t="str">
            <v>03.329.01</v>
          </cell>
          <cell r="C40" t="str">
            <v>CONCRETO DE CIMENTO (CONF. MANUAL E LANÇAM.)</v>
          </cell>
          <cell r="D40" t="str">
            <v>m³</v>
          </cell>
          <cell r="E40">
            <v>1</v>
          </cell>
          <cell r="F40" t="e">
            <v>#N/A</v>
          </cell>
        </row>
        <row r="41">
          <cell r="B41" t="str">
            <v>3.S.03.340.02</v>
          </cell>
          <cell r="C41" t="str">
            <v>ARGAMASSA CIMENTO-AREIA 1:6</v>
          </cell>
          <cell r="D41" t="str">
            <v>m³</v>
          </cell>
          <cell r="E41">
            <v>2.5</v>
          </cell>
          <cell r="F41">
            <v>170.08</v>
          </cell>
        </row>
        <row r="42">
          <cell r="B42" t="str">
            <v>03.340.03</v>
          </cell>
          <cell r="C42" t="str">
            <v>ARGAMASSA CIMENTO-AREIA 1:10</v>
          </cell>
          <cell r="D42" t="str">
            <v>m³</v>
          </cell>
          <cell r="E42">
            <v>0.1</v>
          </cell>
          <cell r="F42" t="e">
            <v>#N/A</v>
          </cell>
        </row>
        <row r="43">
          <cell r="B43" t="str">
            <v>03.353.00</v>
          </cell>
          <cell r="C43" t="str">
            <v>DOBRAGEM E COLOCAÇÃO DE ARMADURA</v>
          </cell>
          <cell r="D43" t="str">
            <v>kg</v>
          </cell>
          <cell r="E43">
            <v>14</v>
          </cell>
          <cell r="F43">
            <v>3.21</v>
          </cell>
        </row>
        <row r="44">
          <cell r="B44" t="str">
            <v>3.S.03.370.00</v>
          </cell>
          <cell r="C44" t="str">
            <v>FORMAS COMUM DE MADEIRA</v>
          </cell>
          <cell r="D44" t="str">
            <v>m²</v>
          </cell>
          <cell r="E44">
            <v>2.5</v>
          </cell>
          <cell r="F44">
            <v>26.93</v>
          </cell>
        </row>
        <row r="45">
          <cell r="B45" t="str">
            <v>3.S.03.940.02</v>
          </cell>
          <cell r="C45" t="str">
            <v>REATERRO APILOADO</v>
          </cell>
          <cell r="D45" t="str">
            <v>m³</v>
          </cell>
          <cell r="E45">
            <v>1.5</v>
          </cell>
          <cell r="F45">
            <v>10.15</v>
          </cell>
        </row>
        <row r="46">
          <cell r="B46" t="str">
            <v>03.940.01</v>
          </cell>
          <cell r="C46" t="str">
            <v>REATERRO E COMPACTAÇÃO PARA BUEIRO</v>
          </cell>
          <cell r="D46" t="str">
            <v>m³</v>
          </cell>
          <cell r="E46">
            <v>10</v>
          </cell>
          <cell r="F46">
            <v>4.4800000000000004</v>
          </cell>
        </row>
        <row r="47">
          <cell r="B47" t="str">
            <v>3.S.03.950.00</v>
          </cell>
          <cell r="C47" t="str">
            <v>LIMPEZA DE PONTE</v>
          </cell>
          <cell r="D47" t="str">
            <v>m</v>
          </cell>
          <cell r="E47">
            <v>20</v>
          </cell>
          <cell r="F47">
            <v>2.02</v>
          </cell>
        </row>
        <row r="48">
          <cell r="B48" t="str">
            <v>04.000.00</v>
          </cell>
          <cell r="C48" t="str">
            <v>ESCAVAÇÃO MANUAL</v>
          </cell>
          <cell r="D48" t="str">
            <v>m³</v>
          </cell>
          <cell r="E48">
            <v>4</v>
          </cell>
          <cell r="F48">
            <v>15.46</v>
          </cell>
        </row>
        <row r="49">
          <cell r="B49" t="str">
            <v>04.001.00</v>
          </cell>
          <cell r="C49" t="str">
            <v>ESCAV. DE VALAS EM MAT. DE 1.ª CATEGORIA</v>
          </cell>
          <cell r="D49" t="str">
            <v>m³</v>
          </cell>
          <cell r="E49">
            <v>15</v>
          </cell>
          <cell r="F49">
            <v>3.2</v>
          </cell>
        </row>
        <row r="50">
          <cell r="B50" t="str">
            <v>04.010.00</v>
          </cell>
          <cell r="C50" t="str">
            <v>ESCAV. DE VALAS EM MAT. DE 2.ª CATEGORIA</v>
          </cell>
          <cell r="D50" t="str">
            <v>m³</v>
          </cell>
          <cell r="E50">
            <v>3</v>
          </cell>
          <cell r="F50">
            <v>20.62</v>
          </cell>
        </row>
        <row r="51">
          <cell r="B51" t="str">
            <v>04.020.00</v>
          </cell>
          <cell r="C51" t="str">
            <v>ESCAV. DE VALAS EM MAT. DE 3.ª CAT. EM VALAS</v>
          </cell>
          <cell r="D51" t="str">
            <v>m³</v>
          </cell>
          <cell r="E51">
            <v>5</v>
          </cell>
          <cell r="F51">
            <v>76.5</v>
          </cell>
        </row>
        <row r="52">
          <cell r="B52" t="str">
            <v>04.300.00</v>
          </cell>
          <cell r="C52" t="str">
            <v>CORPO BUEIRO TUB. METÁLICO TIPO MULTIPLATE</v>
          </cell>
          <cell r="D52" t="str">
            <v>kg</v>
          </cell>
          <cell r="E52">
            <v>121</v>
          </cell>
          <cell r="F52">
            <v>7.32</v>
          </cell>
        </row>
        <row r="53">
          <cell r="B53" t="str">
            <v>04.310.00</v>
          </cell>
          <cell r="C53" t="str">
            <v>CORPO BUEIRO TUB. MET. TIPO TUNNEL LINNER D=1,6 M</v>
          </cell>
          <cell r="D53" t="str">
            <v>kg</v>
          </cell>
          <cell r="E53">
            <v>30</v>
          </cell>
          <cell r="F53">
            <v>9.02</v>
          </cell>
        </row>
        <row r="54">
          <cell r="B54" t="str">
            <v>04.590.00</v>
          </cell>
          <cell r="C54" t="str">
            <v>ASSENTAMENTO DE DRENO PROFUNDO</v>
          </cell>
          <cell r="D54" t="str">
            <v>m</v>
          </cell>
          <cell r="E54">
            <v>4</v>
          </cell>
          <cell r="F54" t="e">
            <v>#N/A</v>
          </cell>
        </row>
        <row r="55">
          <cell r="B55" t="str">
            <v>04.999.08</v>
          </cell>
          <cell r="C55" t="str">
            <v>SELO DE ARGILA APILOADO C/SOLO LOCAL</v>
          </cell>
          <cell r="D55" t="str">
            <v>m³</v>
          </cell>
          <cell r="E55">
            <v>1</v>
          </cell>
          <cell r="F55">
            <v>14.28</v>
          </cell>
        </row>
        <row r="56">
          <cell r="B56" t="str">
            <v>3.S.05.000.00</v>
          </cell>
          <cell r="C56" t="str">
            <v>ENROCAMENTO DE PEDRA ARRUMADA</v>
          </cell>
          <cell r="D56" t="str">
            <v>m³</v>
          </cell>
          <cell r="E56">
            <v>2</v>
          </cell>
          <cell r="F56">
            <v>55.98</v>
          </cell>
        </row>
        <row r="57">
          <cell r="B57" t="str">
            <v>3.S.05.001.00</v>
          </cell>
          <cell r="C57" t="str">
            <v>ENROCAMENTO DE PEDRA JOGADA</v>
          </cell>
          <cell r="D57" t="str">
            <v>m³</v>
          </cell>
          <cell r="E57">
            <v>4</v>
          </cell>
          <cell r="F57">
            <v>37.15</v>
          </cell>
        </row>
        <row r="58">
          <cell r="B58" t="str">
            <v>05.101.01</v>
          </cell>
          <cell r="C58" t="str">
            <v>REVESTIMENTO VEGETAL COM MUDAS</v>
          </cell>
          <cell r="D58" t="str">
            <v>m²</v>
          </cell>
          <cell r="E58">
            <v>25</v>
          </cell>
          <cell r="F58">
            <v>2.63</v>
          </cell>
        </row>
        <row r="59">
          <cell r="B59" t="str">
            <v>05.101.02</v>
          </cell>
          <cell r="C59" t="str">
            <v>REVESTIMENTO VEGETAL C/ GRAMA EM LEIVAS</v>
          </cell>
          <cell r="D59" t="str">
            <v>m²</v>
          </cell>
          <cell r="E59">
            <v>50</v>
          </cell>
          <cell r="F59">
            <v>4.29</v>
          </cell>
        </row>
        <row r="60">
          <cell r="B60" t="str">
            <v>08.001.00</v>
          </cell>
          <cell r="C60" t="str">
            <v>RECONFORMAÇÃO DE PLATAFORMA</v>
          </cell>
          <cell r="D60" t="str">
            <v>ha</v>
          </cell>
          <cell r="E60">
            <v>1</v>
          </cell>
          <cell r="F60">
            <v>82.82</v>
          </cell>
        </row>
        <row r="61">
          <cell r="B61" t="str">
            <v>3.S.08.100.00</v>
          </cell>
          <cell r="C61" t="str">
            <v>TAPA BURACO</v>
          </cell>
          <cell r="D61" t="str">
            <v>m³</v>
          </cell>
          <cell r="E61">
            <v>0.5</v>
          </cell>
          <cell r="F61">
            <v>91.47</v>
          </cell>
        </row>
        <row r="62">
          <cell r="B62" t="str">
            <v>3.S.08.101.01</v>
          </cell>
          <cell r="C62" t="str">
            <v>REMENDO PROFUNDO COM DEMOLIÇÃO MANUAL</v>
          </cell>
          <cell r="D62" t="str">
            <v>m³</v>
          </cell>
          <cell r="E62">
            <v>0.55000000000000004</v>
          </cell>
          <cell r="F62">
            <v>111.32</v>
          </cell>
        </row>
        <row r="63">
          <cell r="B63" t="str">
            <v>3.S.08.101.02</v>
          </cell>
          <cell r="C63" t="str">
            <v>REMENDO PROFUNDO C/ DEMOL. MECAN.</v>
          </cell>
          <cell r="D63" t="str">
            <v>m³</v>
          </cell>
          <cell r="E63">
            <v>1</v>
          </cell>
          <cell r="F63">
            <v>79.95</v>
          </cell>
        </row>
        <row r="64">
          <cell r="B64" t="str">
            <v>08.102.00</v>
          </cell>
          <cell r="C64" t="str">
            <v>LIMPEZA E ENCH. DE JUNTAS PAV. DE CONC. A QUENTE</v>
          </cell>
          <cell r="D64" t="str">
            <v>m</v>
          </cell>
          <cell r="E64">
            <v>75</v>
          </cell>
          <cell r="F64" t="e">
            <v>#N/A</v>
          </cell>
        </row>
        <row r="65">
          <cell r="B65" t="str">
            <v>3.S.08.102.01</v>
          </cell>
          <cell r="C65" t="str">
            <v>LIMPEZA E ENCH. DE JUNTAS PAV. DE CONC. A FRIO</v>
          </cell>
          <cell r="D65" t="str">
            <v>m</v>
          </cell>
          <cell r="E65">
            <v>100</v>
          </cell>
          <cell r="F65">
            <v>0.9</v>
          </cell>
        </row>
        <row r="66">
          <cell r="B66" t="str">
            <v>3.S.08.103.00</v>
          </cell>
          <cell r="C66" t="str">
            <v>SELAGEM DE TRINCA</v>
          </cell>
          <cell r="D66" t="str">
            <v>l</v>
          </cell>
          <cell r="E66">
            <v>50</v>
          </cell>
          <cell r="F66">
            <v>0.76</v>
          </cell>
        </row>
        <row r="67">
          <cell r="B67" t="str">
            <v>08.104.01</v>
          </cell>
          <cell r="C67" t="str">
            <v>COMBATE À EXSUDAÇÃO COM AREIA</v>
          </cell>
          <cell r="D67" t="str">
            <v>m²</v>
          </cell>
          <cell r="E67">
            <v>450</v>
          </cell>
          <cell r="F67">
            <v>45.8</v>
          </cell>
        </row>
        <row r="68">
          <cell r="B68" t="str">
            <v>08.104.02</v>
          </cell>
          <cell r="C68" t="str">
            <v>COMBATE À EXSUDAÇÃO COM PEDRISCO</v>
          </cell>
          <cell r="D68" t="str">
            <v>m²</v>
          </cell>
          <cell r="E68">
            <v>450</v>
          </cell>
          <cell r="F68">
            <v>0.25</v>
          </cell>
        </row>
        <row r="69">
          <cell r="B69" t="str">
            <v>3.S.08.109.00</v>
          </cell>
          <cell r="C69" t="str">
            <v>CORREÇÃO DE DEFEITOS C/ MISTURA BETUMINOSA</v>
          </cell>
          <cell r="D69" t="str">
            <v>m³</v>
          </cell>
          <cell r="E69">
            <v>2.25</v>
          </cell>
          <cell r="F69">
            <v>53.92</v>
          </cell>
        </row>
        <row r="70">
          <cell r="B70" t="str">
            <v>08.109.11</v>
          </cell>
          <cell r="C70" t="str">
            <v>FRESAGEM CONTÍNUA A FRIO ESP.: 3 CM</v>
          </cell>
          <cell r="D70" t="str">
            <v>m²</v>
          </cell>
          <cell r="E70">
            <v>220</v>
          </cell>
          <cell r="F70">
            <v>2.91</v>
          </cell>
        </row>
        <row r="71">
          <cell r="B71" t="str">
            <v>08.109.12</v>
          </cell>
          <cell r="C71" t="str">
            <v>FRESAGEM DESCONTÍNUA A FRIO ESP.: 3 CM</v>
          </cell>
          <cell r="D71" t="str">
            <v>m²</v>
          </cell>
          <cell r="E71">
            <v>150</v>
          </cell>
          <cell r="F71">
            <v>3.69</v>
          </cell>
        </row>
        <row r="72">
          <cell r="B72" t="str">
            <v>08.109.21</v>
          </cell>
          <cell r="C72" t="str">
            <v>FRESAGEM CONTÍNUA A FRIO ESP.: 5 CM</v>
          </cell>
          <cell r="D72" t="str">
            <v>m²</v>
          </cell>
          <cell r="E72">
            <v>150</v>
          </cell>
          <cell r="F72">
            <v>3.69</v>
          </cell>
        </row>
        <row r="73">
          <cell r="B73" t="str">
            <v>08.109.22</v>
          </cell>
          <cell r="C73" t="str">
            <v>FRESAGEM DESCONTÍNUA A FRIO ESP.: 5 CM</v>
          </cell>
          <cell r="D73" t="str">
            <v>m²</v>
          </cell>
          <cell r="E73">
            <v>110</v>
          </cell>
          <cell r="F73">
            <v>4.5999999999999996</v>
          </cell>
        </row>
        <row r="74">
          <cell r="B74" t="str">
            <v>08.109.31</v>
          </cell>
          <cell r="C74" t="str">
            <v>FRESAGEM CONTÍNUA A FRIO ESP.: 10 CM</v>
          </cell>
          <cell r="D74" t="str">
            <v>m²</v>
          </cell>
          <cell r="E74">
            <v>304</v>
          </cell>
          <cell r="F74">
            <v>3.29</v>
          </cell>
        </row>
        <row r="75">
          <cell r="B75" t="str">
            <v>08.109.32</v>
          </cell>
          <cell r="C75" t="str">
            <v>FRESAGEM DESCONTÍNUA A FRIO ESP.: 10 CM</v>
          </cell>
          <cell r="D75" t="str">
            <v>m²</v>
          </cell>
          <cell r="E75">
            <v>190</v>
          </cell>
          <cell r="F75">
            <v>4.5999999999999996</v>
          </cell>
        </row>
        <row r="76">
          <cell r="B76" t="str">
            <v>08.110.00</v>
          </cell>
          <cell r="C76" t="str">
            <v>CORREÇÃO DE DEFEITOS POR PENETRAÇÃO</v>
          </cell>
          <cell r="D76" t="str">
            <v>m²</v>
          </cell>
          <cell r="E76">
            <v>21</v>
          </cell>
          <cell r="F76">
            <v>5.08</v>
          </cell>
        </row>
        <row r="77">
          <cell r="B77" t="str">
            <v>3.S.08.200.00</v>
          </cell>
          <cell r="C77" t="str">
            <v>RECOMPOSIÇÃO DE GUARDA CORPO</v>
          </cell>
          <cell r="D77" t="str">
            <v>m</v>
          </cell>
          <cell r="E77">
            <v>2</v>
          </cell>
          <cell r="F77">
            <v>96.51</v>
          </cell>
        </row>
        <row r="78">
          <cell r="B78" t="str">
            <v>08.200.01</v>
          </cell>
          <cell r="C78" t="str">
            <v>RECOMP. DE SARJETA EM ALVENARIA DE TIJOLO</v>
          </cell>
          <cell r="D78" t="str">
            <v>m²</v>
          </cell>
          <cell r="E78">
            <v>1</v>
          </cell>
          <cell r="F78">
            <v>18.440000000000001</v>
          </cell>
        </row>
        <row r="79">
          <cell r="B79" t="str">
            <v>3.S.08.300.01</v>
          </cell>
          <cell r="C79" t="str">
            <v>LIMPEZA DE SARJETA E MEIO FIO</v>
          </cell>
          <cell r="D79" t="str">
            <v>m</v>
          </cell>
          <cell r="E79">
            <v>300</v>
          </cell>
          <cell r="F79">
            <v>0.17</v>
          </cell>
        </row>
        <row r="80">
          <cell r="B80" t="str">
            <v>3.S.08.301.01</v>
          </cell>
          <cell r="C80" t="str">
            <v>LIMPEZA DE VALETA DE CORTE</v>
          </cell>
          <cell r="D80" t="str">
            <v>m</v>
          </cell>
          <cell r="E80">
            <v>200</v>
          </cell>
          <cell r="F80">
            <v>0.27</v>
          </cell>
        </row>
        <row r="81">
          <cell r="B81" t="str">
            <v>3.S.08.301.02</v>
          </cell>
          <cell r="C81" t="str">
            <v>LIMPEZA DE VALA DE DRENAGEM</v>
          </cell>
          <cell r="D81" t="str">
            <v>m</v>
          </cell>
          <cell r="E81">
            <v>50</v>
          </cell>
          <cell r="F81">
            <v>1.06</v>
          </cell>
        </row>
        <row r="82">
          <cell r="B82" t="str">
            <v>3.S.08.301.03</v>
          </cell>
          <cell r="C82" t="str">
            <v>LIMPEZA DE DESCIDA D'ÁGUA</v>
          </cell>
          <cell r="D82" t="str">
            <v>m</v>
          </cell>
          <cell r="E82">
            <v>150</v>
          </cell>
          <cell r="F82">
            <v>0.36</v>
          </cell>
        </row>
        <row r="83">
          <cell r="B83" t="str">
            <v>3.S.08.302.01</v>
          </cell>
          <cell r="C83" t="str">
            <v>LIMPEZA DE BUEIRO</v>
          </cell>
          <cell r="D83" t="str">
            <v>m³</v>
          </cell>
          <cell r="E83">
            <v>5</v>
          </cell>
          <cell r="F83">
            <v>5.81</v>
          </cell>
        </row>
        <row r="84">
          <cell r="B84" t="str">
            <v>3.S.08.302.02</v>
          </cell>
          <cell r="C84" t="str">
            <v>DESOBSTRUÇÃO DE BUEIRO</v>
          </cell>
          <cell r="D84" t="str">
            <v>m³</v>
          </cell>
          <cell r="E84">
            <v>2</v>
          </cell>
          <cell r="F84">
            <v>16.96</v>
          </cell>
        </row>
        <row r="85">
          <cell r="B85" t="str">
            <v>08.302.03</v>
          </cell>
          <cell r="C85" t="str">
            <v>ASSENTAMENTO DE TUBO 0,60 M</v>
          </cell>
          <cell r="D85" t="str">
            <v>m</v>
          </cell>
          <cell r="E85">
            <v>3</v>
          </cell>
          <cell r="F85" t="e">
            <v>#N/A</v>
          </cell>
        </row>
        <row r="86">
          <cell r="B86" t="str">
            <v>08.302.04</v>
          </cell>
          <cell r="C86" t="str">
            <v>ASSENTAMENTO DE TUBO 0,80 M</v>
          </cell>
          <cell r="D86" t="str">
            <v>m</v>
          </cell>
          <cell r="E86">
            <v>2.5</v>
          </cell>
          <cell r="F86" t="e">
            <v>#N/A</v>
          </cell>
        </row>
        <row r="87">
          <cell r="B87" t="str">
            <v>08.302.05</v>
          </cell>
          <cell r="C87" t="str">
            <v>ASSENTAMENTO DE TUBO 1,00 M</v>
          </cell>
          <cell r="D87" t="str">
            <v>m</v>
          </cell>
          <cell r="E87">
            <v>2</v>
          </cell>
          <cell r="F87" t="e">
            <v>#N/A</v>
          </cell>
        </row>
        <row r="88">
          <cell r="B88" t="str">
            <v>08.302.06</v>
          </cell>
          <cell r="C88" t="str">
            <v>ASSENTAMENTO DE TUBO 1,20 M</v>
          </cell>
          <cell r="D88" t="str">
            <v>m</v>
          </cell>
          <cell r="E88">
            <v>1.2</v>
          </cell>
          <cell r="F88" t="e">
            <v>#N/A</v>
          </cell>
        </row>
        <row r="89">
          <cell r="B89" t="str">
            <v>3.S.08.400.00</v>
          </cell>
          <cell r="C89" t="str">
            <v>LIMPEZA DE PLACA DE SINALIZAÇÃO</v>
          </cell>
          <cell r="D89" t="str">
            <v>m²</v>
          </cell>
          <cell r="E89">
            <v>20</v>
          </cell>
        </row>
        <row r="90">
          <cell r="B90" t="str">
            <v>3.S.08.400.01</v>
          </cell>
          <cell r="C90" t="str">
            <v>RECOMPOSIÇÃO DE PLACA DE SINALIZAÇÃO</v>
          </cell>
          <cell r="D90" t="str">
            <v>m²</v>
          </cell>
          <cell r="E90">
            <v>5</v>
          </cell>
          <cell r="F90">
            <v>2.2599999999999998</v>
          </cell>
        </row>
        <row r="91">
          <cell r="B91" t="str">
            <v>08.400.02</v>
          </cell>
          <cell r="C91" t="str">
            <v>SUBSTITUIÇÃO DE BALIZADOR</v>
          </cell>
          <cell r="D91" t="str">
            <v>unid</v>
          </cell>
          <cell r="E91">
            <v>12</v>
          </cell>
          <cell r="F91">
            <v>9.9600000000000009</v>
          </cell>
        </row>
        <row r="92">
          <cell r="B92" t="str">
            <v>3.S.08.401.00</v>
          </cell>
          <cell r="C92" t="str">
            <v>RECOMPOSIÇÃO DE DEFENSA METÁLICA</v>
          </cell>
          <cell r="D92" t="str">
            <v>m</v>
          </cell>
          <cell r="E92">
            <v>12</v>
          </cell>
          <cell r="F92">
            <v>4.1500000000000004</v>
          </cell>
        </row>
        <row r="93">
          <cell r="B93" t="str">
            <v>3.S.08.402.00</v>
          </cell>
          <cell r="C93" t="str">
            <v>CAIAÇÃO</v>
          </cell>
          <cell r="D93" t="str">
            <v>m²</v>
          </cell>
          <cell r="E93">
            <v>100</v>
          </cell>
          <cell r="F93">
            <v>0.84</v>
          </cell>
        </row>
        <row r="94">
          <cell r="B94" t="str">
            <v>08.403.00</v>
          </cell>
          <cell r="C94" t="str">
            <v>RENOVAÇÃO DE SINALIZAÇÃO HORIZONTAL</v>
          </cell>
          <cell r="D94" t="str">
            <v>m</v>
          </cell>
          <cell r="E94">
            <v>6</v>
          </cell>
          <cell r="F94">
            <v>12.83</v>
          </cell>
        </row>
        <row r="95">
          <cell r="B95" t="str">
            <v>08.404.00</v>
          </cell>
          <cell r="C95" t="str">
            <v>RECOMPOSIÇÃO TOTAL DE CERCA DE CONCRETO</v>
          </cell>
          <cell r="D95" t="str">
            <v>m</v>
          </cell>
          <cell r="E95">
            <v>25</v>
          </cell>
          <cell r="F95" t="e">
            <v>#N/A</v>
          </cell>
        </row>
        <row r="96">
          <cell r="B96" t="str">
            <v>08.404.01</v>
          </cell>
          <cell r="C96" t="str">
            <v>RECOMP. PARCIAL CERCA DE CONCRETO - MOURÃO</v>
          </cell>
          <cell r="D96" t="str">
            <v>m</v>
          </cell>
          <cell r="E96">
            <v>40</v>
          </cell>
          <cell r="F96" t="e">
            <v>#N/A</v>
          </cell>
        </row>
        <row r="97">
          <cell r="B97" t="str">
            <v>3.S.08.414.02</v>
          </cell>
          <cell r="C97" t="str">
            <v>RECOMP. PARCIAL CERCA C/ MOURÃO DE MADEIRA - ARAME</v>
          </cell>
          <cell r="D97" t="str">
            <v>m</v>
          </cell>
          <cell r="E97">
            <v>60</v>
          </cell>
          <cell r="F97">
            <v>1.79</v>
          </cell>
        </row>
        <row r="98">
          <cell r="B98" t="str">
            <v>08.409.00</v>
          </cell>
          <cell r="C98" t="str">
            <v>RECOMPOSIÇÃO DE TELA ANTI-OFUSCANTE</v>
          </cell>
          <cell r="D98" t="str">
            <v>m</v>
          </cell>
          <cell r="E98">
            <v>1</v>
          </cell>
          <cell r="F98">
            <v>88.38</v>
          </cell>
        </row>
        <row r="99">
          <cell r="B99" t="str">
            <v>08.409.01</v>
          </cell>
          <cell r="C99" t="str">
            <v>LIMPEZA DE PLACA DE SINALIZAÇÃO</v>
          </cell>
          <cell r="D99" t="str">
            <v>m²</v>
          </cell>
          <cell r="E99">
            <v>20</v>
          </cell>
          <cell r="F99">
            <v>2.52</v>
          </cell>
        </row>
        <row r="100">
          <cell r="B100" t="str">
            <v>3.S.08.500.00</v>
          </cell>
          <cell r="C100" t="str">
            <v>RECOMPOSIÇÃO MANUAL DE ATERRO</v>
          </cell>
          <cell r="D100" t="str">
            <v>m³</v>
          </cell>
          <cell r="E100">
            <v>1.5</v>
          </cell>
          <cell r="F100">
            <v>41.14</v>
          </cell>
        </row>
        <row r="101">
          <cell r="B101" t="str">
            <v>3.S.08.501.00</v>
          </cell>
          <cell r="C101" t="str">
            <v>RECOMPOSIÇÃO MECANIZADA DE ATERRO</v>
          </cell>
          <cell r="D101" t="str">
            <v>m³</v>
          </cell>
          <cell r="E101">
            <v>30</v>
          </cell>
          <cell r="F101">
            <v>12.18</v>
          </cell>
        </row>
        <row r="102">
          <cell r="B102" t="str">
            <v>08.510.00</v>
          </cell>
          <cell r="C102" t="str">
            <v>REMOÇÃO  MANUAL DE BARREIRA</v>
          </cell>
          <cell r="D102" t="str">
            <v>m³</v>
          </cell>
          <cell r="E102">
            <v>5</v>
          </cell>
          <cell r="F102">
            <v>11.7</v>
          </cell>
        </row>
        <row r="103">
          <cell r="B103" t="str">
            <v>08.511.00</v>
          </cell>
          <cell r="C103" t="str">
            <v>REMOÇÃO MECANIZADA DE BARREIRA</v>
          </cell>
          <cell r="D103" t="str">
            <v>m³</v>
          </cell>
          <cell r="E103">
            <v>38</v>
          </cell>
          <cell r="F103">
            <v>3.44</v>
          </cell>
        </row>
        <row r="104">
          <cell r="B104" t="str">
            <v>3.S.08.900.00</v>
          </cell>
          <cell r="C104" t="str">
            <v>ROÇADA MANUAL</v>
          </cell>
          <cell r="D104" t="str">
            <v>ha</v>
          </cell>
          <cell r="E104">
            <v>0.12</v>
          </cell>
          <cell r="F104">
            <v>483.84</v>
          </cell>
        </row>
        <row r="105">
          <cell r="B105" t="str">
            <v>3.S.08.900.01</v>
          </cell>
          <cell r="C105" t="str">
            <v>ROÇADA DE CAPIM COLONIÃO</v>
          </cell>
          <cell r="D105" t="str">
            <v>ha</v>
          </cell>
          <cell r="E105">
            <v>0.05</v>
          </cell>
          <cell r="F105">
            <v>1161.22</v>
          </cell>
        </row>
        <row r="106">
          <cell r="B106" t="str">
            <v>3.S.08.901.00</v>
          </cell>
          <cell r="C106" t="str">
            <v>ROÇADA MECANIZADA</v>
          </cell>
          <cell r="D106" t="str">
            <v>ha</v>
          </cell>
          <cell r="E106">
            <v>0.4</v>
          </cell>
          <cell r="F106">
            <v>133.81</v>
          </cell>
        </row>
        <row r="107">
          <cell r="B107" t="str">
            <v>08.901.01</v>
          </cell>
          <cell r="C107" t="str">
            <v>CORTE E LIMPEZA DE ÁREAS GRAMADAS</v>
          </cell>
          <cell r="D107" t="str">
            <v>m²</v>
          </cell>
          <cell r="E107">
            <v>1000</v>
          </cell>
          <cell r="F107">
            <v>0.05</v>
          </cell>
        </row>
        <row r="108">
          <cell r="B108" t="str">
            <v>3.S.08.910.00</v>
          </cell>
          <cell r="C108" t="str">
            <v>CAPINA MANUAL</v>
          </cell>
          <cell r="D108" t="str">
            <v>m²</v>
          </cell>
          <cell r="E108">
            <v>300</v>
          </cell>
          <cell r="F108">
            <v>0.2</v>
          </cell>
        </row>
        <row r="109">
          <cell r="B109" t="str">
            <v>3.S.09.002.00</v>
          </cell>
          <cell r="C109" t="str">
            <v>TRANSPORTE COMERCIAL EM BASCUL. DE 5 M3 (8,8T)</v>
          </cell>
          <cell r="D109" t="str">
            <v>tkm</v>
          </cell>
          <cell r="E109">
            <v>169</v>
          </cell>
          <cell r="F109">
            <v>0.31</v>
          </cell>
        </row>
        <row r="110">
          <cell r="B110" t="str">
            <v>3.S.09.002.41</v>
          </cell>
          <cell r="C110" t="str">
            <v>TRANSPORTE EM CAMINHÃO DE CARROCERIA DE 4T</v>
          </cell>
          <cell r="D110" t="str">
            <v>tkm</v>
          </cell>
          <cell r="E110">
            <v>96</v>
          </cell>
          <cell r="F110">
            <v>0.45</v>
          </cell>
        </row>
        <row r="111">
          <cell r="B111" t="str">
            <v>3.S.09.002.03</v>
          </cell>
          <cell r="C111" t="str">
            <v>TRANSPORTE LOCAL DE MAT. REMENDO</v>
          </cell>
          <cell r="D111" t="str">
            <v>tkm</v>
          </cell>
          <cell r="E111">
            <v>96</v>
          </cell>
          <cell r="F111">
            <v>0.45</v>
          </cell>
        </row>
        <row r="112">
          <cell r="B112" t="str">
            <v>3.S.09.002.06</v>
          </cell>
          <cell r="C112" t="str">
            <v>TRANSPORTE EM BASCULANTE DE 10 M3 (15T)</v>
          </cell>
          <cell r="D112" t="str">
            <v>tkm</v>
          </cell>
          <cell r="E112">
            <v>225</v>
          </cell>
          <cell r="F112">
            <v>0.28000000000000003</v>
          </cell>
        </row>
        <row r="113">
          <cell r="B113" t="str">
            <v>3.S.09.102.00</v>
          </cell>
          <cell r="C113" t="str">
            <v>TRANSPORTE LOCAL DE MAT. BETUMINOSO</v>
          </cell>
          <cell r="D113" t="str">
            <v>tkm</v>
          </cell>
          <cell r="E113">
            <v>90</v>
          </cell>
          <cell r="F113">
            <v>0.72</v>
          </cell>
        </row>
        <row r="114">
          <cell r="B114" t="str">
            <v>09.202.00</v>
          </cell>
          <cell r="C114" t="str">
            <v>TRANSPORTE DE ÁGUA</v>
          </cell>
          <cell r="D114" t="str">
            <v>tkm</v>
          </cell>
          <cell r="E114">
            <v>112.5</v>
          </cell>
          <cell r="F114">
            <v>0.5</v>
          </cell>
        </row>
        <row r="115">
          <cell r="B115" t="str">
            <v>09.512.02</v>
          </cell>
          <cell r="C115" t="str">
            <v>FABRICAÇÃO DE TUBO PARA DRENO 0,20 M</v>
          </cell>
          <cell r="D115" t="str">
            <v>m</v>
          </cell>
          <cell r="E115">
            <v>10</v>
          </cell>
          <cell r="F115" t="e">
            <v>#N/A</v>
          </cell>
        </row>
        <row r="116">
          <cell r="B116" t="str">
            <v>09.512.05</v>
          </cell>
          <cell r="C116" t="str">
            <v>FABRIC. TUBO CONCRETO C/ARMAD. DUPLA 0,60 M</v>
          </cell>
          <cell r="D116" t="str">
            <v>m</v>
          </cell>
          <cell r="E116">
            <v>1.8</v>
          </cell>
          <cell r="F116" t="e">
            <v>#N/A</v>
          </cell>
        </row>
        <row r="117">
          <cell r="B117" t="str">
            <v>09.512.06</v>
          </cell>
          <cell r="C117" t="str">
            <v>FABRIC. TUBO CONCRETO C/ARMAD. DUPLA 0,80 M</v>
          </cell>
          <cell r="D117" t="str">
            <v>m</v>
          </cell>
          <cell r="E117">
            <v>1.5</v>
          </cell>
          <cell r="F117" t="e">
            <v>#N/A</v>
          </cell>
        </row>
        <row r="118">
          <cell r="B118" t="str">
            <v>09.512.07</v>
          </cell>
          <cell r="C118" t="str">
            <v>FABRIC. TUBO CONCRETO C/ARMAD. DUPLA 1,00 M</v>
          </cell>
          <cell r="D118" t="str">
            <v>m</v>
          </cell>
          <cell r="E118">
            <v>1</v>
          </cell>
          <cell r="F118" t="e">
            <v>#N/A</v>
          </cell>
        </row>
        <row r="119">
          <cell r="B119" t="str">
            <v>09.512.08</v>
          </cell>
          <cell r="C119" t="str">
            <v>FABRIC. TUBO CONCRETO C/ARMAD. DUPLA 1,20 M</v>
          </cell>
          <cell r="D119" t="str">
            <v>m</v>
          </cell>
          <cell r="E119">
            <v>0.8</v>
          </cell>
          <cell r="F119" t="e">
            <v>#N/A</v>
          </cell>
        </row>
        <row r="120">
          <cell r="B120" t="str">
            <v>09.512.11</v>
          </cell>
          <cell r="C120" t="str">
            <v>FABRICAÇÃO DE BALIZADOR DE CONCRETO</v>
          </cell>
          <cell r="D120" t="str">
            <v>unid</v>
          </cell>
          <cell r="E120">
            <v>5</v>
          </cell>
          <cell r="F120" t="e">
            <v>#N/A</v>
          </cell>
        </row>
        <row r="121">
          <cell r="B121" t="str">
            <v>09.512.12</v>
          </cell>
          <cell r="C121" t="str">
            <v>FABRICAÇÃO DE GUARDA CORPO</v>
          </cell>
          <cell r="D121" t="str">
            <v>m</v>
          </cell>
          <cell r="E121">
            <v>2.5</v>
          </cell>
          <cell r="F121" t="e">
            <v>#N/A</v>
          </cell>
        </row>
        <row r="122">
          <cell r="B122" t="str">
            <v>09.512.13</v>
          </cell>
          <cell r="C122" t="str">
            <v>FABRIC. DE MOURÃO ESTICADOR DE CONC. ARMADO</v>
          </cell>
          <cell r="D122" t="str">
            <v>unid</v>
          </cell>
          <cell r="E122">
            <v>8</v>
          </cell>
          <cell r="F122" t="e">
            <v>#N/A</v>
          </cell>
        </row>
        <row r="123">
          <cell r="B123" t="str">
            <v>09.512.14</v>
          </cell>
          <cell r="C123" t="str">
            <v>FABRIC. DE MOURÃO SUPORTE DE CONC. ARMADO</v>
          </cell>
          <cell r="D123" t="str">
            <v>unid</v>
          </cell>
          <cell r="E123">
            <v>12</v>
          </cell>
          <cell r="F123" t="e">
            <v>#N/A</v>
          </cell>
        </row>
        <row r="124">
          <cell r="B124" t="str">
            <v>09.517.00</v>
          </cell>
          <cell r="C124" t="str">
            <v>AREIA EXTRAÍDA</v>
          </cell>
          <cell r="D124" t="str">
            <v>m³</v>
          </cell>
          <cell r="E124">
            <v>18</v>
          </cell>
          <cell r="F124">
            <v>5.98</v>
          </cell>
        </row>
        <row r="125">
          <cell r="B125" t="str">
            <v>09.517.01</v>
          </cell>
          <cell r="C125" t="str">
            <v>AREIA EXTRAÍDA COM DRAG-LINE</v>
          </cell>
          <cell r="D125" t="str">
            <v>m³</v>
          </cell>
        </row>
        <row r="126">
          <cell r="B126" t="str">
            <v>09.517.02</v>
          </cell>
          <cell r="C126" t="str">
            <v>ROCHA EXTRAÍDA</v>
          </cell>
          <cell r="D126" t="str">
            <v>m³</v>
          </cell>
          <cell r="E126">
            <v>18</v>
          </cell>
          <cell r="F126">
            <v>12.99</v>
          </cell>
        </row>
        <row r="127">
          <cell r="B127" t="str">
            <v>09.517.03</v>
          </cell>
          <cell r="C127" t="str">
            <v>BRITA PRODUZIDA</v>
          </cell>
          <cell r="D127" t="str">
            <v>m³</v>
          </cell>
          <cell r="E127">
            <v>14</v>
          </cell>
          <cell r="F127">
            <v>25.34</v>
          </cell>
        </row>
        <row r="128">
          <cell r="B128" t="str">
            <v>09.517.04</v>
          </cell>
          <cell r="C128" t="str">
            <v>PEDRA MARROADA</v>
          </cell>
          <cell r="D128" t="str">
            <v>m³</v>
          </cell>
          <cell r="E128">
            <v>2</v>
          </cell>
          <cell r="F128">
            <v>39.229999999999997</v>
          </cell>
        </row>
        <row r="129">
          <cell r="B129" t="str">
            <v>09.519.01</v>
          </cell>
          <cell r="C129" t="str">
            <v>OBTENÇÃO DE GRAMA EM LEIVAS</v>
          </cell>
          <cell r="D129" t="str">
            <v>m²</v>
          </cell>
          <cell r="E129">
            <v>100</v>
          </cell>
          <cell r="F129">
            <v>1.1000000000000001</v>
          </cell>
        </row>
        <row r="130">
          <cell r="B130" t="str">
            <v>3.S.20.130.17</v>
          </cell>
          <cell r="C130" t="str">
            <v>AQUISIÇÃO DE CIMENTO ASFÁLTICO CAP-20</v>
          </cell>
          <cell r="D130" t="str">
            <v>t</v>
          </cell>
          <cell r="E130">
            <v>0</v>
          </cell>
          <cell r="F130">
            <v>862.34</v>
          </cell>
        </row>
        <row r="131">
          <cell r="B131" t="str">
            <v>3.S.20.130.18</v>
          </cell>
          <cell r="C131" t="str">
            <v>TRANSPORTE DE COMERCIAL DE MAT.BETUM. A QUENTE</v>
          </cell>
          <cell r="D131" t="str">
            <v>t</v>
          </cell>
          <cell r="E131">
            <v>1</v>
          </cell>
          <cell r="F131">
            <v>281.67</v>
          </cell>
        </row>
        <row r="132">
          <cell r="B132" t="str">
            <v>3.S.20.230.17</v>
          </cell>
          <cell r="C132" t="str">
            <v>AQUISIÇÃO DE ASFALTO DILUÍDO CM-30</v>
          </cell>
          <cell r="D132" t="str">
            <v>t</v>
          </cell>
          <cell r="E132">
            <v>0</v>
          </cell>
          <cell r="F132">
            <v>1186.0899999999999</v>
          </cell>
        </row>
        <row r="133">
          <cell r="B133" t="str">
            <v>3.S.20.230.18</v>
          </cell>
          <cell r="C133" t="str">
            <v>TRANSPORTE DE ASFALTO DILUÍDO CM-30</v>
          </cell>
          <cell r="D133" t="str">
            <v>t</v>
          </cell>
          <cell r="E133">
            <v>0</v>
          </cell>
          <cell r="F133">
            <v>253.9</v>
          </cell>
        </row>
        <row r="134">
          <cell r="B134" t="str">
            <v>3.S.20.303.17</v>
          </cell>
          <cell r="C134" t="str">
            <v>AQUISIÇÃO DE EMULSÃO ASFÁLTICA RR-1C</v>
          </cell>
          <cell r="D134" t="str">
            <v>t</v>
          </cell>
          <cell r="E134">
            <v>0</v>
          </cell>
          <cell r="F134">
            <v>747.12</v>
          </cell>
        </row>
        <row r="135">
          <cell r="B135" t="str">
            <v>3.S.20.303.18</v>
          </cell>
          <cell r="C135" t="str">
            <v>TRANSPORTE DE EMULSÃO ASFÁLTICA RR-1C</v>
          </cell>
          <cell r="D135" t="str">
            <v>t</v>
          </cell>
          <cell r="E135">
            <v>0</v>
          </cell>
          <cell r="F135">
            <v>78.64</v>
          </cell>
        </row>
        <row r="136">
          <cell r="B136" t="str">
            <v>3.S.20.313.17</v>
          </cell>
          <cell r="C136" t="str">
            <v>AQUISIÇÃO DE EMULSÃO ASFÁLTICA RR-2C</v>
          </cell>
          <cell r="D136" t="str">
            <v>t</v>
          </cell>
          <cell r="E136">
            <v>0</v>
          </cell>
          <cell r="F136">
            <v>834.96</v>
          </cell>
        </row>
        <row r="137">
          <cell r="B137" t="str">
            <v>3.S.20.313.18</v>
          </cell>
          <cell r="C137" t="str">
            <v>TRANSPORTE DE EMULSÃO ASFÁLTICA RR-2C</v>
          </cell>
          <cell r="D137" t="str">
            <v>t</v>
          </cell>
          <cell r="E137">
            <v>0</v>
          </cell>
          <cell r="F137">
            <v>78.64</v>
          </cell>
        </row>
        <row r="138">
          <cell r="B138" t="str">
            <v>3.S.20.323.17</v>
          </cell>
          <cell r="C138" t="str">
            <v>AQUISIÇÃO DE EMULSÃO ASFÁLTICA RM-1C</v>
          </cell>
          <cell r="D138" t="str">
            <v>t</v>
          </cell>
          <cell r="E138">
            <v>0</v>
          </cell>
          <cell r="F138">
            <v>953.57</v>
          </cell>
        </row>
        <row r="139">
          <cell r="B139" t="str">
            <v>3.S.20.323.18</v>
          </cell>
          <cell r="C139" t="str">
            <v>TRANSPORTE DE EMULSÃO ASFÁLTICA RM-1C</v>
          </cell>
          <cell r="D139" t="str">
            <v>t</v>
          </cell>
          <cell r="E139">
            <v>0</v>
          </cell>
          <cell r="F139">
            <v>78.64</v>
          </cell>
        </row>
        <row r="140">
          <cell r="B140" t="str">
            <v>3.S.20.333.17</v>
          </cell>
          <cell r="C140" t="str">
            <v>AQUISIÇÃO DE EMULSÃO ASFÁLTICA RL-1C</v>
          </cell>
          <cell r="D140" t="str">
            <v>t</v>
          </cell>
          <cell r="E140">
            <v>0</v>
          </cell>
          <cell r="F140">
            <v>932.87</v>
          </cell>
        </row>
        <row r="141">
          <cell r="B141" t="str">
            <v>3.S.20.333.18</v>
          </cell>
          <cell r="C141" t="str">
            <v>TRANSPORTE DE EMULSÃO ASFÁLTICA RL-1C</v>
          </cell>
          <cell r="D141" t="str">
            <v>t</v>
          </cell>
          <cell r="E141">
            <v>0</v>
          </cell>
          <cell r="F141">
            <v>78.64</v>
          </cell>
        </row>
        <row r="142">
          <cell r="B142" t="str">
            <v>3.S.20.343.17</v>
          </cell>
          <cell r="C142" t="str">
            <v>AQUISIÇÃO DE EMULSÃO ASFÁLTICA EMULFLEX</v>
          </cell>
          <cell r="D142" t="str">
            <v>t</v>
          </cell>
          <cell r="E142">
            <v>0</v>
          </cell>
          <cell r="F142">
            <v>1001.2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mensionamento"/>
      <sheetName val="Drenagem"/>
      <sheetName val="Dimensionamento de Calhas Circu"/>
      <sheetName val="Dimensionamento de Calhas Retan"/>
    </sheetNames>
    <sheetDataSet>
      <sheetData sheetId="0" refreshError="1"/>
      <sheetData sheetId="1" refreshError="1"/>
      <sheetData sheetId="2">
        <row r="6">
          <cell r="V6">
            <v>5.0000000000000001E-3</v>
          </cell>
        </row>
        <row r="7">
          <cell r="V7">
            <v>0.01</v>
          </cell>
        </row>
        <row r="8">
          <cell r="V8">
            <v>0.02</v>
          </cell>
        </row>
      </sheetData>
      <sheetData sheetId="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Dados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OR960887.XLS"/>
      <sheetName val="RELATA VÉIO"/>
      <sheetName val="C"/>
      <sheetName val="QuQuant"/>
      <sheetName val="BR-267_TR01"/>
      <sheetName val="BR-267_TR02"/>
      <sheetName val="BR-267_TR03"/>
      <sheetName val="BR-376"/>
      <sheetName val="BR-463"/>
      <sheetName val="BR-487"/>
      <sheetName val="Orçamentária"/>
      <sheetName val="Materiais Betuminosos"/>
      <sheetName val="Plan1"/>
      <sheetName val="Plan2"/>
      <sheetName val="Plan3"/>
      <sheetName val="Qd05 Preço"/>
      <sheetName val="Qd06"/>
      <sheetName val="LOTE 6"/>
      <sheetName val="Mat"/>
      <sheetName val="DG"/>
      <sheetName val="Acumulado"/>
      <sheetName val="CONS_CORR"/>
      <sheetName val="Mobra"/>
      <sheetName val="TLMB"/>
      <sheetName val="SERVIÇOS"/>
      <sheetName val="Micro Revest MAN"/>
      <sheetName val="Micro Revest REC 1ªMP"/>
      <sheetName val="REM.MEC MAT.BET.MAN"/>
      <sheetName val="TRANSPORTE REC"/>
      <sheetName val="[OR960887.XLS][OR960887.XLS][OR"/>
      <sheetName val="//localhost/@/DFBSA00535/dyna01"/>
      <sheetName val="PGR"/>
      <sheetName val="alteração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Equipamentos"/>
      <sheetName val="Materiais"/>
      <sheetName val="Mão de Obra"/>
      <sheetName val="Mapa Localização"/>
      <sheetName val="PATO"/>
      <sheetName val="Valeta"/>
      <sheetName val="Descida"/>
      <sheetName val="Meio-Fio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Teor"/>
      <sheetName val="comp1"/>
      <sheetName val="SIIG 2010-Jun"/>
      <sheetName val="Estimativa"/>
      <sheetName val=""/>
      <sheetName val="[OR960887.XLS][OR960887.XLS]//l"/>
      <sheetName val="Carimbo de Nota"/>
      <sheetName val="FLUXO - EXECUÇÃO PRÓPRIA"/>
      <sheetName val="CUSTO LARANJEIRAS"/>
      <sheetName val="8ª MP_BR_459"/>
      <sheetName val="DSS_04"/>
      <sheetName val="PintLigacao"/>
      <sheetName val="PMQ"/>
      <sheetName val="STC_01"/>
      <sheetName val="P A T O"/>
      <sheetName val="RESUMO_AUT1"/>
      <sheetName val="8ª MP_BR-459"/>
      <sheetName val="PLANILHA"/>
      <sheetName val="SICRO"/>
      <sheetName val="RECOMPOSIÇÃO MAN"/>
      <sheetName val="P1Q2"/>
      <sheetName val="#REF"/>
      <sheetName val="DBS"/>
      <sheetName val="Resumo Financeiro"/>
      <sheetName val="Índices de Reajustamento"/>
      <sheetName val="TB"/>
      <sheetName val="TB _BG_"/>
      <sheetName val="RemProf"/>
      <sheetName val="P A T O 98 D"/>
      <sheetName val="01-02-03-Julho"/>
      <sheetName val="PQ"/>
      <sheetName val="Quantidades e Preços - Lote 01"/>
      <sheetName val="PLANILHA ATUALIZADA"/>
      <sheetName val="Especif"/>
      <sheetName val="08-IND. FÍSICOS"/>
      <sheetName val="_OR960887.XLS__OR960887.XLS__OR"/>
      <sheetName val="BANCO"/>
      <sheetName val="padrão salarial"/>
      <sheetName val="Resumo"/>
      <sheetName val="Cad.Fornecedore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ASTRO ESQ."/>
      <sheetName val="ESQUADRIAS"/>
      <sheetName val="DMT"/>
      <sheetName val="SERVIÇOS PRELIMINARES"/>
      <sheetName val="MEMORIAL"/>
      <sheetName val="VERGAS"/>
      <sheetName val="BANCADAS-INTERNAS"/>
      <sheetName val="URBANO"/>
      <sheetName val="DIVISÓRIAS - WC'S"/>
      <sheetName val="URBANO DEMOLIÇÕES"/>
      <sheetName val="DREN. ESTACIONAMENTO"/>
      <sheetName val="COTAÇÕES"/>
    </sheetNames>
    <sheetDataSet>
      <sheetData sheetId="0" refreshError="1"/>
      <sheetData sheetId="1" refreshError="1"/>
      <sheetData sheetId="2"/>
      <sheetData sheetId="3" refreshError="1"/>
      <sheetData sheetId="4">
        <row r="67">
          <cell r="X67" t="str">
            <v>3 - Concreto 10cm</v>
          </cell>
          <cell r="AB67" t="str">
            <v>1. PL. OVELHA</v>
          </cell>
          <cell r="AE67" t="str">
            <v>1. Gesso comum</v>
          </cell>
        </row>
        <row r="68">
          <cell r="X68" t="str">
            <v xml:space="preserve"> 4 - Granito preto São Gabriel</v>
          </cell>
          <cell r="AB68" t="str">
            <v>2. RT. PADRÃO 60X60 (2cm)</v>
          </cell>
        </row>
        <row r="69">
          <cell r="X69" t="str">
            <v>2 - Piso vinílico 2cm</v>
          </cell>
          <cell r="AB69" t="str">
            <v>3. PP. PRETO ABSOLUTO</v>
          </cell>
        </row>
        <row r="70">
          <cell r="X70" t="str">
            <v>1 - Porcelanato 60x60</v>
          </cell>
          <cell r="AB70" t="str">
            <v>4. PP. AZUL ESCURO</v>
          </cell>
        </row>
        <row r="71">
          <cell r="AB71" t="str">
            <v>5. PP. PINTURA EXTERNA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"/>
      <sheetName val="FV-DNER"/>
      <sheetName val="orçamento_global"/>
      <sheetName val="FIDENS-R$mil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P A T O 98 D"/>
      <sheetName val="Quantidades e Preços - Lote 01"/>
      <sheetName val="QuQuant"/>
      <sheetName val="DG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MEDIÇÃO.XLS"/>
      <sheetName val="FICHA.XLS"/>
      <sheetName val="CONTROLE MEDI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FX-B-REST"/>
      <sheetName val="CUSTO ZONA SUL"/>
      <sheetName val="RESUMO_AUT1"/>
      <sheetName val="Mat"/>
      <sheetName val="PROJETO"/>
      <sheetName val="Compactação  botafora"/>
      <sheetName val="Qd05 Preço"/>
      <sheetName val="Qd06"/>
      <sheetName val="memória de calculo_liquida"/>
      <sheetName val="DADOS"/>
      <sheetName val="RECOMPOSIÇÃO MAN"/>
      <sheetName val="quadro mat. betumin.(abil-21)"/>
      <sheetName val="CROQUI"/>
      <sheetName val="MEMO2"/>
      <sheetName val="NER"/>
      <sheetName val="TRANSP"/>
      <sheetName val="f. mediçao"/>
      <sheetName val="correção"/>
      <sheetName val="MBUQ"/>
      <sheetName val="recomp. revest. cbuq"/>
      <sheetName val="TRANSPORTE"/>
      <sheetName val="T. BURACO"/>
      <sheetName val="pro-08"/>
      <sheetName val="Serviços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Dens__médias"/>
      <sheetName val="Dens__teórica"/>
      <sheetName val="CUSTO_ZONA_SUL"/>
    </sheetNames>
    <sheetDataSet>
      <sheetData sheetId="0">
        <row r="3">
          <cell r="A3">
            <v>4</v>
          </cell>
        </row>
      </sheetData>
      <sheetData sheetId="1">
        <row r="3">
          <cell r="A3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A3">
            <v>4</v>
          </cell>
        </row>
      </sheetData>
      <sheetData sheetId="19">
        <row r="3">
          <cell r="A3">
            <v>4</v>
          </cell>
        </row>
      </sheetData>
      <sheetData sheetId="20">
        <row r="3">
          <cell r="A3">
            <v>4</v>
          </cell>
          <cell r="B3">
            <v>8.0329999999999995</v>
          </cell>
          <cell r="C3">
            <v>53.398000000000003</v>
          </cell>
        </row>
        <row r="4">
          <cell r="A4">
            <v>4.5</v>
          </cell>
          <cell r="B4">
            <v>6.57</v>
          </cell>
          <cell r="C4">
            <v>61.369</v>
          </cell>
        </row>
        <row r="5">
          <cell r="A5">
            <v>5</v>
          </cell>
          <cell r="B5">
            <v>5.3609999999999998</v>
          </cell>
          <cell r="C5">
            <v>68.516000000000005</v>
          </cell>
        </row>
        <row r="6">
          <cell r="A6">
            <v>5.5</v>
          </cell>
          <cell r="B6">
            <v>4.9109999999999996</v>
          </cell>
          <cell r="C6">
            <v>72.241</v>
          </cell>
        </row>
        <row r="7">
          <cell r="A7">
            <v>6</v>
          </cell>
          <cell r="B7">
            <v>4.0279999999999996</v>
          </cell>
          <cell r="C7">
            <v>77.608999999999995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3">
          <cell r="A3">
            <v>4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3">
          <cell r="A3">
            <v>4</v>
          </cell>
        </row>
      </sheetData>
      <sheetData sheetId="6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ção Rodovias  Ferrovias"/>
      <sheetName val="Materiais e Equipamentos"/>
      <sheetName val="Municípios ISS"/>
      <sheetName val="TPU-MARÇO_2002"/>
      <sheetName val="AQ_CAP"/>
      <sheetName val="AQ_CM30"/>
      <sheetName val="AQ_RC1C"/>
      <sheetName val="AQ_RR1C"/>
      <sheetName val="AQ_RR2C"/>
      <sheetName val="Inst. de Canteiro"/>
      <sheetName val="5 S 02 540 71"/>
      <sheetName val="CBUQ Sem codigo"/>
      <sheetName val="SINAPI"/>
      <sheetName val="Q15-Manut-1° Ano"/>
      <sheetName val="Q15-Manut-2° Ano"/>
      <sheetName val="2 S 04 940 02"/>
      <sheetName val="DMT"/>
      <sheetName val="DADOS"/>
      <sheetName val="5 S 02 300 00"/>
      <sheetName val="TRANSP MB"/>
      <sheetName val="Manut. Canteiro"/>
      <sheetName val="2 S 04 910 55"/>
      <sheetName val="5 S 02 511 52"/>
      <sheetName val="5 S 02 511 51"/>
      <sheetName val="4 S 06 100 11"/>
      <sheetName val="3 S 08 401 00"/>
      <sheetName val="3 S 08 200 50"/>
      <sheetName val="2 S 04 900 01"/>
      <sheetName val="T_CAP"/>
      <sheetName val="T_CM30"/>
      <sheetName val="T_RC1C"/>
      <sheetName val="T_RR1C"/>
      <sheetName val="T_RR2C"/>
      <sheetName val="2 S 04 401 01"/>
    </sheetNames>
    <sheetDataSet>
      <sheetData sheetId="0"/>
      <sheetData sheetId="1"/>
      <sheetData sheetId="2">
        <row r="2">
          <cell r="A2" t="str">
            <v>Água Clara</v>
          </cell>
        </row>
        <row r="3">
          <cell r="A3" t="str">
            <v>Alcinópolis</v>
          </cell>
        </row>
        <row r="4">
          <cell r="A4" t="str">
            <v>Amambai</v>
          </cell>
        </row>
        <row r="5">
          <cell r="A5" t="str">
            <v>Anastácio</v>
          </cell>
        </row>
        <row r="6">
          <cell r="A6" t="str">
            <v>Anaurilândia</v>
          </cell>
        </row>
        <row r="7">
          <cell r="A7" t="str">
            <v>Angélica</v>
          </cell>
        </row>
        <row r="8">
          <cell r="A8" t="str">
            <v>Antonio João</v>
          </cell>
        </row>
        <row r="9">
          <cell r="A9" t="str">
            <v>Aparecida do Taboado</v>
          </cell>
        </row>
        <row r="10">
          <cell r="A10" t="str">
            <v>Aquidauana</v>
          </cell>
        </row>
        <row r="11">
          <cell r="A11" t="str">
            <v>Aral Moreira</v>
          </cell>
        </row>
        <row r="12">
          <cell r="A12" t="str">
            <v>Bandeirantes</v>
          </cell>
        </row>
        <row r="13">
          <cell r="A13" t="str">
            <v>Bataguassu</v>
          </cell>
        </row>
        <row r="14">
          <cell r="A14" t="str">
            <v>Batayporã</v>
          </cell>
        </row>
        <row r="15">
          <cell r="A15" t="str">
            <v>Bela Vista</v>
          </cell>
        </row>
        <row r="16">
          <cell r="A16" t="str">
            <v>Bodoquena</v>
          </cell>
        </row>
        <row r="17">
          <cell r="A17" t="str">
            <v>Bonito</v>
          </cell>
        </row>
        <row r="18">
          <cell r="A18" t="str">
            <v>Brasilândia</v>
          </cell>
        </row>
        <row r="19">
          <cell r="A19" t="str">
            <v>Caarapó</v>
          </cell>
        </row>
        <row r="20">
          <cell r="A20" t="str">
            <v>Camapuã</v>
          </cell>
        </row>
        <row r="21">
          <cell r="A21" t="str">
            <v>Campo Grande</v>
          </cell>
        </row>
        <row r="22">
          <cell r="A22" t="str">
            <v>Caracol</v>
          </cell>
        </row>
        <row r="23">
          <cell r="A23" t="str">
            <v>Cassilândia</v>
          </cell>
        </row>
        <row r="24">
          <cell r="A24" t="str">
            <v>Chapadão do Sul</v>
          </cell>
        </row>
        <row r="25">
          <cell r="A25" t="str">
            <v>Corguinho</v>
          </cell>
        </row>
        <row r="26">
          <cell r="A26" t="str">
            <v>Coronel Sapucaia</v>
          </cell>
        </row>
        <row r="27">
          <cell r="A27" t="str">
            <v>Corumbá</v>
          </cell>
        </row>
        <row r="28">
          <cell r="A28" t="str">
            <v>Costa Rica</v>
          </cell>
        </row>
        <row r="29">
          <cell r="A29" t="str">
            <v>Coxim</v>
          </cell>
        </row>
        <row r="30">
          <cell r="A30" t="str">
            <v>Deodápolis</v>
          </cell>
        </row>
        <row r="31">
          <cell r="A31" t="str">
            <v>Dois Irmãos do Buriti</v>
          </cell>
        </row>
        <row r="32">
          <cell r="A32" t="str">
            <v>Douradina</v>
          </cell>
        </row>
        <row r="33">
          <cell r="A33" t="str">
            <v>Dourados</v>
          </cell>
        </row>
        <row r="34">
          <cell r="A34" t="str">
            <v>Eldorado</v>
          </cell>
        </row>
        <row r="35">
          <cell r="A35" t="str">
            <v>Fátima do Sul</v>
          </cell>
        </row>
        <row r="36">
          <cell r="A36" t="str">
            <v>Figueirão</v>
          </cell>
        </row>
        <row r="37">
          <cell r="A37" t="str">
            <v>Glória de Dourados</v>
          </cell>
        </row>
        <row r="38">
          <cell r="A38" t="str">
            <v>Guia Lopes da Laguna</v>
          </cell>
        </row>
        <row r="39">
          <cell r="A39" t="str">
            <v>Iguatemi</v>
          </cell>
        </row>
        <row r="40">
          <cell r="A40" t="str">
            <v>Inocência</v>
          </cell>
        </row>
        <row r="41">
          <cell r="A41" t="str">
            <v>Itaporã</v>
          </cell>
        </row>
        <row r="42">
          <cell r="A42" t="str">
            <v>Itaquiraí</v>
          </cell>
        </row>
        <row r="43">
          <cell r="A43" t="str">
            <v>Ivinhema</v>
          </cell>
        </row>
        <row r="44">
          <cell r="A44" t="str">
            <v>Japorã</v>
          </cell>
        </row>
        <row r="45">
          <cell r="A45" t="str">
            <v>Jaraguari</v>
          </cell>
        </row>
        <row r="46">
          <cell r="A46" t="str">
            <v>Jardim</v>
          </cell>
        </row>
        <row r="47">
          <cell r="A47" t="str">
            <v>Jateí</v>
          </cell>
        </row>
        <row r="48">
          <cell r="A48" t="str">
            <v>Juti</v>
          </cell>
        </row>
        <row r="49">
          <cell r="A49" t="str">
            <v>Ladário</v>
          </cell>
        </row>
        <row r="50">
          <cell r="A50" t="str">
            <v>Laguna Carapã</v>
          </cell>
        </row>
        <row r="51">
          <cell r="A51" t="str">
            <v>Maracaju</v>
          </cell>
        </row>
        <row r="52">
          <cell r="A52" t="str">
            <v>Miranda</v>
          </cell>
        </row>
        <row r="53">
          <cell r="A53" t="str">
            <v>Mundo Novo</v>
          </cell>
        </row>
        <row r="54">
          <cell r="A54" t="str">
            <v>Naviraí</v>
          </cell>
        </row>
        <row r="55">
          <cell r="A55" t="str">
            <v>Nioaque</v>
          </cell>
        </row>
        <row r="56">
          <cell r="A56" t="str">
            <v>Nova Alvorada do Sul</v>
          </cell>
        </row>
        <row r="57">
          <cell r="A57" t="str">
            <v>Nova Andradina</v>
          </cell>
        </row>
        <row r="58">
          <cell r="A58" t="str">
            <v>Novo Horizonte do Sul</v>
          </cell>
        </row>
        <row r="59">
          <cell r="A59" t="str">
            <v>Paraíso das Águas</v>
          </cell>
        </row>
        <row r="60">
          <cell r="A60" t="str">
            <v>Paranaíba</v>
          </cell>
        </row>
        <row r="61">
          <cell r="A61" t="str">
            <v>Paranhos</v>
          </cell>
        </row>
        <row r="62">
          <cell r="A62" t="str">
            <v>Pedro Gomes</v>
          </cell>
        </row>
        <row r="63">
          <cell r="A63" t="str">
            <v>Ponta Porã</v>
          </cell>
        </row>
        <row r="64">
          <cell r="A64" t="str">
            <v>Porto Murtinho</v>
          </cell>
        </row>
        <row r="65">
          <cell r="A65" t="str">
            <v>Ribas do Rio Pardo</v>
          </cell>
        </row>
        <row r="66">
          <cell r="A66" t="str">
            <v>Rio Brilhante</v>
          </cell>
        </row>
        <row r="67">
          <cell r="A67" t="str">
            <v>Rio Negro</v>
          </cell>
        </row>
        <row r="68">
          <cell r="A68" t="str">
            <v>Rio Verde de Mato Grosso</v>
          </cell>
        </row>
        <row r="69">
          <cell r="A69" t="str">
            <v>Rochedo</v>
          </cell>
        </row>
        <row r="70">
          <cell r="A70" t="str">
            <v>Santa Rita do Pardo</v>
          </cell>
        </row>
        <row r="71">
          <cell r="A71" t="str">
            <v>São Gabriel do Oeste</v>
          </cell>
        </row>
        <row r="72">
          <cell r="A72" t="str">
            <v>Selvíria</v>
          </cell>
        </row>
        <row r="73">
          <cell r="A73" t="str">
            <v>Sete Quedas</v>
          </cell>
        </row>
        <row r="74">
          <cell r="A74" t="str">
            <v>Sidrolândia</v>
          </cell>
        </row>
        <row r="75">
          <cell r="A75" t="str">
            <v>Sonora</v>
          </cell>
        </row>
        <row r="76">
          <cell r="A76" t="str">
            <v>Tacuru</v>
          </cell>
        </row>
        <row r="77">
          <cell r="A77" t="str">
            <v>Taquarussu</v>
          </cell>
        </row>
        <row r="78">
          <cell r="A78" t="str">
            <v>Terenos</v>
          </cell>
        </row>
        <row r="79">
          <cell r="A79" t="str">
            <v>Três Lagoas</v>
          </cell>
        </row>
        <row r="80">
          <cell r="A80" t="str">
            <v>Vicentina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OMPANHAMENTO"/>
      <sheetName val="Dados"/>
      <sheetName val="AQ_CAP"/>
      <sheetName val="AQ_CM30"/>
      <sheetName val="AQ_RC1C"/>
      <sheetName val="AQ_RR1C"/>
      <sheetName val="AQ_RR2C"/>
      <sheetName val="Inst. de Canteiro"/>
      <sheetName val="5 S 02 540 71"/>
      <sheetName val="CBUQ Sem codigo"/>
      <sheetName val="SINAPI"/>
      <sheetName val="Q15-Manut-1° Ano"/>
      <sheetName val="Q15-Manut-2° Ano"/>
      <sheetName val="2 S 04 940 02"/>
      <sheetName val="DMT"/>
      <sheetName val="5 S 02 300 00"/>
      <sheetName val="TRANSP MB"/>
      <sheetName val="Manut. Canteiro"/>
      <sheetName val="2 S 04 910 55"/>
      <sheetName val="5 S 02 511 52"/>
      <sheetName val="5 S 02 511 51"/>
      <sheetName val="4 S 06 100 11"/>
      <sheetName val="3 S 08 401 00"/>
      <sheetName val="3 S 08 200 50"/>
      <sheetName val="2 S 04 900 01"/>
      <sheetName val="T_CAP"/>
      <sheetName val="T_CM30"/>
      <sheetName val="T_RC1C"/>
      <sheetName val="T_RR1C"/>
      <sheetName val="T_RR2C"/>
      <sheetName val="2 S 04 401 01"/>
      <sheetName val="DESEMP 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  <sheetName val="CS#"/>
      <sheetName val="f. mediçao"/>
      <sheetName val="Vínculo (2)"/>
      <sheetName val="original"/>
    </sheetNames>
    <sheetDataSet>
      <sheetData sheetId="0"/>
      <sheetData sheetId="1">
        <row r="1">
          <cell r="B1" t="str">
            <v>035/2004-08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RELAT610"/>
      <sheetName val="PQ"/>
      <sheetName val="PROJETO BR_146 (2)"/>
      <sheetName val="CARTA PROPOSTA"/>
      <sheetName val="TABELA"/>
      <sheetName val="PLANILHA CONTRATUAL"/>
      <sheetName val="Quadro de qntd"/>
      <sheetName val="Teor"/>
      <sheetName val="lista_comp"/>
      <sheetName val="FIDENS-R$mil"/>
      <sheetName val="PROJETO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8ª MP_BR_459"/>
      <sheetName val="8ª MP_BR-459"/>
      <sheetName val="Medição"/>
      <sheetName val="geral"/>
      <sheetName val="Mat. Betum. - Port. 1078.15"/>
      <sheetName val="RESUMO"/>
      <sheetName val="Orçamento"/>
      <sheetName val="PT"/>
      <sheetName val="Mat"/>
      <sheetName val="Planilha de Medição"/>
      <sheetName val="TCB5"/>
      <sheetName val="PLANILHA ATUALIZADA"/>
      <sheetName val="TRANSP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PT"/>
      <sheetName val="CANAA"/>
      <sheetName val="PROJETO"/>
      <sheetName val="Orçamento"/>
      <sheetName val="RESUMO DE MEDIÇÃO"/>
      <sheetName val="PATO"/>
      <sheetName val="Medição"/>
      <sheetName val="Medição Completa"/>
      <sheetName val="QQuant-Vol1_(2)"/>
      <sheetName val="RECOMPOSIÇÃO MAN"/>
      <sheetName val="MATRIZ"/>
      <sheetName val="CANAA.XLS"/>
      <sheetName val="\G\Users\eduardoiunes\Documents"/>
      <sheetName val="CAPACIDADES"/>
      <sheetName val="PROJETO BR_146 (2)"/>
      <sheetName val="PRO-08"/>
      <sheetName val="BD Equip."/>
      <sheetName val="C"/>
      <sheetName val="P AUX 01-FERRAGENS"/>
      <sheetName val="P AUX 02-PINTURA"/>
      <sheetName val="8ª MP_BR-459"/>
      <sheetName val="8ª MP_BR_459"/>
      <sheetName val="[CANAA.XLS][CANAA.XLS][CANAA.XL"/>
      <sheetName val="[CANAA.XLS][CANAA.XLS]\G\Users\"/>
      <sheetName val="[CANAA.XLS]\G\Users\eduardoiune"/>
      <sheetName val="TPU-MARÇO_2002"/>
      <sheetName val="CBUQ DRENO LONGIT RECOBRIMENTO"/>
      <sheetName val="DAR-01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Q"/>
      <sheetName val="MB"/>
      <sheetName val="CORDEF-163"/>
      <sheetName val="QUADRO COMPARATIVO"/>
      <sheetName val="[CANAA.XLS]_G_Users_eduardoiu_2"/>
      <sheetName val="Teor"/>
      <sheetName val="Equipamentos"/>
      <sheetName val="CADASTRO"/>
      <sheetName val="[CANAA.XLS][CANAA.XLS]_CANAA__2"/>
      <sheetName val="Resumo_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TRANSPORTE"/>
      <sheetName val="MBUQ"/>
      <sheetName val="Avanço Físico"/>
      <sheetName val="BOLETIM"/>
      <sheetName val="Relatconsv"/>
      <sheetName val="Relatconsv (2)"/>
      <sheetName val="Contr. veículo"/>
      <sheetName val="T. BURACO"/>
      <sheetName val="Roç. Man."/>
      <sheetName val="Roç. Man. CC"/>
      <sheetName val="Roç. Mec."/>
      <sheetName val="Capina Man."/>
      <sheetName val="REV. VEGETAL"/>
      <sheetName val="Recomp. revest. CBUQ"/>
      <sheetName val="SOLO"/>
      <sheetName val="LIMP.DESOB.BUE E ESCAVAÇ."/>
      <sheetName val="CONCRETO"/>
      <sheetName val="ENROCAMENTO JOGADO"/>
      <sheetName val="RECOMP.MANUAL"/>
      <sheetName val="REM. MECANIZADO"/>
      <sheetName val="correção"/>
      <sheetName val="Rem. Mat. Betum."/>
      <sheetName val="TSS"/>
      <sheetName val="LIMP. MEIO FIO"/>
      <sheetName val="LIMP.VALA-grama"/>
      <sheetName val="PONTE E CAIAÇÃO"/>
      <sheetName val="REM. MANUAL"/>
      <sheetName val="CONCRETO ciclópico"/>
      <sheetName val="ENROCAMENTO ARRUM."/>
      <sheetName val="RECOMP.MEC."/>
      <sheetName val="Plan2 (2)"/>
      <sheetName val="A"/>
      <sheetName val="ORÇAMENTO"/>
      <sheetName val="TPU-MARÇO_2002"/>
      <sheetName val="Vínculo (2)"/>
    </sheetNames>
    <sheetDataSet>
      <sheetData sheetId="0" refreshError="1">
        <row r="131">
          <cell r="C131" t="str">
            <v>01/07/08 à  31/07/08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 Sarjeta"/>
      <sheetName val="Auxiliar Valeta"/>
      <sheetName val="MC BUEIRO"/>
      <sheetName val="DMT"/>
      <sheetName val="Pesos"/>
      <sheetName val="MC Drenagem (Rede)"/>
      <sheetName val="MC Sarjeta"/>
      <sheetName val="MC Valeta"/>
      <sheetName val="QR Bueiro"/>
      <sheetName val="NS Sarjeta"/>
      <sheetName val="NS Valeta"/>
      <sheetName val="NS Meio-fio"/>
      <sheetName val="NS Descidas"/>
      <sheetName val="NS CLP-CCS"/>
      <sheetName val="NS Disp. Drenagem"/>
      <sheetName val="NS Vertedouro"/>
    </sheetNames>
    <sheetDataSet>
      <sheetData sheetId="0"/>
      <sheetData sheetId="1"/>
      <sheetData sheetId="2"/>
      <sheetData sheetId="3">
        <row r="5">
          <cell r="F5">
            <v>8.5</v>
          </cell>
        </row>
      </sheetData>
      <sheetData sheetId="4">
        <row r="6">
          <cell r="G6">
            <v>1.3</v>
          </cell>
        </row>
        <row r="9">
          <cell r="G9">
            <v>1.4</v>
          </cell>
        </row>
      </sheetData>
      <sheetData sheetId="5"/>
      <sheetData sheetId="6"/>
      <sheetData sheetId="7"/>
      <sheetData sheetId="8"/>
      <sheetData sheetId="9"/>
      <sheetData sheetId="10">
        <row r="12">
          <cell r="K12"/>
        </row>
      </sheetData>
      <sheetData sheetId="11"/>
      <sheetData sheetId="12">
        <row r="20">
          <cell r="H20">
            <v>12</v>
          </cell>
        </row>
      </sheetData>
      <sheetData sheetId="13">
        <row r="13">
          <cell r="H13">
            <v>4</v>
          </cell>
        </row>
      </sheetData>
      <sheetData sheetId="14"/>
      <sheetData sheetId="15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 BR_146 (2)"/>
      <sheetName val="C"/>
      <sheetName val="BD Equip."/>
      <sheetName val="CANAA"/>
      <sheetName val="PATO"/>
      <sheetName val="Medição"/>
      <sheetName val="Medição Completa"/>
      <sheetName val="RESUMO_AUT1"/>
      <sheetName val="QQuant-Vol1_(2)"/>
      <sheetName val="RECOMPOSIÇÃO MAN"/>
      <sheetName val="MATRIZ"/>
      <sheetName val="CANAA.XLS"/>
      <sheetName val="\G\Users\eduardoiunes\Documents"/>
      <sheetName val="RESUMO-DVOP"/>
      <sheetName val="CAPACIDADES"/>
      <sheetName val="[CANAA.XLS]\G\Users\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8ª MP_BR-459"/>
      <sheetName val="8ª MP_BR_459"/>
      <sheetName val="RESUMO DE MEDIÇÃO"/>
      <sheetName val="PRO-08"/>
      <sheetName val="P AUX 01-FERRAGENS"/>
      <sheetName val="P AUX 02-PINTURA"/>
      <sheetName val="[CANAA.XLS][CANAA.XLS][CANAA.XL"/>
      <sheetName val="[CANAA.XLS][CANAA.XLS]\G\Users\"/>
      <sheetName val="TPU-MARÇO_2002"/>
      <sheetName val="CBUQ DRENO LONGIT RECOBRIMENTO"/>
      <sheetName val="DAR-01"/>
      <sheetName val="MB"/>
      <sheetName val="CORDEF-163"/>
      <sheetName val="Teor"/>
      <sheetName val="Equipamentos"/>
      <sheetName val="CADASTRO"/>
      <sheetName val="[CANAA.XLS]_G_Users_eduardoiu_2"/>
      <sheetName val="PQ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SERVIÇOS - PATO"/>
      <sheetName val="Orçamento"/>
      <sheetName val="QUANT. CUSTO"/>
      <sheetName val="Inv."/>
      <sheetName val="Inv.I"/>
      <sheetName val="justificativa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MR"/>
      <sheetName val="TLMB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Equip."/>
      <sheetName val="M Obra"/>
      <sheetName val="Materiais"/>
      <sheetName val="projeto"/>
      <sheetName val="origi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32">
          <cell r="E32">
            <v>39142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</sheetNames>
    <sheetDataSet>
      <sheetData sheetId="0"/>
      <sheetData sheetId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INVENT"/>
      <sheetName val="SERVIÇOS"/>
      <sheetName val="ORÇAMENT"/>
      <sheetName val="CRONOG1º"/>
      <sheetName val="CRONOG2º"/>
      <sheetName val="MEMÓRIA"/>
      <sheetName val="MAT BETUM"/>
      <sheetName val="TRANSP  BETUM"/>
      <sheetName val="TCC4"/>
      <sheetName val="TCB5"/>
      <sheetName val="TCB10"/>
      <sheetName val="TLMR"/>
      <sheetName val="TBMB"/>
      <sheetName val="Plan1"/>
      <sheetName val="INDICES"/>
      <sheetName val="Quadro DMT"/>
      <sheetName val="Custos Unitarios"/>
      <sheetName val="resumo_aut1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1">
          <cell r="C131" t="str">
            <v>BR-262/MS</v>
          </cell>
        </row>
        <row r="136">
          <cell r="C136" t="str">
            <v>BR-262 (KM 657,6- KM 783)</v>
          </cell>
        </row>
      </sheetData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dados"/>
      <sheetName val="A"/>
      <sheetName val="INVENTÁRIO"/>
      <sheetName val="DESEMP AN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F122">
            <v>0</v>
          </cell>
          <cell r="G122">
            <v>0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F123">
            <v>0</v>
          </cell>
          <cell r="G123">
            <v>0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F124">
            <v>0</v>
          </cell>
          <cell r="G124">
            <v>0</v>
          </cell>
        </row>
        <row r="125">
          <cell r="A125" t="str">
            <v>COMPOSIÇÕES AUXILIARES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E126">
            <v>0.97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E127">
            <v>0.06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E128">
            <v>0.66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E129">
            <v>0.05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E130">
            <v>12.57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E131">
            <v>146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E132">
            <v>145.64000000000001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E133">
            <v>163.38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E134">
            <v>177.85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E135">
            <v>181.90999999999997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E136">
            <v>168.03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E137">
            <v>154.82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E138">
            <v>136.55000000000001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E139">
            <v>1.65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E140">
            <v>17.650000000000002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E141">
            <v>13.209999999999999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E142">
            <v>2.9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E143">
            <v>7.7600000000000007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E144">
            <v>7.26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E145">
            <v>93.47999999999999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E147">
            <v>84.77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E148">
            <v>69.460000000000008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E149">
            <v>0.78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E150">
            <v>4.63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E151">
            <v>180.84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H152" t="str">
            <v>Custos Básicos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"/>
      <sheetName val="PLAN-sipom"/>
      <sheetName val="Dr.Gilson"/>
      <sheetName val="&lt;=até aqui"/>
      <sheetName val="Dados"/>
      <sheetName val="CCHE"/>
      <sheetName val="Crono "/>
      <sheetName val="BDI "/>
      <sheetName val="ES"/>
      <sheetName val="MObra"/>
      <sheetName val="calc.binder capa c.asfalto"/>
      <sheetName val="TABELA"/>
      <sheetName val="PLANILHA DE QUANT. E CUSTOS A"/>
      <sheetName val="Dr_Gilson"/>
      <sheetName val="&lt;=até_aqui"/>
      <sheetName val="Crono_"/>
      <sheetName val="BDI_"/>
      <sheetName val="calc_binder_capa_c_asfalto"/>
      <sheetName val="PLANILHA_DE_QUANT__E_CUSTOS_A"/>
      <sheetName val="Serviços"/>
      <sheetName val="medição"/>
      <sheetName val="61M-CBMI"/>
      <sheetName val="MAT-BET"/>
      <sheetName val="SICRO"/>
      <sheetName val="Cronograma (VALENDO)"/>
      <sheetName val="trans_betum_CGB_EXCEDENTE"/>
      <sheetName val="P A T O  D"/>
      <sheetName val="Dados Informativos"/>
      <sheetName val="Mat. Betum. - Port. 1078.15"/>
      <sheetName val="Reajustamento "/>
      <sheetName val="Sub Base"/>
      <sheetName val="PATO"/>
      <sheetName val="Ativos"/>
      <sheetName val="Calendário"/>
      <sheetName val="DG"/>
      <sheetName val="Croqui"/>
      <sheetName val="Banco de Dados"/>
      <sheetName val="MEMÓRIA HORISTA "/>
      <sheetName val="calc.binder capa c.asfalto L-34"/>
      <sheetName val="dreno sub-hor.-transp&gt;3km"/>
      <sheetName val="CAP-20"/>
      <sheetName val="Mat Asf"/>
      <sheetName val="RELATÓRIO"/>
      <sheetName val="Especif"/>
      <sheetName val="projeto"/>
      <sheetName val="f. mediçao"/>
      <sheetName val="correção"/>
      <sheetName val="MBUQ"/>
      <sheetName val="recomp. revest. cbuq"/>
      <sheetName val="TRANSPORTE"/>
      <sheetName val="T. BURACO"/>
      <sheetName val="INVENTÁRIO"/>
      <sheetName val="Vínculo (2)"/>
    </sheetNames>
    <sheetDataSet>
      <sheetData sheetId="0">
        <row r="1">
          <cell r="A1">
            <v>0</v>
          </cell>
        </row>
      </sheetData>
      <sheetData sheetId="1">
        <row r="1">
          <cell r="A1">
            <v>0</v>
          </cell>
        </row>
      </sheetData>
      <sheetData sheetId="2"/>
      <sheetData sheetId="3"/>
      <sheetData sheetId="4"/>
      <sheetData sheetId="5">
        <row r="6">
          <cell r="B6" t="str">
            <v>Sobrenco Engenharia e Comércio Ltda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1">
          <cell r="A1">
            <v>0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</row>
        <row r="2">
          <cell r="A2">
            <v>1</v>
          </cell>
          <cell r="B2" t="str">
            <v xml:space="preserve">um milhão, </v>
          </cell>
          <cell r="C2" t="str">
            <v xml:space="preserve">um mil, </v>
          </cell>
          <cell r="D2" t="str">
            <v>um</v>
          </cell>
          <cell r="E2" t="str">
            <v>um centavo</v>
          </cell>
        </row>
        <row r="3">
          <cell r="A3">
            <v>2</v>
          </cell>
          <cell r="B3" t="str">
            <v xml:space="preserve">dois milhões, </v>
          </cell>
          <cell r="C3" t="str">
            <v xml:space="preserve">dois mil, </v>
          </cell>
          <cell r="D3" t="str">
            <v>dois</v>
          </cell>
          <cell r="E3" t="str">
            <v>dois centavos</v>
          </cell>
        </row>
        <row r="4">
          <cell r="A4">
            <v>3</v>
          </cell>
          <cell r="B4" t="str">
            <v xml:space="preserve">tres milhões, </v>
          </cell>
          <cell r="C4" t="str">
            <v xml:space="preserve">tres mil, </v>
          </cell>
          <cell r="D4" t="str">
            <v>tres</v>
          </cell>
          <cell r="E4" t="str">
            <v>tres centavos</v>
          </cell>
        </row>
        <row r="5">
          <cell r="A5">
            <v>4</v>
          </cell>
          <cell r="B5" t="str">
            <v xml:space="preserve">quatro milhões, </v>
          </cell>
          <cell r="C5" t="str">
            <v xml:space="preserve">quatro mil, </v>
          </cell>
          <cell r="D5" t="str">
            <v>quatro</v>
          </cell>
          <cell r="E5" t="str">
            <v>quatro centavos</v>
          </cell>
        </row>
        <row r="6">
          <cell r="A6">
            <v>5</v>
          </cell>
          <cell r="B6" t="str">
            <v xml:space="preserve">cinco milhões, </v>
          </cell>
          <cell r="C6" t="str">
            <v xml:space="preserve">cinco mil, </v>
          </cell>
          <cell r="D6" t="str">
            <v>cinco</v>
          </cell>
          <cell r="E6" t="str">
            <v>cinco centavos</v>
          </cell>
        </row>
        <row r="7">
          <cell r="A7">
            <v>6</v>
          </cell>
          <cell r="B7" t="str">
            <v xml:space="preserve">seis milhões, </v>
          </cell>
          <cell r="C7" t="str">
            <v xml:space="preserve">seis mil, </v>
          </cell>
          <cell r="D7" t="str">
            <v>seis</v>
          </cell>
          <cell r="E7" t="str">
            <v>seis centavos</v>
          </cell>
        </row>
        <row r="8">
          <cell r="A8">
            <v>7</v>
          </cell>
          <cell r="B8" t="str">
            <v xml:space="preserve">sete milhões, </v>
          </cell>
          <cell r="C8" t="str">
            <v xml:space="preserve">sete mil, </v>
          </cell>
          <cell r="D8" t="str">
            <v>sete</v>
          </cell>
          <cell r="E8" t="str">
            <v>sete centavos</v>
          </cell>
        </row>
        <row r="9">
          <cell r="A9">
            <v>8</v>
          </cell>
          <cell r="B9" t="str">
            <v xml:space="preserve">oito milhões, </v>
          </cell>
          <cell r="C9" t="str">
            <v xml:space="preserve">oito mil, </v>
          </cell>
          <cell r="D9" t="str">
            <v>oito</v>
          </cell>
          <cell r="E9" t="str">
            <v>oito centavos</v>
          </cell>
        </row>
        <row r="10">
          <cell r="A10">
            <v>9</v>
          </cell>
          <cell r="B10" t="str">
            <v xml:space="preserve">nove milhões, </v>
          </cell>
          <cell r="C10" t="str">
            <v xml:space="preserve">nove mil, </v>
          </cell>
          <cell r="D10" t="str">
            <v>nove</v>
          </cell>
          <cell r="E10" t="str">
            <v>nove centavos</v>
          </cell>
        </row>
        <row r="11">
          <cell r="A11">
            <v>10</v>
          </cell>
          <cell r="B11" t="str">
            <v xml:space="preserve">dez milhões, </v>
          </cell>
          <cell r="C11" t="str">
            <v xml:space="preserve">dez mil, </v>
          </cell>
          <cell r="D11" t="str">
            <v>dez</v>
          </cell>
          <cell r="E11" t="str">
            <v>dez centavos</v>
          </cell>
        </row>
        <row r="12">
          <cell r="A12">
            <v>11</v>
          </cell>
          <cell r="B12" t="str">
            <v xml:space="preserve">onze milhões, </v>
          </cell>
          <cell r="C12" t="str">
            <v xml:space="preserve">onze mil, </v>
          </cell>
          <cell r="D12" t="str">
            <v>onze</v>
          </cell>
          <cell r="E12" t="str">
            <v>onze centavos</v>
          </cell>
        </row>
        <row r="13">
          <cell r="A13">
            <v>12</v>
          </cell>
          <cell r="B13" t="str">
            <v xml:space="preserve">doze milhões, </v>
          </cell>
          <cell r="C13" t="str">
            <v xml:space="preserve">doze mil, </v>
          </cell>
          <cell r="D13" t="str">
            <v>doze</v>
          </cell>
          <cell r="E13" t="str">
            <v>doze centavos</v>
          </cell>
        </row>
        <row r="14">
          <cell r="A14">
            <v>13</v>
          </cell>
          <cell r="B14" t="str">
            <v xml:space="preserve">treze milhões, </v>
          </cell>
          <cell r="C14" t="str">
            <v xml:space="preserve">treze mil, </v>
          </cell>
          <cell r="D14" t="str">
            <v>treze</v>
          </cell>
          <cell r="E14" t="str">
            <v>treze centavos</v>
          </cell>
        </row>
        <row r="15">
          <cell r="A15">
            <v>14</v>
          </cell>
          <cell r="B15" t="str">
            <v xml:space="preserve">quatorze milhões, </v>
          </cell>
          <cell r="C15" t="str">
            <v xml:space="preserve">quatorze mil, </v>
          </cell>
          <cell r="D15" t="str">
            <v>quatorze</v>
          </cell>
          <cell r="E15" t="str">
            <v>quatorze centavos</v>
          </cell>
        </row>
        <row r="16">
          <cell r="A16">
            <v>15</v>
          </cell>
          <cell r="B16" t="str">
            <v xml:space="preserve">quinze milhões, </v>
          </cell>
          <cell r="C16" t="str">
            <v xml:space="preserve">quinze mil, </v>
          </cell>
          <cell r="D16" t="str">
            <v>quinze</v>
          </cell>
          <cell r="E16" t="str">
            <v>quinze centavos</v>
          </cell>
        </row>
        <row r="17">
          <cell r="A17">
            <v>16</v>
          </cell>
          <cell r="B17" t="str">
            <v xml:space="preserve">dezesseis milhões, </v>
          </cell>
          <cell r="C17" t="str">
            <v xml:space="preserve">dezesseis mil, </v>
          </cell>
          <cell r="D17" t="str">
            <v>dezesseis</v>
          </cell>
          <cell r="E17" t="str">
            <v>dezesseis centavos</v>
          </cell>
        </row>
        <row r="18">
          <cell r="A18">
            <v>17</v>
          </cell>
          <cell r="B18" t="str">
            <v xml:space="preserve">dezessete milhões, </v>
          </cell>
          <cell r="C18" t="str">
            <v xml:space="preserve">dezessete mil, </v>
          </cell>
          <cell r="D18" t="str">
            <v>dezessete</v>
          </cell>
          <cell r="E18" t="str">
            <v>dezessete centavos</v>
          </cell>
        </row>
        <row r="19">
          <cell r="A19">
            <v>18</v>
          </cell>
          <cell r="B19" t="str">
            <v xml:space="preserve">dezoito milhões, </v>
          </cell>
          <cell r="C19" t="str">
            <v xml:space="preserve">dezoito mil, </v>
          </cell>
          <cell r="D19" t="str">
            <v>dezoito</v>
          </cell>
          <cell r="E19" t="str">
            <v>dezoito centavos</v>
          </cell>
        </row>
        <row r="20">
          <cell r="A20">
            <v>19</v>
          </cell>
          <cell r="B20" t="str">
            <v xml:space="preserve">dezenove milhões, </v>
          </cell>
          <cell r="C20" t="str">
            <v xml:space="preserve">dezenove mil, </v>
          </cell>
          <cell r="D20" t="str">
            <v>dezenove</v>
          </cell>
          <cell r="E20" t="str">
            <v>dezenove centavos</v>
          </cell>
        </row>
        <row r="21">
          <cell r="A21">
            <v>20</v>
          </cell>
          <cell r="B21" t="str">
            <v xml:space="preserve">vinte milhões, </v>
          </cell>
          <cell r="C21" t="str">
            <v xml:space="preserve">vinte mil, </v>
          </cell>
          <cell r="D21" t="str">
            <v>vinte</v>
          </cell>
          <cell r="E21" t="str">
            <v>vinte centavos</v>
          </cell>
        </row>
        <row r="22">
          <cell r="A22">
            <v>21</v>
          </cell>
          <cell r="B22" t="str">
            <v xml:space="preserve">vinte e um milhões, </v>
          </cell>
          <cell r="C22" t="str">
            <v xml:space="preserve">vinte e um mil, </v>
          </cell>
          <cell r="D22" t="str">
            <v>vinte e um</v>
          </cell>
          <cell r="E22" t="str">
            <v>vinte e um centavos</v>
          </cell>
        </row>
        <row r="23">
          <cell r="A23">
            <v>22</v>
          </cell>
          <cell r="B23" t="str">
            <v xml:space="preserve">vinte e dois milhões, </v>
          </cell>
          <cell r="C23" t="str">
            <v xml:space="preserve">vinte e dois mil, </v>
          </cell>
          <cell r="D23" t="str">
            <v>vinte e dois</v>
          </cell>
          <cell r="E23" t="str">
            <v>vinte e dois centavos</v>
          </cell>
        </row>
        <row r="24">
          <cell r="A24">
            <v>23</v>
          </cell>
          <cell r="B24" t="str">
            <v xml:space="preserve">vinte e tres milhões, </v>
          </cell>
          <cell r="C24" t="str">
            <v xml:space="preserve">vinte e tres mil, </v>
          </cell>
          <cell r="D24" t="str">
            <v>vinte e tres</v>
          </cell>
          <cell r="E24" t="str">
            <v>vinte e tres centavos</v>
          </cell>
        </row>
        <row r="25">
          <cell r="A25">
            <v>24</v>
          </cell>
          <cell r="B25" t="str">
            <v xml:space="preserve">vinte e quatro milhões, </v>
          </cell>
          <cell r="C25" t="str">
            <v xml:space="preserve">vinte e quatro mil, </v>
          </cell>
          <cell r="D25" t="str">
            <v>vinte e quatro</v>
          </cell>
          <cell r="E25" t="str">
            <v>vinte e quatro centavos</v>
          </cell>
        </row>
        <row r="26">
          <cell r="A26">
            <v>25</v>
          </cell>
          <cell r="B26" t="str">
            <v xml:space="preserve">vinte e cinco milhões, </v>
          </cell>
          <cell r="C26" t="str">
            <v xml:space="preserve">vinte e cinco mil, </v>
          </cell>
          <cell r="D26" t="str">
            <v>vinte e cinco</v>
          </cell>
          <cell r="E26" t="str">
            <v>vinte e cinco centavos</v>
          </cell>
        </row>
        <row r="27">
          <cell r="A27">
            <v>26</v>
          </cell>
          <cell r="B27" t="str">
            <v xml:space="preserve">vinte e seis milhões, </v>
          </cell>
          <cell r="C27" t="str">
            <v xml:space="preserve">vinte e seis mil, </v>
          </cell>
          <cell r="D27" t="str">
            <v>vinte e seis</v>
          </cell>
          <cell r="E27" t="str">
            <v>vinte e seis centavos</v>
          </cell>
        </row>
        <row r="28">
          <cell r="A28">
            <v>27</v>
          </cell>
          <cell r="B28" t="str">
            <v xml:space="preserve">vinte e sete milhões, </v>
          </cell>
          <cell r="C28" t="str">
            <v xml:space="preserve">vinte e sete mil, </v>
          </cell>
          <cell r="D28" t="str">
            <v>vinte e sete</v>
          </cell>
          <cell r="E28" t="str">
            <v>vinte e sete centavos</v>
          </cell>
        </row>
        <row r="29">
          <cell r="A29">
            <v>28</v>
          </cell>
          <cell r="B29" t="str">
            <v xml:space="preserve">vinte e oito milhões, </v>
          </cell>
          <cell r="C29" t="str">
            <v xml:space="preserve">vinte e oito mil, </v>
          </cell>
          <cell r="D29" t="str">
            <v>vinte e oito</v>
          </cell>
          <cell r="E29" t="str">
            <v>vinte e oito centavos</v>
          </cell>
        </row>
        <row r="30">
          <cell r="A30">
            <v>29</v>
          </cell>
          <cell r="B30" t="str">
            <v xml:space="preserve">vinte e nove milhões, </v>
          </cell>
          <cell r="C30" t="str">
            <v xml:space="preserve">vinte e nove mil, </v>
          </cell>
          <cell r="D30" t="str">
            <v>vinte e nove</v>
          </cell>
          <cell r="E30" t="str">
            <v>vinte e nove centavos</v>
          </cell>
        </row>
        <row r="31">
          <cell r="A31">
            <v>30</v>
          </cell>
          <cell r="B31" t="str">
            <v xml:space="preserve">trinta milhões, </v>
          </cell>
          <cell r="C31" t="str">
            <v xml:space="preserve">trinta mil, </v>
          </cell>
          <cell r="D31" t="str">
            <v>trinta</v>
          </cell>
          <cell r="E31" t="str">
            <v>trinta centavos</v>
          </cell>
        </row>
        <row r="32">
          <cell r="A32">
            <v>31</v>
          </cell>
          <cell r="B32" t="str">
            <v xml:space="preserve">trinta e um milhões, </v>
          </cell>
          <cell r="C32" t="str">
            <v xml:space="preserve">trinta e um mil, </v>
          </cell>
          <cell r="D32" t="str">
            <v>trinta e um</v>
          </cell>
          <cell r="E32" t="str">
            <v>trinta e um centavos</v>
          </cell>
        </row>
        <row r="33">
          <cell r="A33">
            <v>32</v>
          </cell>
          <cell r="B33" t="str">
            <v xml:space="preserve">trinta e dois milhões, </v>
          </cell>
          <cell r="C33" t="str">
            <v xml:space="preserve">trinta e dois mil, </v>
          </cell>
          <cell r="D33" t="str">
            <v>trinta e dois</v>
          </cell>
          <cell r="E33" t="str">
            <v>trinta e dois centavos</v>
          </cell>
        </row>
        <row r="34">
          <cell r="A34">
            <v>33</v>
          </cell>
          <cell r="B34" t="str">
            <v xml:space="preserve">trinta e tres milhões, </v>
          </cell>
          <cell r="C34" t="str">
            <v xml:space="preserve">trinta e tres mil, </v>
          </cell>
          <cell r="D34" t="str">
            <v>trinta e tres</v>
          </cell>
          <cell r="E34" t="str">
            <v>trinta e tres centavos</v>
          </cell>
        </row>
        <row r="35">
          <cell r="A35">
            <v>34</v>
          </cell>
          <cell r="B35" t="str">
            <v xml:space="preserve">trinta e quatro milhões, </v>
          </cell>
          <cell r="C35" t="str">
            <v xml:space="preserve">trinta e quatro mil, </v>
          </cell>
          <cell r="D35" t="str">
            <v>trinta e quatro</v>
          </cell>
          <cell r="E35" t="str">
            <v>trinta e quatro centavos</v>
          </cell>
        </row>
        <row r="36">
          <cell r="A36">
            <v>35</v>
          </cell>
          <cell r="B36" t="str">
            <v xml:space="preserve">trinta e cinco milhões, </v>
          </cell>
          <cell r="C36" t="str">
            <v xml:space="preserve">trinta e cinco mil, </v>
          </cell>
          <cell r="D36" t="str">
            <v>trinta e cinco</v>
          </cell>
          <cell r="E36" t="str">
            <v>trinta e cinco centavos</v>
          </cell>
        </row>
        <row r="37">
          <cell r="A37">
            <v>36</v>
          </cell>
          <cell r="B37" t="str">
            <v xml:space="preserve">trinta e seis milhões, </v>
          </cell>
          <cell r="C37" t="str">
            <v xml:space="preserve">trinta e seis mil, </v>
          </cell>
          <cell r="D37" t="str">
            <v>trinta e seis</v>
          </cell>
          <cell r="E37" t="str">
            <v>trinta e seis centavos</v>
          </cell>
        </row>
        <row r="38">
          <cell r="A38">
            <v>37</v>
          </cell>
          <cell r="B38" t="str">
            <v xml:space="preserve">trinta e sete milhões, </v>
          </cell>
          <cell r="C38" t="str">
            <v xml:space="preserve">trinta e sete mil, </v>
          </cell>
          <cell r="D38" t="str">
            <v>trinta e sete</v>
          </cell>
          <cell r="E38" t="str">
            <v>trinta e sete centavos</v>
          </cell>
        </row>
        <row r="39">
          <cell r="A39">
            <v>38</v>
          </cell>
          <cell r="B39" t="str">
            <v xml:space="preserve">trinta e oito milhões, </v>
          </cell>
          <cell r="C39" t="str">
            <v xml:space="preserve">trinta e oito mil, </v>
          </cell>
          <cell r="D39" t="str">
            <v>trinta e oito</v>
          </cell>
          <cell r="E39" t="str">
            <v>trinta e oito centavos</v>
          </cell>
        </row>
        <row r="40">
          <cell r="A40">
            <v>39</v>
          </cell>
          <cell r="B40" t="str">
            <v xml:space="preserve">trinta e nove milhões, </v>
          </cell>
          <cell r="C40" t="str">
            <v xml:space="preserve">trinta e nove mil, </v>
          </cell>
          <cell r="D40" t="str">
            <v>trinta e nove</v>
          </cell>
          <cell r="E40" t="str">
            <v>trinta e nove centavos</v>
          </cell>
        </row>
        <row r="41">
          <cell r="A41">
            <v>40</v>
          </cell>
          <cell r="B41" t="str">
            <v xml:space="preserve">quarenta milhões, </v>
          </cell>
          <cell r="C41" t="str">
            <v xml:space="preserve">quarenta mil, </v>
          </cell>
          <cell r="D41" t="str">
            <v>quarenta</v>
          </cell>
          <cell r="E41" t="str">
            <v>quarenta centavos</v>
          </cell>
        </row>
        <row r="42">
          <cell r="A42">
            <v>41</v>
          </cell>
          <cell r="B42" t="str">
            <v xml:space="preserve">quarenta e um milhões, </v>
          </cell>
          <cell r="C42" t="str">
            <v xml:space="preserve">quarenta e um mil, </v>
          </cell>
          <cell r="D42" t="str">
            <v>quarenta e um</v>
          </cell>
          <cell r="E42" t="str">
            <v>quarenta e um centavos</v>
          </cell>
        </row>
        <row r="43">
          <cell r="A43">
            <v>42</v>
          </cell>
          <cell r="B43" t="str">
            <v xml:space="preserve">quarenta e dois milhões, </v>
          </cell>
          <cell r="C43" t="str">
            <v xml:space="preserve">quarenta e dois mil, </v>
          </cell>
          <cell r="D43" t="str">
            <v>quarenta e dois</v>
          </cell>
          <cell r="E43" t="str">
            <v>quarenta e dois centavos</v>
          </cell>
        </row>
        <row r="44">
          <cell r="A44">
            <v>43</v>
          </cell>
          <cell r="B44" t="str">
            <v xml:space="preserve">quarenta e tres milhões, </v>
          </cell>
          <cell r="C44" t="str">
            <v xml:space="preserve">quarenta e tres mil, </v>
          </cell>
          <cell r="D44" t="str">
            <v>quarenta e tres</v>
          </cell>
          <cell r="E44" t="str">
            <v>quarenta e tres centavos</v>
          </cell>
        </row>
        <row r="45">
          <cell r="A45">
            <v>44</v>
          </cell>
          <cell r="B45" t="str">
            <v xml:space="preserve">quarenta e quatro milhões, </v>
          </cell>
          <cell r="C45" t="str">
            <v xml:space="preserve">quarenta e quatro mil, </v>
          </cell>
          <cell r="D45" t="str">
            <v>quarenta e quatro</v>
          </cell>
          <cell r="E45" t="str">
            <v>quarenta e quatro centavos</v>
          </cell>
        </row>
        <row r="46">
          <cell r="A46">
            <v>45</v>
          </cell>
          <cell r="B46" t="str">
            <v xml:space="preserve">quarenta e cinco milhões, </v>
          </cell>
          <cell r="C46" t="str">
            <v xml:space="preserve">quarenta e cinco mil, </v>
          </cell>
          <cell r="D46" t="str">
            <v>quarenta e cinco</v>
          </cell>
          <cell r="E46" t="str">
            <v>quarenta e cinco centavos</v>
          </cell>
        </row>
        <row r="47">
          <cell r="A47">
            <v>46</v>
          </cell>
          <cell r="B47" t="str">
            <v xml:space="preserve">quarenta e seis milhões, </v>
          </cell>
          <cell r="C47" t="str">
            <v xml:space="preserve">quarenta e seis mil, </v>
          </cell>
          <cell r="D47" t="str">
            <v>quarenta e seis</v>
          </cell>
          <cell r="E47" t="str">
            <v>quarenta e seis centavos</v>
          </cell>
        </row>
        <row r="48">
          <cell r="A48">
            <v>47</v>
          </cell>
          <cell r="B48" t="str">
            <v xml:space="preserve">quarenta e sete milhões, </v>
          </cell>
          <cell r="C48" t="str">
            <v xml:space="preserve">quarenta e sete mil, </v>
          </cell>
          <cell r="D48" t="str">
            <v>quarenta e sete</v>
          </cell>
          <cell r="E48" t="str">
            <v>quarenta e sete centavos</v>
          </cell>
        </row>
        <row r="49">
          <cell r="A49">
            <v>48</v>
          </cell>
          <cell r="B49" t="str">
            <v xml:space="preserve">quarenta e oito milhões, </v>
          </cell>
          <cell r="C49" t="str">
            <v xml:space="preserve">quarenta e oito mil, </v>
          </cell>
          <cell r="D49" t="str">
            <v>quarenta e oito</v>
          </cell>
          <cell r="E49" t="str">
            <v>quarenta e oito centavos</v>
          </cell>
        </row>
        <row r="50">
          <cell r="A50">
            <v>49</v>
          </cell>
          <cell r="B50" t="str">
            <v xml:space="preserve">quarenta e nove milhões, </v>
          </cell>
          <cell r="C50" t="str">
            <v xml:space="preserve">quarenta e nove mil, </v>
          </cell>
          <cell r="D50" t="str">
            <v>quarenta e nove</v>
          </cell>
          <cell r="E50" t="str">
            <v>quarenta e nove centavos</v>
          </cell>
        </row>
        <row r="51">
          <cell r="A51">
            <v>50</v>
          </cell>
          <cell r="B51" t="str">
            <v xml:space="preserve">cinquenta milhões, </v>
          </cell>
          <cell r="C51" t="str">
            <v xml:space="preserve">cinquenta mil, </v>
          </cell>
          <cell r="D51" t="str">
            <v>cinquenta</v>
          </cell>
          <cell r="E51" t="str">
            <v>cinquenta centavos</v>
          </cell>
        </row>
        <row r="52">
          <cell r="A52">
            <v>51</v>
          </cell>
          <cell r="B52" t="str">
            <v xml:space="preserve">cinquenta e um milhões, </v>
          </cell>
          <cell r="C52" t="str">
            <v xml:space="preserve">cinquenta e um mil, </v>
          </cell>
          <cell r="D52" t="str">
            <v>cinquenta e um</v>
          </cell>
          <cell r="E52" t="str">
            <v>cinquenta e um centavos</v>
          </cell>
        </row>
        <row r="53">
          <cell r="A53">
            <v>52</v>
          </cell>
          <cell r="B53" t="str">
            <v xml:space="preserve">cinquenta e dois milhões, </v>
          </cell>
          <cell r="C53" t="str">
            <v xml:space="preserve">cinquenta e dois mil, </v>
          </cell>
          <cell r="D53" t="str">
            <v>cinquenta e dois</v>
          </cell>
          <cell r="E53" t="str">
            <v>cinquenta e dois centavos</v>
          </cell>
        </row>
        <row r="54">
          <cell r="A54">
            <v>53</v>
          </cell>
          <cell r="B54" t="str">
            <v xml:space="preserve">cinquenta e tres milhões, </v>
          </cell>
          <cell r="C54" t="str">
            <v xml:space="preserve">cinquenta e tres mil, </v>
          </cell>
          <cell r="D54" t="str">
            <v>cinquenta e tres</v>
          </cell>
          <cell r="E54" t="str">
            <v>cinquenta e tres centavos</v>
          </cell>
        </row>
        <row r="55">
          <cell r="A55">
            <v>54</v>
          </cell>
          <cell r="B55" t="str">
            <v xml:space="preserve">cinquenta e quatro milhões, </v>
          </cell>
          <cell r="C55" t="str">
            <v xml:space="preserve">cinquenta e quatro mil, </v>
          </cell>
          <cell r="D55" t="str">
            <v>cinquenta e quatro</v>
          </cell>
          <cell r="E55" t="str">
            <v>cinquenta e quatro centavos</v>
          </cell>
        </row>
        <row r="56">
          <cell r="A56">
            <v>55</v>
          </cell>
          <cell r="B56" t="str">
            <v xml:space="preserve">cinquenta e cinco milhões, </v>
          </cell>
          <cell r="C56" t="str">
            <v xml:space="preserve">cinquenta e cinco mil, </v>
          </cell>
          <cell r="D56" t="str">
            <v>cinquenta e cinco</v>
          </cell>
          <cell r="E56" t="str">
            <v>cinquenta e cinco centavos</v>
          </cell>
        </row>
        <row r="57">
          <cell r="A57">
            <v>56</v>
          </cell>
          <cell r="B57" t="str">
            <v xml:space="preserve">cinquenta e seis milhões, </v>
          </cell>
          <cell r="C57" t="str">
            <v xml:space="preserve">cinquenta e seis mil, </v>
          </cell>
          <cell r="D57" t="str">
            <v>cinquenta e seis</v>
          </cell>
          <cell r="E57" t="str">
            <v>cinquenta e seis centavos</v>
          </cell>
        </row>
        <row r="58">
          <cell r="A58">
            <v>57</v>
          </cell>
          <cell r="B58" t="str">
            <v xml:space="preserve">cinquenta e sete milhões, </v>
          </cell>
          <cell r="C58" t="str">
            <v xml:space="preserve">cinquenta e sete mil, </v>
          </cell>
          <cell r="D58" t="str">
            <v>cinquenta e sete</v>
          </cell>
          <cell r="E58" t="str">
            <v>cinquenta e sete centavos</v>
          </cell>
        </row>
        <row r="59">
          <cell r="A59">
            <v>58</v>
          </cell>
          <cell r="B59" t="str">
            <v xml:space="preserve">cinquenta e oito milhões, </v>
          </cell>
          <cell r="C59" t="str">
            <v xml:space="preserve">cinquenta e oito mil, </v>
          </cell>
          <cell r="D59" t="str">
            <v>cinquenta e oito</v>
          </cell>
          <cell r="E59" t="str">
            <v>cinquenta e oito centavos</v>
          </cell>
        </row>
        <row r="60">
          <cell r="A60">
            <v>59</v>
          </cell>
          <cell r="B60" t="str">
            <v xml:space="preserve">cinquenta e nove milhões, </v>
          </cell>
          <cell r="C60" t="str">
            <v xml:space="preserve">cinquenta e nove mil, </v>
          </cell>
          <cell r="D60" t="str">
            <v>cinquenta e nove</v>
          </cell>
          <cell r="E60" t="str">
            <v>cinquenta e nove centavos</v>
          </cell>
        </row>
        <row r="61">
          <cell r="A61">
            <v>60</v>
          </cell>
          <cell r="B61" t="str">
            <v xml:space="preserve">sessenta milhões, </v>
          </cell>
          <cell r="C61" t="str">
            <v xml:space="preserve">sessenta mil, </v>
          </cell>
          <cell r="D61" t="str">
            <v>sessenta</v>
          </cell>
          <cell r="E61" t="str">
            <v>sessenta centavos</v>
          </cell>
        </row>
        <row r="62">
          <cell r="A62">
            <v>61</v>
          </cell>
          <cell r="B62" t="str">
            <v xml:space="preserve">sessenta e um milhões, </v>
          </cell>
          <cell r="C62" t="str">
            <v xml:space="preserve">sessenta e um mil, </v>
          </cell>
          <cell r="D62" t="str">
            <v>sessenta e um</v>
          </cell>
          <cell r="E62" t="str">
            <v>sessenta e um centavos</v>
          </cell>
        </row>
        <row r="63">
          <cell r="A63">
            <v>62</v>
          </cell>
          <cell r="B63" t="str">
            <v xml:space="preserve">sessenta e dois milhões, </v>
          </cell>
          <cell r="C63" t="str">
            <v xml:space="preserve">sessenta e dois mil, </v>
          </cell>
          <cell r="D63" t="str">
            <v>sessenta e dois</v>
          </cell>
          <cell r="E63" t="str">
            <v>sessenta e dois centavos</v>
          </cell>
        </row>
        <row r="64">
          <cell r="A64">
            <v>63</v>
          </cell>
          <cell r="B64" t="str">
            <v xml:space="preserve">sessenta e tres milhões, </v>
          </cell>
          <cell r="C64" t="str">
            <v xml:space="preserve">sessenta e tres mil, </v>
          </cell>
          <cell r="D64" t="str">
            <v>sessenta e tres</v>
          </cell>
          <cell r="E64" t="str">
            <v>sessenta e tres centavos</v>
          </cell>
        </row>
        <row r="65">
          <cell r="A65">
            <v>64</v>
          </cell>
          <cell r="B65" t="str">
            <v xml:space="preserve">sessenta e quatro milhões, </v>
          </cell>
          <cell r="C65" t="str">
            <v xml:space="preserve">sessenta e quatro mil, </v>
          </cell>
          <cell r="D65" t="str">
            <v>sessenta e quatro</v>
          </cell>
          <cell r="E65" t="str">
            <v>sessenta e quatro centavos</v>
          </cell>
        </row>
        <row r="66">
          <cell r="A66">
            <v>65</v>
          </cell>
          <cell r="B66" t="str">
            <v xml:space="preserve">sessenta e cinco milhões, </v>
          </cell>
          <cell r="C66" t="str">
            <v xml:space="preserve">sessenta e cinco mil, </v>
          </cell>
          <cell r="D66" t="str">
            <v>sessenta e cinco</v>
          </cell>
          <cell r="E66" t="str">
            <v>sessenta e cinco centavos</v>
          </cell>
        </row>
        <row r="67">
          <cell r="A67">
            <v>66</v>
          </cell>
          <cell r="B67" t="str">
            <v xml:space="preserve">sessenta e seis milhões, </v>
          </cell>
          <cell r="C67" t="str">
            <v xml:space="preserve">sessenta e seis mil, </v>
          </cell>
          <cell r="D67" t="str">
            <v>sessenta e seis</v>
          </cell>
          <cell r="E67" t="str">
            <v>sessenta e seis centavos</v>
          </cell>
        </row>
        <row r="68">
          <cell r="A68">
            <v>67</v>
          </cell>
          <cell r="B68" t="str">
            <v xml:space="preserve">sessenta e sete milhões, </v>
          </cell>
          <cell r="C68" t="str">
            <v xml:space="preserve">sessenta e sete mil, </v>
          </cell>
          <cell r="D68" t="str">
            <v>sessenta e sete</v>
          </cell>
          <cell r="E68" t="str">
            <v>sessenta e sete centavos</v>
          </cell>
        </row>
        <row r="69">
          <cell r="A69">
            <v>68</v>
          </cell>
          <cell r="B69" t="str">
            <v xml:space="preserve">sessenta e oito milhões, </v>
          </cell>
          <cell r="C69" t="str">
            <v xml:space="preserve">sessenta e oito mil, </v>
          </cell>
          <cell r="D69" t="str">
            <v>sessenta e oito</v>
          </cell>
          <cell r="E69" t="str">
            <v>sessenta e oito centavos</v>
          </cell>
        </row>
        <row r="70">
          <cell r="A70">
            <v>69</v>
          </cell>
          <cell r="B70" t="str">
            <v xml:space="preserve">sessenta e nove milhões, </v>
          </cell>
          <cell r="C70" t="str">
            <v xml:space="preserve">sessenta e nove mil, </v>
          </cell>
          <cell r="D70" t="str">
            <v>sessenta e nove</v>
          </cell>
          <cell r="E70" t="str">
            <v>sessenta e nove centavos</v>
          </cell>
        </row>
        <row r="71">
          <cell r="A71">
            <v>70</v>
          </cell>
          <cell r="B71" t="str">
            <v xml:space="preserve">setenta milhões, </v>
          </cell>
          <cell r="C71" t="str">
            <v xml:space="preserve">setenta mil, </v>
          </cell>
          <cell r="D71" t="str">
            <v>setenta</v>
          </cell>
          <cell r="E71" t="str">
            <v>setenta centavos</v>
          </cell>
        </row>
        <row r="72">
          <cell r="A72">
            <v>71</v>
          </cell>
          <cell r="B72" t="str">
            <v xml:space="preserve">setenta e um milhões, </v>
          </cell>
          <cell r="C72" t="str">
            <v xml:space="preserve">setenta e um mil, </v>
          </cell>
          <cell r="D72" t="str">
            <v>setenta e um</v>
          </cell>
          <cell r="E72" t="str">
            <v>setenta e um centavos</v>
          </cell>
        </row>
        <row r="73">
          <cell r="A73">
            <v>72</v>
          </cell>
          <cell r="B73" t="str">
            <v xml:space="preserve">setenta e dois milhões, </v>
          </cell>
          <cell r="C73" t="str">
            <v xml:space="preserve">setenta e dois mil, </v>
          </cell>
          <cell r="D73" t="str">
            <v>setenta e dois</v>
          </cell>
          <cell r="E73" t="str">
            <v>setenta e dois centavos</v>
          </cell>
        </row>
        <row r="74">
          <cell r="A74">
            <v>73</v>
          </cell>
          <cell r="B74" t="str">
            <v xml:space="preserve">setenta e tres milhões, </v>
          </cell>
          <cell r="C74" t="str">
            <v xml:space="preserve">setenta e tres mil, </v>
          </cell>
          <cell r="D74" t="str">
            <v>setenta e tres</v>
          </cell>
          <cell r="E74" t="str">
            <v>setenta e tres centavos</v>
          </cell>
        </row>
        <row r="75">
          <cell r="A75">
            <v>74</v>
          </cell>
          <cell r="B75" t="str">
            <v xml:space="preserve">setenta e quatro milhões, </v>
          </cell>
          <cell r="C75" t="str">
            <v xml:space="preserve">setenta e quatro mil, </v>
          </cell>
          <cell r="D75" t="str">
            <v>setenta e quatro</v>
          </cell>
          <cell r="E75" t="str">
            <v>setenta e quatro centavos</v>
          </cell>
        </row>
        <row r="76">
          <cell r="A76">
            <v>75</v>
          </cell>
          <cell r="B76" t="str">
            <v xml:space="preserve">setenta e cinco milhões, </v>
          </cell>
          <cell r="C76" t="str">
            <v xml:space="preserve">setenta e cinco mil, </v>
          </cell>
          <cell r="D76" t="str">
            <v>setenta e cinco</v>
          </cell>
          <cell r="E76" t="str">
            <v>setenta e cinco centavos</v>
          </cell>
        </row>
        <row r="77">
          <cell r="A77">
            <v>76</v>
          </cell>
          <cell r="B77" t="str">
            <v xml:space="preserve">setenta e seis milhões, </v>
          </cell>
          <cell r="C77" t="str">
            <v xml:space="preserve">setenta e seis mil, </v>
          </cell>
          <cell r="D77" t="str">
            <v>setenta e seis</v>
          </cell>
          <cell r="E77" t="str">
            <v>setenta e seis centavos</v>
          </cell>
        </row>
        <row r="78">
          <cell r="A78">
            <v>77</v>
          </cell>
          <cell r="B78" t="str">
            <v xml:space="preserve">setenta e sete milhões, </v>
          </cell>
          <cell r="C78" t="str">
            <v xml:space="preserve">setenta e sete mil, </v>
          </cell>
          <cell r="D78" t="str">
            <v>setenta e sete</v>
          </cell>
          <cell r="E78" t="str">
            <v>setenta e sete centavos</v>
          </cell>
        </row>
        <row r="79">
          <cell r="A79">
            <v>78</v>
          </cell>
          <cell r="B79" t="str">
            <v xml:space="preserve">setenta e oito milhões, </v>
          </cell>
          <cell r="C79" t="str">
            <v xml:space="preserve">setenta e oito mil, </v>
          </cell>
          <cell r="D79" t="str">
            <v>setenta e oito</v>
          </cell>
          <cell r="E79" t="str">
            <v>setenta e oito centavos</v>
          </cell>
        </row>
        <row r="80">
          <cell r="A80">
            <v>79</v>
          </cell>
          <cell r="B80" t="str">
            <v xml:space="preserve">setenta e nove milhões, </v>
          </cell>
          <cell r="C80" t="str">
            <v xml:space="preserve">setenta e nove mil, </v>
          </cell>
          <cell r="D80" t="str">
            <v>setenta e nove</v>
          </cell>
          <cell r="E80" t="str">
            <v>setenta e nove centavos</v>
          </cell>
        </row>
        <row r="81">
          <cell r="A81">
            <v>80</v>
          </cell>
          <cell r="B81" t="str">
            <v xml:space="preserve">oitenta milhões, </v>
          </cell>
          <cell r="C81" t="str">
            <v xml:space="preserve">oitenta mil, </v>
          </cell>
          <cell r="D81" t="str">
            <v>oitenta</v>
          </cell>
          <cell r="E81" t="str">
            <v>oitenta centavos</v>
          </cell>
        </row>
        <row r="82">
          <cell r="A82">
            <v>81</v>
          </cell>
          <cell r="B82" t="str">
            <v xml:space="preserve">oitenta e um milhões, </v>
          </cell>
          <cell r="C82" t="str">
            <v xml:space="preserve">oitenta e um mil, </v>
          </cell>
          <cell r="D82" t="str">
            <v>oitenta e um</v>
          </cell>
          <cell r="E82" t="str">
            <v>oitenta e um centavos</v>
          </cell>
        </row>
        <row r="83">
          <cell r="A83">
            <v>82</v>
          </cell>
          <cell r="B83" t="str">
            <v xml:space="preserve">oitenta e dois milhões, </v>
          </cell>
          <cell r="C83" t="str">
            <v xml:space="preserve">oitenta e dois mil, </v>
          </cell>
          <cell r="D83" t="str">
            <v>oitenta e dois</v>
          </cell>
          <cell r="E83" t="str">
            <v>oitenta e dois centavos</v>
          </cell>
        </row>
        <row r="84">
          <cell r="A84">
            <v>83</v>
          </cell>
          <cell r="B84" t="str">
            <v xml:space="preserve">oitenta e tres milhões, </v>
          </cell>
          <cell r="C84" t="str">
            <v xml:space="preserve">oitenta e tres mil, </v>
          </cell>
          <cell r="D84" t="str">
            <v>oitenta e tres</v>
          </cell>
          <cell r="E84" t="str">
            <v>oitenta e tres centavos</v>
          </cell>
        </row>
        <row r="85">
          <cell r="A85">
            <v>84</v>
          </cell>
          <cell r="B85" t="str">
            <v xml:space="preserve">oitenta e quatro milhões, </v>
          </cell>
          <cell r="C85" t="str">
            <v xml:space="preserve">oitenta e quatro mil, </v>
          </cell>
          <cell r="D85" t="str">
            <v>oitenta e quatro</v>
          </cell>
          <cell r="E85" t="str">
            <v>oitenta e quatro centavos</v>
          </cell>
        </row>
        <row r="86">
          <cell r="A86">
            <v>85</v>
          </cell>
          <cell r="B86" t="str">
            <v xml:space="preserve">oitenta e cinco milhões, </v>
          </cell>
          <cell r="C86" t="str">
            <v xml:space="preserve">oitenta e cinco mil, </v>
          </cell>
          <cell r="D86" t="str">
            <v>oitenta e cinco</v>
          </cell>
          <cell r="E86" t="str">
            <v>oitenta e cinco centavos</v>
          </cell>
        </row>
        <row r="87">
          <cell r="A87">
            <v>86</v>
          </cell>
          <cell r="B87" t="str">
            <v xml:space="preserve">oitenta e seis milhões, </v>
          </cell>
          <cell r="C87" t="str">
            <v xml:space="preserve">oitenta e seis mil, </v>
          </cell>
          <cell r="D87" t="str">
            <v>oitenta e seis</v>
          </cell>
          <cell r="E87" t="str">
            <v>oitenta e seis centavos</v>
          </cell>
        </row>
        <row r="88">
          <cell r="A88">
            <v>87</v>
          </cell>
          <cell r="B88" t="str">
            <v xml:space="preserve">oitenta e sete milhões, </v>
          </cell>
          <cell r="C88" t="str">
            <v xml:space="preserve">oitenta e sete mil, </v>
          </cell>
          <cell r="D88" t="str">
            <v>oitenta e sete</v>
          </cell>
          <cell r="E88" t="str">
            <v>oitenta e sete centavos</v>
          </cell>
        </row>
        <row r="89">
          <cell r="A89">
            <v>88</v>
          </cell>
          <cell r="B89" t="str">
            <v xml:space="preserve">oitenta e oito milhões, </v>
          </cell>
          <cell r="C89" t="str">
            <v xml:space="preserve">oitenta e oito mil, </v>
          </cell>
          <cell r="D89" t="str">
            <v>oitenta e oito</v>
          </cell>
          <cell r="E89" t="str">
            <v>oitenta e oito centavos</v>
          </cell>
        </row>
        <row r="90">
          <cell r="A90">
            <v>89</v>
          </cell>
          <cell r="B90" t="str">
            <v xml:space="preserve">oitenta e nove milhões, </v>
          </cell>
          <cell r="C90" t="str">
            <v xml:space="preserve">oitenta e nove mil, </v>
          </cell>
          <cell r="D90" t="str">
            <v>oitenta e nove</v>
          </cell>
          <cell r="E90" t="str">
            <v>oitenta e nove centavos</v>
          </cell>
        </row>
        <row r="91">
          <cell r="A91">
            <v>90</v>
          </cell>
          <cell r="B91" t="str">
            <v xml:space="preserve">noventa milhões, </v>
          </cell>
          <cell r="C91" t="str">
            <v xml:space="preserve">noventa mil, </v>
          </cell>
          <cell r="D91" t="str">
            <v>noventa</v>
          </cell>
          <cell r="E91" t="str">
            <v>noventa centavos</v>
          </cell>
        </row>
        <row r="92">
          <cell r="A92">
            <v>91</v>
          </cell>
          <cell r="B92" t="str">
            <v xml:space="preserve">noventa e um milhões, </v>
          </cell>
          <cell r="C92" t="str">
            <v xml:space="preserve">noventa e um mil, </v>
          </cell>
          <cell r="D92" t="str">
            <v>noventa e um</v>
          </cell>
          <cell r="E92" t="str">
            <v>noventa e um centavos</v>
          </cell>
        </row>
        <row r="93">
          <cell r="A93">
            <v>92</v>
          </cell>
          <cell r="B93" t="str">
            <v xml:space="preserve">noventa e dois milhões, </v>
          </cell>
          <cell r="C93" t="str">
            <v xml:space="preserve">noventa e dois mil, </v>
          </cell>
          <cell r="D93" t="str">
            <v>noventa e dois</v>
          </cell>
          <cell r="E93" t="str">
            <v>noventa e dois centavos</v>
          </cell>
        </row>
        <row r="94">
          <cell r="A94">
            <v>93</v>
          </cell>
          <cell r="B94" t="str">
            <v xml:space="preserve">noventa e tres milhões, </v>
          </cell>
          <cell r="C94" t="str">
            <v xml:space="preserve">noventa e tres mil, </v>
          </cell>
          <cell r="D94" t="str">
            <v>noventa e tres</v>
          </cell>
          <cell r="E94" t="str">
            <v>noventa e tres centavos</v>
          </cell>
        </row>
        <row r="95">
          <cell r="A95">
            <v>94</v>
          </cell>
          <cell r="B95" t="str">
            <v xml:space="preserve">noventa e quatro milhões, </v>
          </cell>
          <cell r="C95" t="str">
            <v xml:space="preserve">noventa e quatro mil, </v>
          </cell>
          <cell r="D95" t="str">
            <v>noventa e quatro</v>
          </cell>
          <cell r="E95" t="str">
            <v>noventa e quatro centavos</v>
          </cell>
        </row>
        <row r="96">
          <cell r="A96">
            <v>95</v>
          </cell>
          <cell r="B96" t="str">
            <v xml:space="preserve">noventa e cinco milhões, </v>
          </cell>
          <cell r="C96" t="str">
            <v xml:space="preserve">noventa e cinco mil, </v>
          </cell>
          <cell r="D96" t="str">
            <v>noventa e cinco</v>
          </cell>
          <cell r="E96" t="str">
            <v>noventa e cinco centavos</v>
          </cell>
        </row>
        <row r="97">
          <cell r="A97">
            <v>96</v>
          </cell>
          <cell r="B97" t="str">
            <v xml:space="preserve">noventa e seis milhões, </v>
          </cell>
          <cell r="C97" t="str">
            <v xml:space="preserve">noventa e seis mil, </v>
          </cell>
          <cell r="D97" t="str">
            <v>noventa e seis</v>
          </cell>
          <cell r="E97" t="str">
            <v>noventa e seis centavos</v>
          </cell>
        </row>
        <row r="98">
          <cell r="A98">
            <v>97</v>
          </cell>
          <cell r="B98" t="str">
            <v xml:space="preserve">noventa e sete milhões, </v>
          </cell>
          <cell r="C98" t="str">
            <v xml:space="preserve">noventa e sete mil, </v>
          </cell>
          <cell r="D98" t="str">
            <v>noventa e sete</v>
          </cell>
          <cell r="E98" t="str">
            <v>noventa e sete centavos</v>
          </cell>
        </row>
        <row r="99">
          <cell r="A99">
            <v>98</v>
          </cell>
          <cell r="B99" t="str">
            <v xml:space="preserve">noventa e oito milhões, </v>
          </cell>
          <cell r="C99" t="str">
            <v xml:space="preserve">noventa e oito mil, </v>
          </cell>
          <cell r="D99" t="str">
            <v>noventa e oito</v>
          </cell>
          <cell r="E99" t="str">
            <v>noventa e oito centavos</v>
          </cell>
        </row>
        <row r="100">
          <cell r="A100">
            <v>99</v>
          </cell>
          <cell r="B100" t="str">
            <v xml:space="preserve">noventa e nove milhões, </v>
          </cell>
          <cell r="C100" t="str">
            <v xml:space="preserve">noventa e nove mil, </v>
          </cell>
          <cell r="D100" t="str">
            <v>noventa e nove</v>
          </cell>
          <cell r="E100" t="str">
            <v>noventa e nove centavos</v>
          </cell>
        </row>
        <row r="101">
          <cell r="A101">
            <v>100</v>
          </cell>
          <cell r="B101" t="str">
            <v xml:space="preserve">cem milhões, </v>
          </cell>
          <cell r="C101" t="str">
            <v xml:space="preserve">cem mil, </v>
          </cell>
          <cell r="D101" t="str">
            <v>cem</v>
          </cell>
          <cell r="E101" t="str">
            <v>cem centavos</v>
          </cell>
        </row>
        <row r="102">
          <cell r="A102">
            <v>101</v>
          </cell>
          <cell r="B102" t="str">
            <v xml:space="preserve">cento e um milhões, </v>
          </cell>
          <cell r="C102" t="str">
            <v xml:space="preserve">cento e um mil, </v>
          </cell>
          <cell r="D102" t="str">
            <v>cento e um</v>
          </cell>
          <cell r="E102" t="str">
            <v>cento e um centavos</v>
          </cell>
        </row>
        <row r="103">
          <cell r="A103">
            <v>102</v>
          </cell>
          <cell r="B103" t="str">
            <v xml:space="preserve">cento e dois milhões, </v>
          </cell>
          <cell r="C103" t="str">
            <v xml:space="preserve">cento e dois mil, </v>
          </cell>
          <cell r="D103" t="str">
            <v>cento e dois</v>
          </cell>
          <cell r="E103" t="str">
            <v>cento e dois centavos</v>
          </cell>
        </row>
        <row r="104">
          <cell r="A104">
            <v>103</v>
          </cell>
          <cell r="B104" t="str">
            <v xml:space="preserve">cento e tres milhões, </v>
          </cell>
          <cell r="C104" t="str">
            <v xml:space="preserve">cento e tres mil, </v>
          </cell>
          <cell r="D104" t="str">
            <v>cento e tres</v>
          </cell>
          <cell r="E104" t="str">
            <v>cento e tres centavos</v>
          </cell>
        </row>
        <row r="105">
          <cell r="A105">
            <v>104</v>
          </cell>
          <cell r="B105" t="str">
            <v xml:space="preserve">cento e quatro milhões, </v>
          </cell>
          <cell r="C105" t="str">
            <v xml:space="preserve">cento e quatro mil, </v>
          </cell>
          <cell r="D105" t="str">
            <v>cento e quatro</v>
          </cell>
          <cell r="E105" t="str">
            <v>cento e quatro centavos</v>
          </cell>
        </row>
        <row r="106">
          <cell r="A106">
            <v>105</v>
          </cell>
          <cell r="B106" t="str">
            <v xml:space="preserve">cento e cinco milhões, </v>
          </cell>
          <cell r="C106" t="str">
            <v xml:space="preserve">cento e cinco mil, </v>
          </cell>
          <cell r="D106" t="str">
            <v>cento e cinco</v>
          </cell>
          <cell r="E106" t="str">
            <v>cento e cinco centavos</v>
          </cell>
        </row>
        <row r="107">
          <cell r="A107">
            <v>106</v>
          </cell>
          <cell r="B107" t="str">
            <v xml:space="preserve">cento e seis milhões, </v>
          </cell>
          <cell r="C107" t="str">
            <v xml:space="preserve">cento e seis mil, </v>
          </cell>
          <cell r="D107" t="str">
            <v>cento e seis</v>
          </cell>
          <cell r="E107" t="str">
            <v>cento e seis centavos</v>
          </cell>
        </row>
        <row r="108">
          <cell r="A108">
            <v>107</v>
          </cell>
          <cell r="B108" t="str">
            <v xml:space="preserve">cento e sete milhões, </v>
          </cell>
          <cell r="C108" t="str">
            <v xml:space="preserve">cento e sete mil, </v>
          </cell>
          <cell r="D108" t="str">
            <v>cento e sete</v>
          </cell>
          <cell r="E108" t="str">
            <v>cento e sete centavos</v>
          </cell>
        </row>
        <row r="109">
          <cell r="A109">
            <v>108</v>
          </cell>
          <cell r="B109" t="str">
            <v xml:space="preserve">cento e oito milhões, </v>
          </cell>
          <cell r="C109" t="str">
            <v xml:space="preserve">cento e oito mil, </v>
          </cell>
          <cell r="D109" t="str">
            <v>cento e oito</v>
          </cell>
          <cell r="E109" t="str">
            <v>cento e oito centavos</v>
          </cell>
        </row>
        <row r="110">
          <cell r="A110">
            <v>109</v>
          </cell>
          <cell r="B110" t="str">
            <v xml:space="preserve">cento e nove milhões, </v>
          </cell>
          <cell r="C110" t="str">
            <v xml:space="preserve">cento e nove mil, </v>
          </cell>
          <cell r="D110" t="str">
            <v>cento e nove</v>
          </cell>
          <cell r="E110" t="str">
            <v>cento e nove centavos</v>
          </cell>
        </row>
        <row r="111">
          <cell r="A111">
            <v>110</v>
          </cell>
          <cell r="B111" t="str">
            <v xml:space="preserve">cento e dez milhões, </v>
          </cell>
          <cell r="C111" t="str">
            <v xml:space="preserve">cento e dez mil, </v>
          </cell>
          <cell r="D111" t="str">
            <v>cento e dez</v>
          </cell>
          <cell r="E111" t="str">
            <v>cento e dez centavos</v>
          </cell>
        </row>
        <row r="112">
          <cell r="A112">
            <v>111</v>
          </cell>
          <cell r="B112" t="str">
            <v xml:space="preserve">cento e onze milhões, </v>
          </cell>
          <cell r="C112" t="str">
            <v xml:space="preserve">cento e onze mil, </v>
          </cell>
          <cell r="D112" t="str">
            <v>cento e onze</v>
          </cell>
          <cell r="E112" t="str">
            <v>cento e onze centavos</v>
          </cell>
        </row>
        <row r="113">
          <cell r="A113">
            <v>112</v>
          </cell>
          <cell r="B113" t="str">
            <v xml:space="preserve">cento e doze milhões, </v>
          </cell>
          <cell r="C113" t="str">
            <v xml:space="preserve">cento e doze mil, </v>
          </cell>
          <cell r="D113" t="str">
            <v>cento e doze</v>
          </cell>
          <cell r="E113" t="str">
            <v>cento e doze centavos</v>
          </cell>
        </row>
        <row r="114">
          <cell r="A114">
            <v>113</v>
          </cell>
          <cell r="B114" t="str">
            <v xml:space="preserve">cento e treze milhões, </v>
          </cell>
          <cell r="C114" t="str">
            <v xml:space="preserve">cento e treze mil, </v>
          </cell>
          <cell r="D114" t="str">
            <v>cento e treze</v>
          </cell>
          <cell r="E114" t="str">
            <v>cento e treze centavos</v>
          </cell>
        </row>
        <row r="115">
          <cell r="A115">
            <v>114</v>
          </cell>
          <cell r="B115" t="str">
            <v xml:space="preserve">cento e quatorze milhões, </v>
          </cell>
          <cell r="C115" t="str">
            <v xml:space="preserve">cento e quatorze mil, </v>
          </cell>
          <cell r="D115" t="str">
            <v>cento e quatorze</v>
          </cell>
          <cell r="E115" t="str">
            <v>cento e quatorze centavos</v>
          </cell>
        </row>
        <row r="116">
          <cell r="A116">
            <v>115</v>
          </cell>
          <cell r="B116" t="str">
            <v xml:space="preserve">cento e quinze milhões, </v>
          </cell>
          <cell r="C116" t="str">
            <v xml:space="preserve">cento e quinze mil, </v>
          </cell>
          <cell r="D116" t="str">
            <v>cento e quinze</v>
          </cell>
          <cell r="E116" t="str">
            <v>cento e quinze centavos</v>
          </cell>
        </row>
        <row r="117">
          <cell r="A117">
            <v>116</v>
          </cell>
          <cell r="B117" t="str">
            <v xml:space="preserve">cento e dezesseis milhões, </v>
          </cell>
          <cell r="C117" t="str">
            <v xml:space="preserve">cento e dezesseis mil, </v>
          </cell>
          <cell r="D117" t="str">
            <v>cento e dezesseis</v>
          </cell>
          <cell r="E117" t="str">
            <v>cento e dezesseis centavos</v>
          </cell>
        </row>
        <row r="118">
          <cell r="A118">
            <v>117</v>
          </cell>
          <cell r="B118" t="str">
            <v xml:space="preserve">cento e dezessete milhões, </v>
          </cell>
          <cell r="C118" t="str">
            <v xml:space="preserve">cento e dezessete mil, </v>
          </cell>
          <cell r="D118" t="str">
            <v>cento e dezessete</v>
          </cell>
          <cell r="E118" t="str">
            <v>cento e dezessete centavos</v>
          </cell>
        </row>
        <row r="119">
          <cell r="A119">
            <v>118</v>
          </cell>
          <cell r="B119" t="str">
            <v xml:space="preserve">cento e dezoito milhões, </v>
          </cell>
          <cell r="C119" t="str">
            <v xml:space="preserve">cento e dezoito mil, </v>
          </cell>
          <cell r="D119" t="str">
            <v>cento e dezoito</v>
          </cell>
          <cell r="E119" t="str">
            <v>cento e dezoito centavos</v>
          </cell>
        </row>
        <row r="120">
          <cell r="A120">
            <v>119</v>
          </cell>
          <cell r="B120" t="str">
            <v xml:space="preserve">cento e dezenove milhões, </v>
          </cell>
          <cell r="C120" t="str">
            <v xml:space="preserve">cento e dezenove mil, </v>
          </cell>
          <cell r="D120" t="str">
            <v>cento e dezenove</v>
          </cell>
          <cell r="E120" t="str">
            <v>cento e dezenove centavos</v>
          </cell>
        </row>
        <row r="121">
          <cell r="A121">
            <v>120</v>
          </cell>
          <cell r="B121" t="str">
            <v xml:space="preserve">cento e vinte milhões, </v>
          </cell>
          <cell r="C121" t="str">
            <v xml:space="preserve">cento e vinte mil, </v>
          </cell>
          <cell r="D121" t="str">
            <v>cento e vinte</v>
          </cell>
          <cell r="E121" t="str">
            <v>cento e vinte centavos</v>
          </cell>
        </row>
        <row r="122">
          <cell r="A122">
            <v>121</v>
          </cell>
          <cell r="B122" t="str">
            <v xml:space="preserve">cento e vinte e um milhões, </v>
          </cell>
          <cell r="C122" t="str">
            <v xml:space="preserve">cento e vinte e um mil, </v>
          </cell>
          <cell r="D122" t="str">
            <v>cento e vinte e um</v>
          </cell>
          <cell r="E122" t="str">
            <v>cento e vinte e um centavos</v>
          </cell>
        </row>
        <row r="123">
          <cell r="A123">
            <v>122</v>
          </cell>
          <cell r="B123" t="str">
            <v xml:space="preserve">cento e vinte e dois milhões, </v>
          </cell>
          <cell r="C123" t="str">
            <v xml:space="preserve">cento e vinte e dois mil, </v>
          </cell>
          <cell r="D123" t="str">
            <v>cento e vinte e dois</v>
          </cell>
          <cell r="E123" t="str">
            <v>cento e vinte e dois centavos</v>
          </cell>
        </row>
        <row r="124">
          <cell r="A124">
            <v>123</v>
          </cell>
          <cell r="B124" t="str">
            <v xml:space="preserve">cento e vinte e tres milhões, </v>
          </cell>
          <cell r="C124" t="str">
            <v xml:space="preserve">cento e vinte e tres mil, </v>
          </cell>
          <cell r="D124" t="str">
            <v>cento e vinte e tres</v>
          </cell>
          <cell r="E124" t="str">
            <v>cento e vinte e tres centavos</v>
          </cell>
        </row>
        <row r="125">
          <cell r="A125">
            <v>124</v>
          </cell>
          <cell r="B125" t="str">
            <v xml:space="preserve">cento e vinte e quatro milhões, </v>
          </cell>
          <cell r="C125" t="str">
            <v xml:space="preserve">cento e vinte e quatro mil, </v>
          </cell>
          <cell r="D125" t="str">
            <v>cento e vinte e quatro</v>
          </cell>
          <cell r="E125" t="str">
            <v>cento e vinte e quatro centavos</v>
          </cell>
        </row>
        <row r="126">
          <cell r="A126">
            <v>125</v>
          </cell>
          <cell r="B126" t="str">
            <v xml:space="preserve">cento e vinte e cinco milhões, </v>
          </cell>
          <cell r="C126" t="str">
            <v xml:space="preserve">cento e vinte e cinco mil, </v>
          </cell>
          <cell r="D126" t="str">
            <v>cento e vinte e cinco</v>
          </cell>
          <cell r="E126" t="str">
            <v>cento e vinte e cinco centavos</v>
          </cell>
        </row>
        <row r="127">
          <cell r="A127">
            <v>126</v>
          </cell>
          <cell r="B127" t="str">
            <v xml:space="preserve">cento e vinte e seis milhões, </v>
          </cell>
          <cell r="C127" t="str">
            <v xml:space="preserve">cento e vinte e seis mil, </v>
          </cell>
          <cell r="D127" t="str">
            <v>cento e vinte e seis</v>
          </cell>
          <cell r="E127" t="str">
            <v>cento e vinte e seis centavos</v>
          </cell>
        </row>
        <row r="128">
          <cell r="A128">
            <v>127</v>
          </cell>
          <cell r="B128" t="str">
            <v xml:space="preserve">cento e vinte e sete milhões, </v>
          </cell>
          <cell r="C128" t="str">
            <v xml:space="preserve">cento e vinte e sete mil, </v>
          </cell>
          <cell r="D128" t="str">
            <v>cento e vinte e sete</v>
          </cell>
          <cell r="E128" t="str">
            <v>cento e vinte e sete centavos</v>
          </cell>
        </row>
        <row r="129">
          <cell r="A129">
            <v>128</v>
          </cell>
          <cell r="B129" t="str">
            <v xml:space="preserve">cento e vinte e oito milhões, </v>
          </cell>
          <cell r="C129" t="str">
            <v xml:space="preserve">cento e vinte e oito mil, </v>
          </cell>
          <cell r="D129" t="str">
            <v>cento e vinte e oito</v>
          </cell>
          <cell r="E129" t="str">
            <v>cento e vinte e oito centavos</v>
          </cell>
        </row>
        <row r="130">
          <cell r="A130">
            <v>129</v>
          </cell>
          <cell r="B130" t="str">
            <v xml:space="preserve">cento e vinte e nove milhões, </v>
          </cell>
          <cell r="C130" t="str">
            <v xml:space="preserve">cento e vinte e nove mil, </v>
          </cell>
          <cell r="D130" t="str">
            <v>cento e vinte e nove</v>
          </cell>
          <cell r="E130" t="str">
            <v>cento e vinte e nove centavos</v>
          </cell>
        </row>
        <row r="131">
          <cell r="A131">
            <v>130</v>
          </cell>
          <cell r="B131" t="str">
            <v xml:space="preserve">cento e trinta milhões, </v>
          </cell>
          <cell r="C131" t="str">
            <v xml:space="preserve">cento e trinta mil, </v>
          </cell>
          <cell r="D131" t="str">
            <v>cento e trinta</v>
          </cell>
          <cell r="E131" t="str">
            <v>cento e trinta centavos</v>
          </cell>
        </row>
        <row r="132">
          <cell r="A132">
            <v>131</v>
          </cell>
          <cell r="B132" t="str">
            <v xml:space="preserve">cento e trinta e um milhões, </v>
          </cell>
          <cell r="C132" t="str">
            <v xml:space="preserve">cento e trinta e um mil, </v>
          </cell>
          <cell r="D132" t="str">
            <v>cento e trinta e um</v>
          </cell>
          <cell r="E132" t="str">
            <v>cento e trinta e um centavos</v>
          </cell>
        </row>
        <row r="133">
          <cell r="A133">
            <v>132</v>
          </cell>
          <cell r="B133" t="str">
            <v xml:space="preserve">cento e trinta e dois milhões, </v>
          </cell>
          <cell r="C133" t="str">
            <v xml:space="preserve">cento e trinta e dois mil, </v>
          </cell>
          <cell r="D133" t="str">
            <v>cento e trinta e dois</v>
          </cell>
          <cell r="E133" t="str">
            <v>cento e trinta e dois centavos</v>
          </cell>
        </row>
        <row r="134">
          <cell r="A134">
            <v>133</v>
          </cell>
          <cell r="B134" t="str">
            <v xml:space="preserve">cento e trinta e tres milhões, </v>
          </cell>
          <cell r="C134" t="str">
            <v xml:space="preserve">cento e trinta e tres mil, </v>
          </cell>
          <cell r="D134" t="str">
            <v>cento e trinta e tres</v>
          </cell>
          <cell r="E134" t="str">
            <v>cento e trinta e tres centavos</v>
          </cell>
        </row>
        <row r="135">
          <cell r="A135">
            <v>134</v>
          </cell>
          <cell r="B135" t="str">
            <v xml:space="preserve">cento e trinta e quatro milhões, </v>
          </cell>
          <cell r="C135" t="str">
            <v xml:space="preserve">cento e trinta e quatro mil, </v>
          </cell>
          <cell r="D135" t="str">
            <v>cento e trinta e quatro</v>
          </cell>
          <cell r="E135" t="str">
            <v>cento e trinta e quatro centavos</v>
          </cell>
        </row>
        <row r="136">
          <cell r="A136">
            <v>135</v>
          </cell>
          <cell r="B136" t="str">
            <v xml:space="preserve">cento e trinta e cinco milhões, </v>
          </cell>
          <cell r="C136" t="str">
            <v xml:space="preserve">cento e trinta e cinco mil, </v>
          </cell>
          <cell r="D136" t="str">
            <v>cento e trinta e cinco</v>
          </cell>
          <cell r="E136" t="str">
            <v>cento e trinta e cinco centavos</v>
          </cell>
        </row>
        <row r="137">
          <cell r="A137">
            <v>136</v>
          </cell>
          <cell r="B137" t="str">
            <v xml:space="preserve">cento e trinta e seis milhões, </v>
          </cell>
          <cell r="C137" t="str">
            <v xml:space="preserve">cento e trinta e seis mil, </v>
          </cell>
          <cell r="D137" t="str">
            <v>cento e trinta e seis</v>
          </cell>
          <cell r="E137" t="str">
            <v>cento e trinta e seis centavos</v>
          </cell>
        </row>
        <row r="138">
          <cell r="A138">
            <v>137</v>
          </cell>
          <cell r="B138" t="str">
            <v xml:space="preserve">cento e trinta e sete milhões, </v>
          </cell>
          <cell r="C138" t="str">
            <v xml:space="preserve">cento e trinta e sete mil, </v>
          </cell>
          <cell r="D138" t="str">
            <v>cento e trinta e sete</v>
          </cell>
          <cell r="E138" t="str">
            <v>cento e trinta e sete centavos</v>
          </cell>
        </row>
        <row r="139">
          <cell r="A139">
            <v>138</v>
          </cell>
          <cell r="B139" t="str">
            <v xml:space="preserve">cento e trinta e oito milhões, </v>
          </cell>
          <cell r="C139" t="str">
            <v xml:space="preserve">cento e trinta e oito mil, </v>
          </cell>
          <cell r="D139" t="str">
            <v>cento e trinta e oito</v>
          </cell>
          <cell r="E139" t="str">
            <v>cento e trinta e oito centavos</v>
          </cell>
        </row>
        <row r="140">
          <cell r="A140">
            <v>139</v>
          </cell>
          <cell r="B140" t="str">
            <v xml:space="preserve">cento e trinta e nove milhões, </v>
          </cell>
          <cell r="C140" t="str">
            <v xml:space="preserve">cento e trinta e nove mil, </v>
          </cell>
          <cell r="D140" t="str">
            <v>cento e trinta e nove</v>
          </cell>
          <cell r="E140" t="str">
            <v>cento e trinta e nove centavos</v>
          </cell>
        </row>
        <row r="141">
          <cell r="A141">
            <v>140</v>
          </cell>
          <cell r="B141" t="str">
            <v xml:space="preserve">cento e quarenta milhões, </v>
          </cell>
          <cell r="C141" t="str">
            <v xml:space="preserve">cento e quarenta mil, </v>
          </cell>
          <cell r="D141" t="str">
            <v>cento e quarenta</v>
          </cell>
          <cell r="E141" t="str">
            <v>cento e quarenta centavos</v>
          </cell>
        </row>
        <row r="142">
          <cell r="A142">
            <v>141</v>
          </cell>
          <cell r="B142" t="str">
            <v xml:space="preserve">cento e quarenta e um milhões, </v>
          </cell>
          <cell r="C142" t="str">
            <v xml:space="preserve">cento e quarenta e um mil, </v>
          </cell>
          <cell r="D142" t="str">
            <v>cento e quarenta e um</v>
          </cell>
          <cell r="E142" t="str">
            <v>cento e quarenta e um centavos</v>
          </cell>
        </row>
        <row r="143">
          <cell r="A143">
            <v>142</v>
          </cell>
          <cell r="B143" t="str">
            <v xml:space="preserve">cento e quarenta e dois milhões, </v>
          </cell>
          <cell r="C143" t="str">
            <v xml:space="preserve">cento e quarenta e dois mil, </v>
          </cell>
          <cell r="D143" t="str">
            <v>cento e quarenta e dois</v>
          </cell>
          <cell r="E143" t="str">
            <v>cento e quarenta e dois centavos</v>
          </cell>
        </row>
        <row r="144">
          <cell r="A144">
            <v>143</v>
          </cell>
          <cell r="B144" t="str">
            <v xml:space="preserve">cento e quarenta e tres milhões, </v>
          </cell>
          <cell r="C144" t="str">
            <v xml:space="preserve">cento e quarenta e tres mil, </v>
          </cell>
          <cell r="D144" t="str">
            <v>cento e quarenta e tres</v>
          </cell>
          <cell r="E144" t="str">
            <v>cento e quarenta e tres centavos</v>
          </cell>
        </row>
        <row r="145">
          <cell r="A145">
            <v>144</v>
          </cell>
          <cell r="B145" t="str">
            <v xml:space="preserve">cento e quarenta e quatro milhões, </v>
          </cell>
          <cell r="C145" t="str">
            <v xml:space="preserve">cento e quarenta e quatro mil, </v>
          </cell>
          <cell r="D145" t="str">
            <v>cento e quarenta e quatro</v>
          </cell>
          <cell r="E145" t="str">
            <v>cento e quarenta e quatro centavos</v>
          </cell>
        </row>
        <row r="146">
          <cell r="A146">
            <v>145</v>
          </cell>
          <cell r="B146" t="str">
            <v xml:space="preserve">cento e quarenta e cinco milhões, </v>
          </cell>
          <cell r="C146" t="str">
            <v xml:space="preserve">cento e quarenta e cinco mil, </v>
          </cell>
          <cell r="D146" t="str">
            <v>cento e quarenta e cinco</v>
          </cell>
          <cell r="E146" t="str">
            <v>cento e quarenta e cinco centavos</v>
          </cell>
        </row>
        <row r="147">
          <cell r="A147">
            <v>146</v>
          </cell>
          <cell r="B147" t="str">
            <v xml:space="preserve">cento e quarenta e seis milhões, </v>
          </cell>
          <cell r="C147" t="str">
            <v xml:space="preserve">cento e quarenta e seis mil, </v>
          </cell>
          <cell r="D147" t="str">
            <v>cento e quarenta e seis</v>
          </cell>
          <cell r="E147" t="str">
            <v>cento e quarenta e seis centavos</v>
          </cell>
        </row>
        <row r="148">
          <cell r="A148">
            <v>147</v>
          </cell>
          <cell r="B148" t="str">
            <v xml:space="preserve">cento e quarenta e sete milhões, </v>
          </cell>
          <cell r="C148" t="str">
            <v xml:space="preserve">cento e quarenta e sete mil, </v>
          </cell>
          <cell r="D148" t="str">
            <v>cento e quarenta e sete</v>
          </cell>
          <cell r="E148" t="str">
            <v>cento e quarenta e sete centavos</v>
          </cell>
        </row>
        <row r="149">
          <cell r="A149">
            <v>148</v>
          </cell>
          <cell r="B149" t="str">
            <v xml:space="preserve">cento e quarenta e oito milhões, </v>
          </cell>
          <cell r="C149" t="str">
            <v xml:space="preserve">cento e quarenta e oito mil, </v>
          </cell>
          <cell r="D149" t="str">
            <v>cento e quarenta e oito</v>
          </cell>
          <cell r="E149" t="str">
            <v>cento e quarenta e oito centavos</v>
          </cell>
        </row>
        <row r="150">
          <cell r="A150">
            <v>149</v>
          </cell>
          <cell r="B150" t="str">
            <v xml:space="preserve">cento e quarenta e nove milhões, </v>
          </cell>
          <cell r="C150" t="str">
            <v xml:space="preserve">cento e quarenta e nove mil, </v>
          </cell>
          <cell r="D150" t="str">
            <v>cento e quarenta e nove</v>
          </cell>
          <cell r="E150" t="str">
            <v>cento e quarenta e nove centavos</v>
          </cell>
        </row>
        <row r="151">
          <cell r="A151">
            <v>150</v>
          </cell>
          <cell r="B151" t="str">
            <v xml:space="preserve">cento e cinquenta milhões, </v>
          </cell>
          <cell r="C151" t="str">
            <v xml:space="preserve">cento e cinquenta mil, </v>
          </cell>
          <cell r="D151" t="str">
            <v>cento e cinquenta</v>
          </cell>
          <cell r="E151" t="str">
            <v>cento e cinquenta centavos</v>
          </cell>
        </row>
        <row r="152">
          <cell r="A152">
            <v>151</v>
          </cell>
          <cell r="B152" t="str">
            <v xml:space="preserve">cento e cinquenta e um milhões, </v>
          </cell>
          <cell r="C152" t="str">
            <v xml:space="preserve">cento e cinquenta e um mil, </v>
          </cell>
          <cell r="D152" t="str">
            <v>cento e cinquenta e um</v>
          </cell>
          <cell r="E152" t="str">
            <v>cento e cinquenta e um centavos</v>
          </cell>
        </row>
        <row r="153">
          <cell r="A153">
            <v>152</v>
          </cell>
          <cell r="B153" t="str">
            <v xml:space="preserve">cento e cinquenta e dois milhões, </v>
          </cell>
          <cell r="C153" t="str">
            <v xml:space="preserve">cento e cinquenta e dois mil, </v>
          </cell>
          <cell r="D153" t="str">
            <v>cento e cinquenta e dois</v>
          </cell>
          <cell r="E153" t="str">
            <v>cento e cinquenta e dois centavos</v>
          </cell>
        </row>
        <row r="154">
          <cell r="A154">
            <v>153</v>
          </cell>
          <cell r="B154" t="str">
            <v xml:space="preserve">cento e cinquenta e tres milhões, </v>
          </cell>
          <cell r="C154" t="str">
            <v xml:space="preserve">cento e cinquenta e tres mil, </v>
          </cell>
          <cell r="D154" t="str">
            <v>cento e cinquenta e tres</v>
          </cell>
          <cell r="E154" t="str">
            <v>cento e cinquenta e tres centavos</v>
          </cell>
        </row>
        <row r="155">
          <cell r="A155">
            <v>154</v>
          </cell>
          <cell r="B155" t="str">
            <v xml:space="preserve">cento e cinquenta e quatro milhões, </v>
          </cell>
          <cell r="C155" t="str">
            <v xml:space="preserve">cento e cinquenta e quatro mil, </v>
          </cell>
          <cell r="D155" t="str">
            <v>cento e cinquenta e quatro</v>
          </cell>
          <cell r="E155" t="str">
            <v>cento e cinquenta e quatro centavos</v>
          </cell>
        </row>
        <row r="156">
          <cell r="A156">
            <v>155</v>
          </cell>
          <cell r="B156" t="str">
            <v xml:space="preserve">cento e cinquenta e cinco milhões, </v>
          </cell>
          <cell r="C156" t="str">
            <v xml:space="preserve">cento e cinquenta e cinco mil, </v>
          </cell>
          <cell r="D156" t="str">
            <v>cento e cinquenta e cinco</v>
          </cell>
          <cell r="E156" t="str">
            <v>cento e cinquenta e cinco centavos</v>
          </cell>
        </row>
        <row r="157">
          <cell r="A157">
            <v>156</v>
          </cell>
          <cell r="B157" t="str">
            <v xml:space="preserve">cento e cinquenta e seis milhões, </v>
          </cell>
          <cell r="C157" t="str">
            <v xml:space="preserve">cento e cinquenta e seis mil, </v>
          </cell>
          <cell r="D157" t="str">
            <v>cento e cinquenta e seis</v>
          </cell>
          <cell r="E157" t="str">
            <v>cento e cinquenta e seis centavos</v>
          </cell>
        </row>
        <row r="158">
          <cell r="A158">
            <v>157</v>
          </cell>
          <cell r="B158" t="str">
            <v xml:space="preserve">cento e cinquenta e sete milhões, </v>
          </cell>
          <cell r="C158" t="str">
            <v xml:space="preserve">cento e cinquenta e sete mil, </v>
          </cell>
          <cell r="D158" t="str">
            <v>cento e cinquenta e sete</v>
          </cell>
          <cell r="E158" t="str">
            <v>cento e cinquenta e sete centavos</v>
          </cell>
        </row>
        <row r="159">
          <cell r="A159">
            <v>158</v>
          </cell>
          <cell r="B159" t="str">
            <v xml:space="preserve">cento e cinquenta e oito milhões, </v>
          </cell>
          <cell r="C159" t="str">
            <v xml:space="preserve">cento e cinquenta e oito mil, </v>
          </cell>
          <cell r="D159" t="str">
            <v>cento e cinquenta e oito</v>
          </cell>
          <cell r="E159" t="str">
            <v>cento e cinquenta e oito centavos</v>
          </cell>
        </row>
        <row r="160">
          <cell r="A160">
            <v>159</v>
          </cell>
          <cell r="B160" t="str">
            <v xml:space="preserve">cento e cinquenta e nove milhões, </v>
          </cell>
          <cell r="C160" t="str">
            <v xml:space="preserve">cento e cinquenta e nove mil, </v>
          </cell>
          <cell r="D160" t="str">
            <v>cento e cinquenta e nove</v>
          </cell>
          <cell r="E160" t="str">
            <v>cento e cinquenta e nove centavos</v>
          </cell>
        </row>
        <row r="161">
          <cell r="A161">
            <v>160</v>
          </cell>
          <cell r="B161" t="str">
            <v xml:space="preserve">cento e sessenta milhões, </v>
          </cell>
          <cell r="C161" t="str">
            <v xml:space="preserve">cento e sessenta mil, </v>
          </cell>
          <cell r="D161" t="str">
            <v>cento e sessenta</v>
          </cell>
          <cell r="E161" t="str">
            <v>cento e sessenta centavos</v>
          </cell>
        </row>
        <row r="162">
          <cell r="A162">
            <v>161</v>
          </cell>
          <cell r="B162" t="str">
            <v xml:space="preserve">cento e sessenta e um milhões, </v>
          </cell>
          <cell r="C162" t="str">
            <v xml:space="preserve">cento e sessenta e um mil, </v>
          </cell>
          <cell r="D162" t="str">
            <v>cento e sessenta e um</v>
          </cell>
          <cell r="E162" t="str">
            <v>cento e sessenta e um centavos</v>
          </cell>
        </row>
        <row r="163">
          <cell r="A163">
            <v>162</v>
          </cell>
          <cell r="B163" t="str">
            <v xml:space="preserve">cento e sessenta e dois milhões, </v>
          </cell>
          <cell r="C163" t="str">
            <v xml:space="preserve">cento e sessenta e dois mil, </v>
          </cell>
          <cell r="D163" t="str">
            <v>cento e sessenta e dois</v>
          </cell>
          <cell r="E163" t="str">
            <v>cento e sessenta e dois centavos</v>
          </cell>
        </row>
        <row r="164">
          <cell r="A164">
            <v>163</v>
          </cell>
          <cell r="B164" t="str">
            <v xml:space="preserve">cento e sessenta e tres milhões, </v>
          </cell>
          <cell r="C164" t="str">
            <v xml:space="preserve">cento e sessenta e tres mil, </v>
          </cell>
          <cell r="D164" t="str">
            <v>cento e sessenta e tres</v>
          </cell>
          <cell r="E164" t="str">
            <v>cento e sessenta e tres centavos</v>
          </cell>
        </row>
        <row r="165">
          <cell r="A165">
            <v>164</v>
          </cell>
          <cell r="B165" t="str">
            <v xml:space="preserve">cento e sessenta e quatro milhões, </v>
          </cell>
          <cell r="C165" t="str">
            <v xml:space="preserve">cento e sessenta e quatro mil, </v>
          </cell>
          <cell r="D165" t="str">
            <v>cento e sessenta e quatro</v>
          </cell>
          <cell r="E165" t="str">
            <v>cento e sessenta e quatro centavos</v>
          </cell>
        </row>
        <row r="166">
          <cell r="A166">
            <v>165</v>
          </cell>
          <cell r="B166" t="str">
            <v xml:space="preserve">cento e sessenta e cinco milhões, </v>
          </cell>
          <cell r="C166" t="str">
            <v xml:space="preserve">cento e sessenta e cinco mil, </v>
          </cell>
          <cell r="D166" t="str">
            <v>cento e sessenta e cinco</v>
          </cell>
          <cell r="E166" t="str">
            <v>cento e sessenta e cinco centavos</v>
          </cell>
        </row>
        <row r="167">
          <cell r="A167">
            <v>166</v>
          </cell>
          <cell r="B167" t="str">
            <v xml:space="preserve">cento e sessenta e seis milhões, </v>
          </cell>
          <cell r="C167" t="str">
            <v xml:space="preserve">cento e sessenta e seis mil, </v>
          </cell>
          <cell r="D167" t="str">
            <v>cento e sessenta e seis</v>
          </cell>
          <cell r="E167" t="str">
            <v>cento e sessenta e seis centavos</v>
          </cell>
        </row>
        <row r="168">
          <cell r="A168">
            <v>167</v>
          </cell>
          <cell r="B168" t="str">
            <v xml:space="preserve">cento e sessenta e sete milhões, </v>
          </cell>
          <cell r="C168" t="str">
            <v xml:space="preserve">cento e sessenta e sete mil, </v>
          </cell>
          <cell r="D168" t="str">
            <v>cento e sessenta e sete</v>
          </cell>
          <cell r="E168" t="str">
            <v>cento e sessenta e sete centavos</v>
          </cell>
        </row>
        <row r="169">
          <cell r="A169">
            <v>168</v>
          </cell>
          <cell r="B169" t="str">
            <v xml:space="preserve">cento e sessenta e oito milhões, </v>
          </cell>
          <cell r="C169" t="str">
            <v xml:space="preserve">cento e sessenta e oito mil, </v>
          </cell>
          <cell r="D169" t="str">
            <v>cento e sessenta e oito</v>
          </cell>
          <cell r="E169" t="str">
            <v>cento e sessenta e oito centavos</v>
          </cell>
        </row>
        <row r="170">
          <cell r="A170">
            <v>169</v>
          </cell>
          <cell r="B170" t="str">
            <v xml:space="preserve">cento e sessenta e nove milhões, </v>
          </cell>
          <cell r="C170" t="str">
            <v xml:space="preserve">cento e sessenta e nove mil, </v>
          </cell>
          <cell r="D170" t="str">
            <v>cento e sessenta e nove</v>
          </cell>
          <cell r="E170" t="str">
            <v>cento e sessenta e nove centavos</v>
          </cell>
        </row>
        <row r="171">
          <cell r="A171">
            <v>170</v>
          </cell>
          <cell r="B171" t="str">
            <v xml:space="preserve">cento e setenta milhões, </v>
          </cell>
          <cell r="C171" t="str">
            <v xml:space="preserve">cento e setenta mil, </v>
          </cell>
          <cell r="D171" t="str">
            <v>cento e setenta</v>
          </cell>
          <cell r="E171" t="str">
            <v>cento e setenta centavos</v>
          </cell>
        </row>
        <row r="172">
          <cell r="A172">
            <v>171</v>
          </cell>
          <cell r="B172" t="str">
            <v xml:space="preserve">cento e setenta e um milhões, </v>
          </cell>
          <cell r="C172" t="str">
            <v xml:space="preserve">cento e setenta e um mil, </v>
          </cell>
          <cell r="D172" t="str">
            <v>cento e setenta e um</v>
          </cell>
          <cell r="E172" t="str">
            <v>cento e setenta e um centavos</v>
          </cell>
        </row>
        <row r="173">
          <cell r="A173">
            <v>172</v>
          </cell>
          <cell r="B173" t="str">
            <v xml:space="preserve">cento e setenta e dois milhões, </v>
          </cell>
          <cell r="C173" t="str">
            <v xml:space="preserve">cento e setenta e dois mil, </v>
          </cell>
          <cell r="D173" t="str">
            <v>cento e setenta e dois</v>
          </cell>
          <cell r="E173" t="str">
            <v>cento e setenta e dois centavos</v>
          </cell>
        </row>
        <row r="174">
          <cell r="A174">
            <v>173</v>
          </cell>
          <cell r="B174" t="str">
            <v xml:space="preserve">cento e setenta e tres milhões, </v>
          </cell>
          <cell r="C174" t="str">
            <v xml:space="preserve">cento e setenta e tres mil, </v>
          </cell>
          <cell r="D174" t="str">
            <v>cento e setenta e tres</v>
          </cell>
          <cell r="E174" t="str">
            <v>cento e setenta e tres centavos</v>
          </cell>
        </row>
        <row r="175">
          <cell r="A175">
            <v>174</v>
          </cell>
          <cell r="B175" t="str">
            <v xml:space="preserve">cento e setenta e quatro milhões, </v>
          </cell>
          <cell r="C175" t="str">
            <v xml:space="preserve">cento e setenta e quatro mil, </v>
          </cell>
          <cell r="D175" t="str">
            <v>cento e setenta e quatro</v>
          </cell>
          <cell r="E175" t="str">
            <v>cento e setenta e quatro centavos</v>
          </cell>
        </row>
        <row r="176">
          <cell r="A176">
            <v>175</v>
          </cell>
          <cell r="B176" t="str">
            <v xml:space="preserve">cento e setenta e cinco milhões, </v>
          </cell>
          <cell r="C176" t="str">
            <v xml:space="preserve">cento e setenta e cinco mil, </v>
          </cell>
          <cell r="D176" t="str">
            <v>cento e setenta e cinco</v>
          </cell>
          <cell r="E176" t="str">
            <v>cento e setenta e cinco centavos</v>
          </cell>
        </row>
        <row r="177">
          <cell r="A177">
            <v>176</v>
          </cell>
          <cell r="B177" t="str">
            <v xml:space="preserve">cento e setenta e seis milhões, </v>
          </cell>
          <cell r="C177" t="str">
            <v xml:space="preserve">cento e setenta e seis mil, </v>
          </cell>
          <cell r="D177" t="str">
            <v>cento e setenta e seis</v>
          </cell>
          <cell r="E177" t="str">
            <v>cento e setenta e seis centavos</v>
          </cell>
        </row>
        <row r="178">
          <cell r="A178">
            <v>177</v>
          </cell>
          <cell r="B178" t="str">
            <v xml:space="preserve">cento e setenta e sete milhões, </v>
          </cell>
          <cell r="C178" t="str">
            <v xml:space="preserve">cento e setenta e sete mil, </v>
          </cell>
          <cell r="D178" t="str">
            <v>cento e setenta e sete</v>
          </cell>
          <cell r="E178" t="str">
            <v>cento e setenta e sete centavos</v>
          </cell>
        </row>
        <row r="179">
          <cell r="A179">
            <v>178</v>
          </cell>
          <cell r="B179" t="str">
            <v xml:space="preserve">cento e setenta e oito milhões, </v>
          </cell>
          <cell r="C179" t="str">
            <v xml:space="preserve">cento e setenta e oito mil, </v>
          </cell>
          <cell r="D179" t="str">
            <v>cento e setenta e oito</v>
          </cell>
          <cell r="E179" t="str">
            <v>cento e setenta e oito centavos</v>
          </cell>
        </row>
        <row r="180">
          <cell r="A180">
            <v>179</v>
          </cell>
          <cell r="B180" t="str">
            <v xml:space="preserve">cento e setenta e nove milhões, </v>
          </cell>
          <cell r="C180" t="str">
            <v xml:space="preserve">cento e setenta e nove mil, </v>
          </cell>
          <cell r="D180" t="str">
            <v>cento e setenta e nove</v>
          </cell>
          <cell r="E180" t="str">
            <v>cento e setenta e nove centavos</v>
          </cell>
        </row>
        <row r="181">
          <cell r="A181">
            <v>180</v>
          </cell>
          <cell r="B181" t="str">
            <v xml:space="preserve">cento e oitenta milhões, </v>
          </cell>
          <cell r="C181" t="str">
            <v xml:space="preserve">cento e oitenta mil, </v>
          </cell>
          <cell r="D181" t="str">
            <v>cento e oitenta</v>
          </cell>
          <cell r="E181" t="str">
            <v>cento e oitenta centavos</v>
          </cell>
        </row>
        <row r="182">
          <cell r="A182">
            <v>181</v>
          </cell>
          <cell r="B182" t="str">
            <v xml:space="preserve">cento e oitenta e um milhões, </v>
          </cell>
          <cell r="C182" t="str">
            <v xml:space="preserve">cento e oitenta e um mil, </v>
          </cell>
          <cell r="D182" t="str">
            <v>cento e oitenta e um</v>
          </cell>
          <cell r="E182" t="str">
            <v>cento e oitenta e um centavos</v>
          </cell>
        </row>
        <row r="183">
          <cell r="A183">
            <v>182</v>
          </cell>
          <cell r="B183" t="str">
            <v xml:space="preserve">cento e oitenta e dois milhões, </v>
          </cell>
          <cell r="C183" t="str">
            <v xml:space="preserve">cento e oitenta e dois mil, </v>
          </cell>
          <cell r="D183" t="str">
            <v>cento e oitenta e dois</v>
          </cell>
          <cell r="E183" t="str">
            <v>cento e oitenta e dois centavos</v>
          </cell>
        </row>
        <row r="184">
          <cell r="A184">
            <v>183</v>
          </cell>
          <cell r="B184" t="str">
            <v xml:space="preserve">cento e oitenta e tres milhões, </v>
          </cell>
          <cell r="C184" t="str">
            <v xml:space="preserve">cento e oitenta e tres mil, </v>
          </cell>
          <cell r="D184" t="str">
            <v>cento e oitenta e tres</v>
          </cell>
          <cell r="E184" t="str">
            <v>cento e oitenta e tres centavos</v>
          </cell>
        </row>
        <row r="185">
          <cell r="A185">
            <v>184</v>
          </cell>
          <cell r="B185" t="str">
            <v xml:space="preserve">cento e oitenta e quatro milhões, </v>
          </cell>
          <cell r="C185" t="str">
            <v xml:space="preserve">cento e oitenta e quatro mil, </v>
          </cell>
          <cell r="D185" t="str">
            <v>cento e oitenta e quatro</v>
          </cell>
          <cell r="E185" t="str">
            <v>cento e oitenta e quatro centavos</v>
          </cell>
        </row>
        <row r="186">
          <cell r="A186">
            <v>185</v>
          </cell>
          <cell r="B186" t="str">
            <v xml:space="preserve">cento e oitenta e cinco milhões, </v>
          </cell>
          <cell r="C186" t="str">
            <v xml:space="preserve">cento e oitenta e cinco mil, </v>
          </cell>
          <cell r="D186" t="str">
            <v>cento e oitenta e cinco</v>
          </cell>
          <cell r="E186" t="str">
            <v>cento e oitenta e cinco centavos</v>
          </cell>
        </row>
        <row r="187">
          <cell r="A187">
            <v>186</v>
          </cell>
          <cell r="B187" t="str">
            <v xml:space="preserve">cento e oitenta e seis milhões, </v>
          </cell>
          <cell r="C187" t="str">
            <v xml:space="preserve">cento e oitenta e seis mil, </v>
          </cell>
          <cell r="D187" t="str">
            <v>cento e oitenta e seis</v>
          </cell>
          <cell r="E187" t="str">
            <v>cento e oitenta e seis centavos</v>
          </cell>
        </row>
        <row r="188">
          <cell r="A188">
            <v>187</v>
          </cell>
          <cell r="B188" t="str">
            <v xml:space="preserve">cento e oitenta e sete milhões, </v>
          </cell>
          <cell r="C188" t="str">
            <v xml:space="preserve">cento e oitenta e sete mil, </v>
          </cell>
          <cell r="D188" t="str">
            <v>cento e oitenta e sete</v>
          </cell>
          <cell r="E188" t="str">
            <v>cento e oitenta e sete centavos</v>
          </cell>
        </row>
        <row r="189">
          <cell r="A189">
            <v>188</v>
          </cell>
          <cell r="B189" t="str">
            <v xml:space="preserve">cento e oitenta e oito milhões, </v>
          </cell>
          <cell r="C189" t="str">
            <v xml:space="preserve">cento e oitenta e oito mil, </v>
          </cell>
          <cell r="D189" t="str">
            <v>cento e oitenta e oito</v>
          </cell>
          <cell r="E189" t="str">
            <v>cento e oitenta e oito centavos</v>
          </cell>
        </row>
        <row r="190">
          <cell r="A190">
            <v>189</v>
          </cell>
          <cell r="B190" t="str">
            <v xml:space="preserve">cento e oitenta e nove milhões, </v>
          </cell>
          <cell r="C190" t="str">
            <v xml:space="preserve">cento e oitenta e nove mil, </v>
          </cell>
          <cell r="D190" t="str">
            <v>cento e oitenta e nove</v>
          </cell>
          <cell r="E190" t="str">
            <v>cento e oitenta e nove centavos</v>
          </cell>
        </row>
        <row r="191">
          <cell r="A191">
            <v>190</v>
          </cell>
          <cell r="B191" t="str">
            <v xml:space="preserve">cento e noventa milhões, </v>
          </cell>
          <cell r="C191" t="str">
            <v xml:space="preserve">cento e noventa mil, </v>
          </cell>
          <cell r="D191" t="str">
            <v>cento e noventa</v>
          </cell>
          <cell r="E191" t="str">
            <v>cento e noventa centavos</v>
          </cell>
        </row>
        <row r="192">
          <cell r="A192">
            <v>191</v>
          </cell>
          <cell r="B192" t="str">
            <v xml:space="preserve">cento e noventa e um milhões, </v>
          </cell>
          <cell r="C192" t="str">
            <v xml:space="preserve">cento e noventa e um mil, </v>
          </cell>
          <cell r="D192" t="str">
            <v>cento e noventa e um</v>
          </cell>
          <cell r="E192" t="str">
            <v>cento e noventa e um centavos</v>
          </cell>
        </row>
        <row r="193">
          <cell r="A193">
            <v>192</v>
          </cell>
          <cell r="B193" t="str">
            <v xml:space="preserve">cento e noventa e dois milhões, </v>
          </cell>
          <cell r="C193" t="str">
            <v xml:space="preserve">cento e noventa e dois mil, </v>
          </cell>
          <cell r="D193" t="str">
            <v>cento e noventa e dois</v>
          </cell>
          <cell r="E193" t="str">
            <v>cento e noventa e dois centavos</v>
          </cell>
        </row>
        <row r="194">
          <cell r="A194">
            <v>193</v>
          </cell>
          <cell r="B194" t="str">
            <v xml:space="preserve">cento e noventa e tres milhões, </v>
          </cell>
          <cell r="C194" t="str">
            <v xml:space="preserve">cento e noventa e tres mil, </v>
          </cell>
          <cell r="D194" t="str">
            <v>cento e noventa e tres</v>
          </cell>
          <cell r="E194" t="str">
            <v>cento e noventa e tres centavos</v>
          </cell>
        </row>
        <row r="195">
          <cell r="A195">
            <v>194</v>
          </cell>
          <cell r="B195" t="str">
            <v xml:space="preserve">cento e noventa e quatro milhões, </v>
          </cell>
          <cell r="C195" t="str">
            <v xml:space="preserve">cento e noventa e quatro mil, </v>
          </cell>
          <cell r="D195" t="str">
            <v>cento e noventa e quatro</v>
          </cell>
          <cell r="E195" t="str">
            <v>cento e noventa e quatro centavos</v>
          </cell>
        </row>
        <row r="196">
          <cell r="A196">
            <v>195</v>
          </cell>
          <cell r="B196" t="str">
            <v xml:space="preserve">cento e noventa e cinco milhões, </v>
          </cell>
          <cell r="C196" t="str">
            <v xml:space="preserve">cento e noventa e cinco mil, </v>
          </cell>
          <cell r="D196" t="str">
            <v>cento e noventa e cinco</v>
          </cell>
          <cell r="E196" t="str">
            <v>cento e noventa e cinco centavos</v>
          </cell>
        </row>
        <row r="197">
          <cell r="A197">
            <v>196</v>
          </cell>
          <cell r="B197" t="str">
            <v xml:space="preserve">cento e noventa e seis milhões, </v>
          </cell>
          <cell r="C197" t="str">
            <v xml:space="preserve">cento e noventa e seis mil, </v>
          </cell>
          <cell r="D197" t="str">
            <v>cento e noventa e seis</v>
          </cell>
          <cell r="E197" t="str">
            <v>cento e noventa e seis centavos</v>
          </cell>
        </row>
        <row r="198">
          <cell r="A198">
            <v>197</v>
          </cell>
          <cell r="B198" t="str">
            <v xml:space="preserve">cento e noventa e sete milhões, </v>
          </cell>
          <cell r="C198" t="str">
            <v xml:space="preserve">cento e noventa e sete mil, </v>
          </cell>
          <cell r="D198" t="str">
            <v>cento e noventa e sete</v>
          </cell>
          <cell r="E198" t="str">
            <v>cento e noventa e sete centavos</v>
          </cell>
        </row>
        <row r="199">
          <cell r="A199">
            <v>198</v>
          </cell>
          <cell r="B199" t="str">
            <v xml:space="preserve">cento e noventa e oito milhões, </v>
          </cell>
          <cell r="C199" t="str">
            <v xml:space="preserve">cento e noventa e oito mil, </v>
          </cell>
          <cell r="D199" t="str">
            <v>cento e noventa e oito</v>
          </cell>
          <cell r="E199" t="str">
            <v>cento e noventa e oito centavos</v>
          </cell>
        </row>
        <row r="200">
          <cell r="A200">
            <v>199</v>
          </cell>
          <cell r="B200" t="str">
            <v xml:space="preserve">cento e noventa e nove milhões, </v>
          </cell>
          <cell r="C200" t="str">
            <v xml:space="preserve">cento e noventa e nove mil, </v>
          </cell>
          <cell r="D200" t="str">
            <v>cento e noventa e nove</v>
          </cell>
          <cell r="E200" t="str">
            <v>cento e noventa e nove centavos</v>
          </cell>
        </row>
        <row r="201">
          <cell r="A201">
            <v>200</v>
          </cell>
          <cell r="B201" t="str">
            <v xml:space="preserve">duzentos milhões, </v>
          </cell>
          <cell r="C201" t="str">
            <v xml:space="preserve">duzentos mil, </v>
          </cell>
          <cell r="D201" t="str">
            <v>duzentos</v>
          </cell>
          <cell r="E201" t="str">
            <v>duzentos centavos</v>
          </cell>
        </row>
        <row r="202">
          <cell r="A202">
            <v>201</v>
          </cell>
          <cell r="B202" t="str">
            <v xml:space="preserve">duzentos e um milhões, </v>
          </cell>
          <cell r="C202" t="str">
            <v xml:space="preserve">duzentos e um mil, </v>
          </cell>
          <cell r="D202" t="str">
            <v>duzentos e um</v>
          </cell>
          <cell r="E202" t="str">
            <v>duzentos e um centavos</v>
          </cell>
        </row>
        <row r="203">
          <cell r="A203">
            <v>202</v>
          </cell>
          <cell r="B203" t="str">
            <v xml:space="preserve">duzentos e dois milhões, </v>
          </cell>
          <cell r="C203" t="str">
            <v xml:space="preserve">duzentos e dois mil, </v>
          </cell>
          <cell r="D203" t="str">
            <v>duzentos e dois</v>
          </cell>
          <cell r="E203" t="str">
            <v>duzentos e dois centavos</v>
          </cell>
        </row>
        <row r="204">
          <cell r="A204">
            <v>203</v>
          </cell>
          <cell r="B204" t="str">
            <v xml:space="preserve">duzentos e tres milhões, </v>
          </cell>
          <cell r="C204" t="str">
            <v xml:space="preserve">duzentos e tres mil, </v>
          </cell>
          <cell r="D204" t="str">
            <v>duzentos e tres</v>
          </cell>
          <cell r="E204" t="str">
            <v>duzentos e tres centavos</v>
          </cell>
        </row>
        <row r="205">
          <cell r="A205">
            <v>204</v>
          </cell>
          <cell r="B205" t="str">
            <v xml:space="preserve">duzentos e quatro milhões, </v>
          </cell>
          <cell r="C205" t="str">
            <v xml:space="preserve">duzentos e quatro mil, </v>
          </cell>
          <cell r="D205" t="str">
            <v>duzentos e quatro</v>
          </cell>
          <cell r="E205" t="str">
            <v>duzentos e quatro centavos</v>
          </cell>
        </row>
        <row r="206">
          <cell r="A206">
            <v>205</v>
          </cell>
          <cell r="B206" t="str">
            <v xml:space="preserve">duzentos e cinco milhões, </v>
          </cell>
          <cell r="C206" t="str">
            <v xml:space="preserve">duzentos e cinco mil, </v>
          </cell>
          <cell r="D206" t="str">
            <v>duzentos e cinco</v>
          </cell>
          <cell r="E206" t="str">
            <v>duzentos e cinco centavos</v>
          </cell>
        </row>
        <row r="207">
          <cell r="A207">
            <v>206</v>
          </cell>
          <cell r="B207" t="str">
            <v xml:space="preserve">duzentos e seis milhões, </v>
          </cell>
          <cell r="C207" t="str">
            <v xml:space="preserve">duzentos e seis mil, </v>
          </cell>
          <cell r="D207" t="str">
            <v>duzentos e seis</v>
          </cell>
          <cell r="E207" t="str">
            <v>duzentos e seis centavos</v>
          </cell>
        </row>
        <row r="208">
          <cell r="A208">
            <v>207</v>
          </cell>
          <cell r="B208" t="str">
            <v xml:space="preserve">duzentos e sete milhões, </v>
          </cell>
          <cell r="C208" t="str">
            <v xml:space="preserve">duzentos e sete mil, </v>
          </cell>
          <cell r="D208" t="str">
            <v>duzentos e sete</v>
          </cell>
          <cell r="E208" t="str">
            <v>duzentos e sete centavos</v>
          </cell>
        </row>
        <row r="209">
          <cell r="A209">
            <v>208</v>
          </cell>
          <cell r="B209" t="str">
            <v xml:space="preserve">duzentos e oito milhões, </v>
          </cell>
          <cell r="C209" t="str">
            <v xml:space="preserve">duzentos e oito mil, </v>
          </cell>
          <cell r="D209" t="str">
            <v>duzentos e oito</v>
          </cell>
          <cell r="E209" t="str">
            <v>duzentos e oito centavos</v>
          </cell>
        </row>
        <row r="210">
          <cell r="A210">
            <v>209</v>
          </cell>
          <cell r="B210" t="str">
            <v xml:space="preserve">duzentos e nove milhões, </v>
          </cell>
          <cell r="C210" t="str">
            <v xml:space="preserve">duzentos e nove mil, </v>
          </cell>
          <cell r="D210" t="str">
            <v>duzentos e nove</v>
          </cell>
          <cell r="E210" t="str">
            <v>duzentos e nove centavos</v>
          </cell>
        </row>
        <row r="211">
          <cell r="A211">
            <v>210</v>
          </cell>
          <cell r="B211" t="str">
            <v xml:space="preserve">duzentos e dez milhões, </v>
          </cell>
          <cell r="C211" t="str">
            <v xml:space="preserve">duzentos e dez mil, </v>
          </cell>
          <cell r="D211" t="str">
            <v>duzentos e dez</v>
          </cell>
          <cell r="E211" t="str">
            <v>duzentos e dez centavos</v>
          </cell>
        </row>
        <row r="212">
          <cell r="A212">
            <v>211</v>
          </cell>
          <cell r="B212" t="str">
            <v xml:space="preserve">duzentos e onze milhões, </v>
          </cell>
          <cell r="C212" t="str">
            <v xml:space="preserve">duzentos e onze mil, </v>
          </cell>
          <cell r="D212" t="str">
            <v>duzentos e onze</v>
          </cell>
          <cell r="E212" t="str">
            <v>duzentos e onze centavos</v>
          </cell>
        </row>
        <row r="213">
          <cell r="A213">
            <v>212</v>
          </cell>
          <cell r="B213" t="str">
            <v xml:space="preserve">duzentos e doze milhões, </v>
          </cell>
          <cell r="C213" t="str">
            <v xml:space="preserve">duzentos e doze mil, </v>
          </cell>
          <cell r="D213" t="str">
            <v>duzentos e doze</v>
          </cell>
          <cell r="E213" t="str">
            <v>duzentos e doze centavos</v>
          </cell>
        </row>
        <row r="214">
          <cell r="A214">
            <v>213</v>
          </cell>
          <cell r="B214" t="str">
            <v xml:space="preserve">duzentos e treze milhões, </v>
          </cell>
          <cell r="C214" t="str">
            <v xml:space="preserve">duzentos e treze mil, </v>
          </cell>
          <cell r="D214" t="str">
            <v>duzentos e treze</v>
          </cell>
          <cell r="E214" t="str">
            <v>duzentos e treze centavos</v>
          </cell>
        </row>
        <row r="215">
          <cell r="A215">
            <v>214</v>
          </cell>
          <cell r="B215" t="str">
            <v xml:space="preserve">duzentos e quatorze milhões, </v>
          </cell>
          <cell r="C215" t="str">
            <v xml:space="preserve">duzentos e quatorze mil, </v>
          </cell>
          <cell r="D215" t="str">
            <v>duzentos e quatorze</v>
          </cell>
          <cell r="E215" t="str">
            <v>duzentos e quatorze centavos</v>
          </cell>
        </row>
        <row r="216">
          <cell r="A216">
            <v>215</v>
          </cell>
          <cell r="B216" t="str">
            <v xml:space="preserve">duzentos e quinze milhões, </v>
          </cell>
          <cell r="C216" t="str">
            <v xml:space="preserve">duzentos e quinze mil, </v>
          </cell>
          <cell r="D216" t="str">
            <v>duzentos e quinze</v>
          </cell>
          <cell r="E216" t="str">
            <v>duzentos e quinze centavos</v>
          </cell>
        </row>
        <row r="217">
          <cell r="A217">
            <v>216</v>
          </cell>
          <cell r="B217" t="str">
            <v xml:space="preserve">duzentos e dezesseis milhões, </v>
          </cell>
          <cell r="C217" t="str">
            <v xml:space="preserve">duzentos e dezesseis mil, </v>
          </cell>
          <cell r="D217" t="str">
            <v>duzentos e dezesseis</v>
          </cell>
          <cell r="E217" t="str">
            <v>duzentos e dezesseis centavos</v>
          </cell>
        </row>
        <row r="218">
          <cell r="A218">
            <v>217</v>
          </cell>
          <cell r="B218" t="str">
            <v xml:space="preserve">duzentos e dezessete milhões, </v>
          </cell>
          <cell r="C218" t="str">
            <v xml:space="preserve">duzentos e dezessete mil, </v>
          </cell>
          <cell r="D218" t="str">
            <v>duzentos e dezessete</v>
          </cell>
          <cell r="E218" t="str">
            <v>duzentos e dezessete centavos</v>
          </cell>
        </row>
        <row r="219">
          <cell r="A219">
            <v>218</v>
          </cell>
          <cell r="B219" t="str">
            <v xml:space="preserve">duzentos e dezoito milhões, </v>
          </cell>
          <cell r="C219" t="str">
            <v xml:space="preserve">duzentos e dezoito mil, </v>
          </cell>
          <cell r="D219" t="str">
            <v>duzentos e dezoito</v>
          </cell>
          <cell r="E219" t="str">
            <v>duzentos e dezoito centavos</v>
          </cell>
        </row>
        <row r="220">
          <cell r="A220">
            <v>219</v>
          </cell>
          <cell r="B220" t="str">
            <v xml:space="preserve">duzentos e dezenove milhões, </v>
          </cell>
          <cell r="C220" t="str">
            <v xml:space="preserve">duzentos e dezenove mil, </v>
          </cell>
          <cell r="D220" t="str">
            <v>duzentos e dezenove</v>
          </cell>
          <cell r="E220" t="str">
            <v>duzentos e dezenove centavos</v>
          </cell>
        </row>
        <row r="221">
          <cell r="A221">
            <v>220</v>
          </cell>
          <cell r="B221" t="str">
            <v xml:space="preserve">duzentos e vinte milhões, </v>
          </cell>
          <cell r="C221" t="str">
            <v xml:space="preserve">duzentos e vinte mil, </v>
          </cell>
          <cell r="D221" t="str">
            <v>duzentos e vinte</v>
          </cell>
          <cell r="E221" t="str">
            <v>duzentos e vinte centavos</v>
          </cell>
        </row>
        <row r="222">
          <cell r="A222">
            <v>221</v>
          </cell>
          <cell r="B222" t="str">
            <v xml:space="preserve">duzentos e vinte e um milhões, </v>
          </cell>
          <cell r="C222" t="str">
            <v xml:space="preserve">duzentos e vinte e um mil, </v>
          </cell>
          <cell r="D222" t="str">
            <v>duzentos e vinte e um</v>
          </cell>
          <cell r="E222" t="str">
            <v>duzentos e vinte e um centavos</v>
          </cell>
        </row>
        <row r="223">
          <cell r="A223">
            <v>222</v>
          </cell>
          <cell r="B223" t="str">
            <v xml:space="preserve">duzentos e vinte e dois milhões, </v>
          </cell>
          <cell r="C223" t="str">
            <v xml:space="preserve">duzentos e vinte e dois mil, </v>
          </cell>
          <cell r="D223" t="str">
            <v>duzentos e vinte e dois</v>
          </cell>
          <cell r="E223" t="str">
            <v>duzentos e vinte e dois centavos</v>
          </cell>
        </row>
        <row r="224">
          <cell r="A224">
            <v>223</v>
          </cell>
          <cell r="B224" t="str">
            <v xml:space="preserve">duzentos e vinte e tres milhões, </v>
          </cell>
          <cell r="C224" t="str">
            <v xml:space="preserve">duzentos e vinte e tres mil, </v>
          </cell>
          <cell r="D224" t="str">
            <v>duzentos e vinte e tres</v>
          </cell>
          <cell r="E224" t="str">
            <v>duzentos e vinte e tres centavos</v>
          </cell>
        </row>
        <row r="225">
          <cell r="A225">
            <v>224</v>
          </cell>
          <cell r="B225" t="str">
            <v xml:space="preserve">duzentos e vinte e quatro milhões, </v>
          </cell>
          <cell r="C225" t="str">
            <v xml:space="preserve">duzentos e vinte e quatro mil, </v>
          </cell>
          <cell r="D225" t="str">
            <v>duzentos e vinte e quatro</v>
          </cell>
          <cell r="E225" t="str">
            <v>duzentos e vinte e quatro centavos</v>
          </cell>
        </row>
        <row r="226">
          <cell r="A226">
            <v>225</v>
          </cell>
          <cell r="B226" t="str">
            <v xml:space="preserve">duzentos e vinte e cinco milhões, </v>
          </cell>
          <cell r="C226" t="str">
            <v xml:space="preserve">duzentos e vinte e cinco mil, </v>
          </cell>
          <cell r="D226" t="str">
            <v>duzentos e vinte e cinco</v>
          </cell>
          <cell r="E226" t="str">
            <v>duzentos e vinte e cinco centavos</v>
          </cell>
        </row>
        <row r="227">
          <cell r="A227">
            <v>226</v>
          </cell>
          <cell r="B227" t="str">
            <v xml:space="preserve">duzentos e vinte e seis milhões, </v>
          </cell>
          <cell r="C227" t="str">
            <v xml:space="preserve">duzentos e vinte e seis mil, </v>
          </cell>
          <cell r="D227" t="str">
            <v>duzentos e vinte e seis</v>
          </cell>
          <cell r="E227" t="str">
            <v>duzentos e vinte e seis centavos</v>
          </cell>
        </row>
        <row r="228">
          <cell r="A228">
            <v>227</v>
          </cell>
          <cell r="B228" t="str">
            <v xml:space="preserve">duzentos e vinte e sete milhões, </v>
          </cell>
          <cell r="C228" t="str">
            <v xml:space="preserve">duzentos e vinte e sete mil, </v>
          </cell>
          <cell r="D228" t="str">
            <v>duzentos e vinte e sete</v>
          </cell>
          <cell r="E228" t="str">
            <v>duzentos e vinte e sete centavos</v>
          </cell>
        </row>
        <row r="229">
          <cell r="A229">
            <v>228</v>
          </cell>
          <cell r="B229" t="str">
            <v xml:space="preserve">duzentos e vinte e oito milhões, </v>
          </cell>
          <cell r="C229" t="str">
            <v xml:space="preserve">duzentos e vinte e oito mil, </v>
          </cell>
          <cell r="D229" t="str">
            <v>duzentos e vinte e oito</v>
          </cell>
          <cell r="E229" t="str">
            <v>duzentos e vinte e oito centavos</v>
          </cell>
        </row>
        <row r="230">
          <cell r="A230">
            <v>229</v>
          </cell>
          <cell r="B230" t="str">
            <v xml:space="preserve">duzentos e vinte e nove milhões, </v>
          </cell>
          <cell r="C230" t="str">
            <v xml:space="preserve">duzentos e vinte e nove mil, </v>
          </cell>
          <cell r="D230" t="str">
            <v>duzentos e vinte e nove</v>
          </cell>
          <cell r="E230" t="str">
            <v>duzentos e vinte e nove centavos</v>
          </cell>
        </row>
        <row r="231">
          <cell r="A231">
            <v>230</v>
          </cell>
          <cell r="B231" t="str">
            <v xml:space="preserve">duzentos e trinta milhões, </v>
          </cell>
          <cell r="C231" t="str">
            <v xml:space="preserve">duzentos e trinta mil, </v>
          </cell>
          <cell r="D231" t="str">
            <v>duzentos e trinta</v>
          </cell>
          <cell r="E231" t="str">
            <v>duzentos e trinta centavos</v>
          </cell>
        </row>
        <row r="232">
          <cell r="A232">
            <v>231</v>
          </cell>
          <cell r="B232" t="str">
            <v xml:space="preserve">duzentos e trinta e um milhões, </v>
          </cell>
          <cell r="C232" t="str">
            <v xml:space="preserve">duzentos e trinta e um mil, </v>
          </cell>
          <cell r="D232" t="str">
            <v>duzentos e trinta e um</v>
          </cell>
          <cell r="E232" t="str">
            <v>duzentos e trinta e um centavos</v>
          </cell>
        </row>
        <row r="233">
          <cell r="A233">
            <v>232</v>
          </cell>
          <cell r="B233" t="str">
            <v xml:space="preserve">duzentos e trinta e dois milhões, </v>
          </cell>
          <cell r="C233" t="str">
            <v xml:space="preserve">duzentos e trinta e dois mil, </v>
          </cell>
          <cell r="D233" t="str">
            <v>duzentos e trinta e dois</v>
          </cell>
          <cell r="E233" t="str">
            <v>duzentos e trinta e dois centavos</v>
          </cell>
        </row>
        <row r="234">
          <cell r="A234">
            <v>233</v>
          </cell>
          <cell r="B234" t="str">
            <v xml:space="preserve">duzentos e trinta e tres milhões, </v>
          </cell>
          <cell r="C234" t="str">
            <v xml:space="preserve">duzentos e trinta e tres mil, </v>
          </cell>
          <cell r="D234" t="str">
            <v>duzentos e trinta e tres</v>
          </cell>
          <cell r="E234" t="str">
            <v>duzentos e trinta e tres centavos</v>
          </cell>
        </row>
        <row r="235">
          <cell r="A235">
            <v>234</v>
          </cell>
          <cell r="B235" t="str">
            <v xml:space="preserve">duzentos e trinta e quatro milhões, </v>
          </cell>
          <cell r="C235" t="str">
            <v xml:space="preserve">duzentos e trinta e quatro mil, </v>
          </cell>
          <cell r="D235" t="str">
            <v>duzentos e trinta e quatro</v>
          </cell>
          <cell r="E235" t="str">
            <v>duzentos e trinta e quatro centavos</v>
          </cell>
        </row>
        <row r="236">
          <cell r="A236">
            <v>235</v>
          </cell>
          <cell r="B236" t="str">
            <v xml:space="preserve">duzentos e trinta e cinco milhões, </v>
          </cell>
          <cell r="C236" t="str">
            <v xml:space="preserve">duzentos e trinta e cinco mil, </v>
          </cell>
          <cell r="D236" t="str">
            <v>duzentos e trinta e cinco</v>
          </cell>
          <cell r="E236" t="str">
            <v>duzentos e trinta e cinco centavos</v>
          </cell>
        </row>
        <row r="237">
          <cell r="A237">
            <v>236</v>
          </cell>
          <cell r="B237" t="str">
            <v xml:space="preserve">duzentos e trinta e seis milhões, </v>
          </cell>
          <cell r="C237" t="str">
            <v xml:space="preserve">duzentos e trinta e seis mil, </v>
          </cell>
          <cell r="D237" t="str">
            <v>duzentos e trinta e seis</v>
          </cell>
          <cell r="E237" t="str">
            <v>duzentos e trinta e seis centavos</v>
          </cell>
        </row>
        <row r="238">
          <cell r="A238">
            <v>237</v>
          </cell>
          <cell r="B238" t="str">
            <v xml:space="preserve">duzentos e trinta e sete milhões, </v>
          </cell>
          <cell r="C238" t="str">
            <v xml:space="preserve">duzentos e trinta e sete mil, </v>
          </cell>
          <cell r="D238" t="str">
            <v>duzentos e trinta e sete</v>
          </cell>
          <cell r="E238" t="str">
            <v>duzentos e trinta e sete centavos</v>
          </cell>
        </row>
        <row r="239">
          <cell r="A239">
            <v>238</v>
          </cell>
          <cell r="B239" t="str">
            <v xml:space="preserve">duzentos e trinta e oito milhões, </v>
          </cell>
          <cell r="C239" t="str">
            <v xml:space="preserve">duzentos e trinta e oito mil, </v>
          </cell>
          <cell r="D239" t="str">
            <v>duzentos e trinta e oito</v>
          </cell>
          <cell r="E239" t="str">
            <v>duzentos e trinta e oito centavos</v>
          </cell>
        </row>
        <row r="240">
          <cell r="A240">
            <v>239</v>
          </cell>
          <cell r="B240" t="str">
            <v xml:space="preserve">duzentos e trinta e nove milhões, </v>
          </cell>
          <cell r="C240" t="str">
            <v xml:space="preserve">duzentos e trinta e nove mil, </v>
          </cell>
          <cell r="D240" t="str">
            <v>duzentos e trinta e nove</v>
          </cell>
          <cell r="E240" t="str">
            <v>duzentos e trinta e nove centavos</v>
          </cell>
        </row>
        <row r="241">
          <cell r="A241">
            <v>240</v>
          </cell>
          <cell r="B241" t="str">
            <v xml:space="preserve">duzentos e quarenta milhões, </v>
          </cell>
          <cell r="C241" t="str">
            <v xml:space="preserve">duzentos e quarenta mil, </v>
          </cell>
          <cell r="D241" t="str">
            <v>duzentos e quarenta</v>
          </cell>
          <cell r="E241" t="str">
            <v>duzentos e quarenta centavos</v>
          </cell>
        </row>
        <row r="242">
          <cell r="A242">
            <v>241</v>
          </cell>
          <cell r="B242" t="str">
            <v xml:space="preserve">duzentos e quarenta e um milhões, </v>
          </cell>
          <cell r="C242" t="str">
            <v xml:space="preserve">duzentos e quarenta e um mil, </v>
          </cell>
          <cell r="D242" t="str">
            <v>duzentos e quarenta e um</v>
          </cell>
          <cell r="E242" t="str">
            <v>duzentos e quarenta e um centavos</v>
          </cell>
        </row>
        <row r="243">
          <cell r="A243">
            <v>242</v>
          </cell>
          <cell r="B243" t="str">
            <v xml:space="preserve">duzentos e quarenta e dois milhões, </v>
          </cell>
          <cell r="C243" t="str">
            <v xml:space="preserve">duzentos e quarenta e dois mil, </v>
          </cell>
          <cell r="D243" t="str">
            <v>duzentos e quarenta e dois</v>
          </cell>
          <cell r="E243" t="str">
            <v>duzentos e quarenta e dois centavos</v>
          </cell>
        </row>
        <row r="244">
          <cell r="A244">
            <v>243</v>
          </cell>
          <cell r="B244" t="str">
            <v xml:space="preserve">duzentos e quarenta e tres milhões, </v>
          </cell>
          <cell r="C244" t="str">
            <v xml:space="preserve">duzentos e quarenta e tres mil, </v>
          </cell>
          <cell r="D244" t="str">
            <v>duzentos e quarenta e tres</v>
          </cell>
          <cell r="E244" t="str">
            <v>duzentos e quarenta e tres centavos</v>
          </cell>
        </row>
        <row r="245">
          <cell r="A245">
            <v>244</v>
          </cell>
          <cell r="B245" t="str">
            <v xml:space="preserve">duzentos e quarenta e quatro milhões, </v>
          </cell>
          <cell r="C245" t="str">
            <v xml:space="preserve">duzentos e quarenta e quatro mil, </v>
          </cell>
          <cell r="D245" t="str">
            <v>duzentos e quarenta e quatro</v>
          </cell>
          <cell r="E245" t="str">
            <v>duzentos e quarenta e quatro centavos</v>
          </cell>
        </row>
        <row r="246">
          <cell r="A246">
            <v>245</v>
          </cell>
          <cell r="B246" t="str">
            <v xml:space="preserve">duzentos e quarenta e cinco milhões, </v>
          </cell>
          <cell r="C246" t="str">
            <v xml:space="preserve">duzentos e quarenta e cinco mil, </v>
          </cell>
          <cell r="D246" t="str">
            <v>duzentos e quarenta e cinco</v>
          </cell>
          <cell r="E246" t="str">
            <v>duzentos e quarenta e cinco centavos</v>
          </cell>
        </row>
        <row r="247">
          <cell r="A247">
            <v>246</v>
          </cell>
          <cell r="B247" t="str">
            <v xml:space="preserve">duzentos e quarenta e seis milhões, </v>
          </cell>
          <cell r="C247" t="str">
            <v xml:space="preserve">duzentos e quarenta e seis mil, </v>
          </cell>
          <cell r="D247" t="str">
            <v>duzentos e quarenta e seis</v>
          </cell>
          <cell r="E247" t="str">
            <v>duzentos e quarenta e seis centavos</v>
          </cell>
        </row>
        <row r="248">
          <cell r="A248">
            <v>247</v>
          </cell>
          <cell r="B248" t="str">
            <v xml:space="preserve">duzentos e quarenta e sete milhões, </v>
          </cell>
          <cell r="C248" t="str">
            <v xml:space="preserve">duzentos e quarenta e sete mil, </v>
          </cell>
          <cell r="D248" t="str">
            <v>duzentos e quarenta e sete</v>
          </cell>
          <cell r="E248" t="str">
            <v>duzentos e quarenta e sete centavos</v>
          </cell>
        </row>
        <row r="249">
          <cell r="A249">
            <v>248</v>
          </cell>
          <cell r="B249" t="str">
            <v xml:space="preserve">duzentos e quarenta e oito milhões, </v>
          </cell>
          <cell r="C249" t="str">
            <v xml:space="preserve">duzentos e quarenta e oito mil, </v>
          </cell>
          <cell r="D249" t="str">
            <v>duzentos e quarenta e oito</v>
          </cell>
          <cell r="E249" t="str">
            <v>duzentos e quarenta e oito centavos</v>
          </cell>
        </row>
        <row r="250">
          <cell r="A250">
            <v>249</v>
          </cell>
          <cell r="B250" t="str">
            <v xml:space="preserve">duzentos e quarenta e nove milhões, </v>
          </cell>
          <cell r="C250" t="str">
            <v xml:space="preserve">duzentos e quarenta e nove mil, </v>
          </cell>
          <cell r="D250" t="str">
            <v>duzentos e quarenta e nove</v>
          </cell>
          <cell r="E250" t="str">
            <v>duzentos e quarenta e nove centavos</v>
          </cell>
        </row>
        <row r="251">
          <cell r="A251">
            <v>250</v>
          </cell>
          <cell r="B251" t="str">
            <v xml:space="preserve">duzentos e cinquenta milhões, </v>
          </cell>
          <cell r="C251" t="str">
            <v xml:space="preserve">duzentos e cinquenta mil, </v>
          </cell>
          <cell r="D251" t="str">
            <v>duzentos e cinquenta</v>
          </cell>
          <cell r="E251" t="str">
            <v>duzentos e cinquenta centavos</v>
          </cell>
        </row>
        <row r="252">
          <cell r="A252">
            <v>251</v>
          </cell>
          <cell r="B252" t="str">
            <v xml:space="preserve">duzentos e cinquenta e um milhões, </v>
          </cell>
          <cell r="C252" t="str">
            <v xml:space="preserve">duzentos e cinquenta e um mil, </v>
          </cell>
          <cell r="D252" t="str">
            <v>duzentos e cinquenta e um</v>
          </cell>
          <cell r="E252" t="str">
            <v>duzentos e cinquenta e um centavos</v>
          </cell>
        </row>
        <row r="253">
          <cell r="A253">
            <v>252</v>
          </cell>
          <cell r="B253" t="str">
            <v xml:space="preserve">duzentos e cinquenta e dois milhões, </v>
          </cell>
          <cell r="C253" t="str">
            <v xml:space="preserve">duzentos e cinquenta e dois mil, </v>
          </cell>
          <cell r="D253" t="str">
            <v>duzentos e cinquenta e dois</v>
          </cell>
          <cell r="E253" t="str">
            <v>duzentos e cinquenta e dois centavos</v>
          </cell>
        </row>
        <row r="254">
          <cell r="A254">
            <v>253</v>
          </cell>
          <cell r="B254" t="str">
            <v xml:space="preserve">duzentos e cinquenta e tres milhões, </v>
          </cell>
          <cell r="C254" t="str">
            <v xml:space="preserve">duzentos e cinquenta e tres mil, </v>
          </cell>
          <cell r="D254" t="str">
            <v>duzentos e cinquenta e tres</v>
          </cell>
          <cell r="E254" t="str">
            <v>duzentos e cinquenta e tres centavos</v>
          </cell>
        </row>
        <row r="255">
          <cell r="A255">
            <v>254</v>
          </cell>
          <cell r="B255" t="str">
            <v xml:space="preserve">duzentos e cinquenta e quatro milhões, </v>
          </cell>
          <cell r="C255" t="str">
            <v xml:space="preserve">duzentos e cinquenta e quatro mil, </v>
          </cell>
          <cell r="D255" t="str">
            <v>duzentos e cinquenta e quatro</v>
          </cell>
          <cell r="E255" t="str">
            <v>duzentos e cinquenta e quatro centavos</v>
          </cell>
        </row>
        <row r="256">
          <cell r="A256">
            <v>255</v>
          </cell>
          <cell r="B256" t="str">
            <v xml:space="preserve">duzentos e cinquenta e cinco milhões, </v>
          </cell>
          <cell r="C256" t="str">
            <v xml:space="preserve">duzentos e cinquenta e cinco mil, </v>
          </cell>
          <cell r="D256" t="str">
            <v>duzentos e cinquenta e cinco</v>
          </cell>
          <cell r="E256" t="str">
            <v>duzentos e cinquenta e cinco centavos</v>
          </cell>
        </row>
        <row r="257">
          <cell r="A257">
            <v>256</v>
          </cell>
          <cell r="B257" t="str">
            <v xml:space="preserve">duzentos e cinquenta e seis milhões, </v>
          </cell>
          <cell r="C257" t="str">
            <v xml:space="preserve">duzentos e cinquenta e seis mil, </v>
          </cell>
          <cell r="D257" t="str">
            <v>duzentos e cinquenta e seis</v>
          </cell>
          <cell r="E257" t="str">
            <v>duzentos e cinquenta e seis centavos</v>
          </cell>
        </row>
        <row r="258">
          <cell r="A258">
            <v>257</v>
          </cell>
          <cell r="B258" t="str">
            <v xml:space="preserve">duzentos e cinquenta e sete milhões, </v>
          </cell>
          <cell r="C258" t="str">
            <v xml:space="preserve">duzentos e cinquenta e sete mil, </v>
          </cell>
          <cell r="D258" t="str">
            <v>duzentos e cinquenta e sete</v>
          </cell>
          <cell r="E258" t="str">
            <v>duzentos e cinquenta e sete centavos</v>
          </cell>
        </row>
        <row r="259">
          <cell r="A259">
            <v>258</v>
          </cell>
          <cell r="B259" t="str">
            <v xml:space="preserve">duzentos e cinquenta e oito milhões, </v>
          </cell>
          <cell r="C259" t="str">
            <v xml:space="preserve">duzentos e cinquenta e oito mil, </v>
          </cell>
          <cell r="D259" t="str">
            <v>duzentos e cinquenta e oito</v>
          </cell>
          <cell r="E259" t="str">
            <v>duzentos e cinquenta e oito centavos</v>
          </cell>
        </row>
        <row r="260">
          <cell r="A260">
            <v>259</v>
          </cell>
          <cell r="B260" t="str">
            <v xml:space="preserve">duzentos e cinquenta e nove milhões, </v>
          </cell>
          <cell r="C260" t="str">
            <v xml:space="preserve">duzentos e cinquenta e nove mil, </v>
          </cell>
          <cell r="D260" t="str">
            <v>duzentos e cinquenta e nove</v>
          </cell>
          <cell r="E260" t="str">
            <v>duzentos e cinquenta e nove centavos</v>
          </cell>
        </row>
        <row r="261">
          <cell r="A261">
            <v>260</v>
          </cell>
          <cell r="B261" t="str">
            <v xml:space="preserve">duzentos e sessenta milhões, </v>
          </cell>
          <cell r="C261" t="str">
            <v xml:space="preserve">duzentos e sessenta mil, </v>
          </cell>
          <cell r="D261" t="str">
            <v>duzentos e sessenta</v>
          </cell>
          <cell r="E261" t="str">
            <v>duzentos e sessenta centavos</v>
          </cell>
        </row>
        <row r="262">
          <cell r="A262">
            <v>261</v>
          </cell>
          <cell r="B262" t="str">
            <v xml:space="preserve">duzentos e sessenta e um milhões, </v>
          </cell>
          <cell r="C262" t="str">
            <v xml:space="preserve">duzentos e sessenta e um mil, </v>
          </cell>
          <cell r="D262" t="str">
            <v>duzentos e sessenta e um</v>
          </cell>
          <cell r="E262" t="str">
            <v>duzentos e sessenta e um centavos</v>
          </cell>
        </row>
        <row r="263">
          <cell r="A263">
            <v>262</v>
          </cell>
          <cell r="B263" t="str">
            <v xml:space="preserve">duzentos e sessenta e dois milhões, </v>
          </cell>
          <cell r="C263" t="str">
            <v xml:space="preserve">duzentos e sessenta e dois mil, </v>
          </cell>
          <cell r="D263" t="str">
            <v>duzentos e sessenta e dois</v>
          </cell>
          <cell r="E263" t="str">
            <v>duzentos e sessenta e dois centavos</v>
          </cell>
        </row>
        <row r="264">
          <cell r="A264">
            <v>263</v>
          </cell>
          <cell r="B264" t="str">
            <v xml:space="preserve">duzentos e sessenta e tres milhões, </v>
          </cell>
          <cell r="C264" t="str">
            <v xml:space="preserve">duzentos e sessenta e tres mil, </v>
          </cell>
          <cell r="D264" t="str">
            <v>duzentos e sessenta e tres</v>
          </cell>
          <cell r="E264" t="str">
            <v>duzentos e sessenta e tres centavos</v>
          </cell>
        </row>
        <row r="265">
          <cell r="A265">
            <v>264</v>
          </cell>
          <cell r="B265" t="str">
            <v xml:space="preserve">duzentos e sessenta e quatro milhões, </v>
          </cell>
          <cell r="C265" t="str">
            <v xml:space="preserve">duzentos e sessenta e quatro mil, </v>
          </cell>
          <cell r="D265" t="str">
            <v>duzentos e sessenta e quatro</v>
          </cell>
          <cell r="E265" t="str">
            <v>duzentos e sessenta e quatro centavos</v>
          </cell>
        </row>
        <row r="266">
          <cell r="A266">
            <v>265</v>
          </cell>
          <cell r="B266" t="str">
            <v xml:space="preserve">duzentos e sessenta e cinco milhões, </v>
          </cell>
          <cell r="C266" t="str">
            <v xml:space="preserve">duzentos e sessenta e cinco mil, </v>
          </cell>
          <cell r="D266" t="str">
            <v>duzentos e sessenta e cinco</v>
          </cell>
          <cell r="E266" t="str">
            <v>duzentos e sessenta e cinco centavos</v>
          </cell>
        </row>
        <row r="267">
          <cell r="A267">
            <v>266</v>
          </cell>
          <cell r="B267" t="str">
            <v xml:space="preserve">duzentos e sessenta e seis milhões, </v>
          </cell>
          <cell r="C267" t="str">
            <v xml:space="preserve">duzentos e sessenta e seis mil, </v>
          </cell>
          <cell r="D267" t="str">
            <v>duzentos e sessenta e seis</v>
          </cell>
          <cell r="E267" t="str">
            <v>duzentos e sessenta e seis centavos</v>
          </cell>
        </row>
        <row r="268">
          <cell r="A268">
            <v>267</v>
          </cell>
          <cell r="B268" t="str">
            <v xml:space="preserve">duzentos e sessenta e sete milhões, </v>
          </cell>
          <cell r="C268" t="str">
            <v xml:space="preserve">duzentos e sessenta e sete mil, </v>
          </cell>
          <cell r="D268" t="str">
            <v>duzentos e sessenta e sete</v>
          </cell>
          <cell r="E268" t="str">
            <v>duzentos e sessenta e sete centavos</v>
          </cell>
        </row>
        <row r="269">
          <cell r="A269">
            <v>268</v>
          </cell>
          <cell r="B269" t="str">
            <v xml:space="preserve">duzentos e sessenta e oito milhões, </v>
          </cell>
          <cell r="C269" t="str">
            <v xml:space="preserve">duzentos e sessenta e oito mil, </v>
          </cell>
          <cell r="D269" t="str">
            <v>duzentos e sessenta e oito</v>
          </cell>
          <cell r="E269" t="str">
            <v>duzentos e sessenta e oito centavos</v>
          </cell>
        </row>
        <row r="270">
          <cell r="A270">
            <v>269</v>
          </cell>
          <cell r="B270" t="str">
            <v xml:space="preserve">duzentos e sessenta e nove milhões, </v>
          </cell>
          <cell r="C270" t="str">
            <v xml:space="preserve">duzentos e sessenta e nove mil, </v>
          </cell>
          <cell r="D270" t="str">
            <v>duzentos e sessenta e nove</v>
          </cell>
          <cell r="E270" t="str">
            <v>duzentos e sessenta e nove centavos</v>
          </cell>
        </row>
        <row r="271">
          <cell r="A271">
            <v>270</v>
          </cell>
          <cell r="B271" t="str">
            <v xml:space="preserve">duzentos e setenta milhões, </v>
          </cell>
          <cell r="C271" t="str">
            <v xml:space="preserve">duzentos e setenta mil, </v>
          </cell>
          <cell r="D271" t="str">
            <v>duzentos e setenta</v>
          </cell>
          <cell r="E271" t="str">
            <v>duzentos e setenta centavos</v>
          </cell>
        </row>
        <row r="272">
          <cell r="A272">
            <v>271</v>
          </cell>
          <cell r="B272" t="str">
            <v xml:space="preserve">duzentos e setenta e um milhões, </v>
          </cell>
          <cell r="C272" t="str">
            <v xml:space="preserve">duzentos e setenta e um mil, </v>
          </cell>
          <cell r="D272" t="str">
            <v>duzentos e setenta e um</v>
          </cell>
          <cell r="E272" t="str">
            <v>duzentos e setenta e um centavos</v>
          </cell>
        </row>
        <row r="273">
          <cell r="A273">
            <v>272</v>
          </cell>
          <cell r="B273" t="str">
            <v xml:space="preserve">duzentos e setenta e dois milhões, </v>
          </cell>
          <cell r="C273" t="str">
            <v xml:space="preserve">duzentos e setenta e dois mil, </v>
          </cell>
          <cell r="D273" t="str">
            <v>duzentos e setenta e dois</v>
          </cell>
          <cell r="E273" t="str">
            <v>duzentos e setenta e dois centavos</v>
          </cell>
        </row>
        <row r="274">
          <cell r="A274">
            <v>273</v>
          </cell>
          <cell r="B274" t="str">
            <v xml:space="preserve">duzentos e setenta e tres milhões, </v>
          </cell>
          <cell r="C274" t="str">
            <v xml:space="preserve">duzentos e setenta e tres mil, </v>
          </cell>
          <cell r="D274" t="str">
            <v>duzentos e setenta e tres</v>
          </cell>
          <cell r="E274" t="str">
            <v>duzentos e setenta e tres centavos</v>
          </cell>
        </row>
        <row r="275">
          <cell r="A275">
            <v>274</v>
          </cell>
          <cell r="B275" t="str">
            <v xml:space="preserve">duzentos e setenta e quatro milhões, </v>
          </cell>
          <cell r="C275" t="str">
            <v xml:space="preserve">duzentos e setenta e quatro mil, </v>
          </cell>
          <cell r="D275" t="str">
            <v>duzentos e setenta e quatro</v>
          </cell>
          <cell r="E275" t="str">
            <v>duzentos e setenta e quatro centavos</v>
          </cell>
        </row>
        <row r="276">
          <cell r="A276">
            <v>275</v>
          </cell>
          <cell r="B276" t="str">
            <v xml:space="preserve">duzentos e setenta e cinco milhões, </v>
          </cell>
          <cell r="C276" t="str">
            <v xml:space="preserve">duzentos e setenta e cinco mil, </v>
          </cell>
          <cell r="D276" t="str">
            <v>duzentos e setenta e cinco</v>
          </cell>
          <cell r="E276" t="str">
            <v>duzentos e setenta e cinco centavos</v>
          </cell>
        </row>
        <row r="277">
          <cell r="A277">
            <v>276</v>
          </cell>
          <cell r="B277" t="str">
            <v xml:space="preserve">duzentos e setenta e seis milhões, </v>
          </cell>
          <cell r="C277" t="str">
            <v xml:space="preserve">duzentos e setenta e seis mil, </v>
          </cell>
          <cell r="D277" t="str">
            <v>duzentos e setenta e seis</v>
          </cell>
          <cell r="E277" t="str">
            <v>duzentos e setenta e seis centavos</v>
          </cell>
        </row>
        <row r="278">
          <cell r="A278">
            <v>277</v>
          </cell>
          <cell r="B278" t="str">
            <v xml:space="preserve">duzentos e setenta e sete milhões, </v>
          </cell>
          <cell r="C278" t="str">
            <v xml:space="preserve">duzentos e setenta e sete mil, </v>
          </cell>
          <cell r="D278" t="str">
            <v>duzentos e setenta e sete</v>
          </cell>
          <cell r="E278" t="str">
            <v>duzentos e setenta e sete centavos</v>
          </cell>
        </row>
        <row r="279">
          <cell r="A279">
            <v>278</v>
          </cell>
          <cell r="B279" t="str">
            <v xml:space="preserve">duzentos e setenta e oito milhões, </v>
          </cell>
          <cell r="C279" t="str">
            <v xml:space="preserve">duzentos e setenta e oito mil, </v>
          </cell>
          <cell r="D279" t="str">
            <v>duzentos e setenta e oito</v>
          </cell>
          <cell r="E279" t="str">
            <v>duzentos e setenta e oito centavos</v>
          </cell>
        </row>
        <row r="280">
          <cell r="A280">
            <v>279</v>
          </cell>
          <cell r="B280" t="str">
            <v xml:space="preserve">duzentos e setenta e nove milhões, </v>
          </cell>
          <cell r="C280" t="str">
            <v xml:space="preserve">duzentos e setenta e nove mil, </v>
          </cell>
          <cell r="D280" t="str">
            <v>duzentos e setenta e nove</v>
          </cell>
          <cell r="E280" t="str">
            <v>duzentos e setenta e nove centavos</v>
          </cell>
        </row>
        <row r="281">
          <cell r="A281">
            <v>280</v>
          </cell>
          <cell r="B281" t="str">
            <v xml:space="preserve">duzentos e oitenta milhões, </v>
          </cell>
          <cell r="C281" t="str">
            <v xml:space="preserve">duzentos e oitenta mil, </v>
          </cell>
          <cell r="D281" t="str">
            <v>duzentos e oitenta</v>
          </cell>
          <cell r="E281" t="str">
            <v>duzentos e oitenta centavos</v>
          </cell>
        </row>
        <row r="282">
          <cell r="A282">
            <v>281</v>
          </cell>
          <cell r="B282" t="str">
            <v xml:space="preserve">duzentos e oitenta e um milhões, </v>
          </cell>
          <cell r="C282" t="str">
            <v xml:space="preserve">duzentos e oitenta e um mil, </v>
          </cell>
          <cell r="D282" t="str">
            <v>duzentos e oitenta e um</v>
          </cell>
          <cell r="E282" t="str">
            <v>duzentos e oitenta e um centavos</v>
          </cell>
        </row>
        <row r="283">
          <cell r="A283">
            <v>282</v>
          </cell>
          <cell r="B283" t="str">
            <v xml:space="preserve">duzentos e oitenta e dois milhões, </v>
          </cell>
          <cell r="C283" t="str">
            <v xml:space="preserve">duzentos e oitenta e dois mil, </v>
          </cell>
          <cell r="D283" t="str">
            <v>duzentos e oitenta e dois</v>
          </cell>
          <cell r="E283" t="str">
            <v>duzentos e oitenta e dois centavos</v>
          </cell>
        </row>
        <row r="284">
          <cell r="A284">
            <v>283</v>
          </cell>
          <cell r="B284" t="str">
            <v xml:space="preserve">duzentos e oitenta e tres milhões, </v>
          </cell>
          <cell r="C284" t="str">
            <v xml:space="preserve">duzentos e oitenta e tres mil, </v>
          </cell>
          <cell r="D284" t="str">
            <v>duzentos e oitenta e tres</v>
          </cell>
          <cell r="E284" t="str">
            <v>duzentos e oitenta e tres centavos</v>
          </cell>
        </row>
        <row r="285">
          <cell r="A285">
            <v>284</v>
          </cell>
          <cell r="B285" t="str">
            <v xml:space="preserve">duzentos e oitenta e quatro milhões, </v>
          </cell>
          <cell r="C285" t="str">
            <v xml:space="preserve">duzentos e oitenta e quatro mil, </v>
          </cell>
          <cell r="D285" t="str">
            <v>duzentos e oitenta e quatro</v>
          </cell>
          <cell r="E285" t="str">
            <v>duzentos e oitenta e quatro centavos</v>
          </cell>
        </row>
        <row r="286">
          <cell r="A286">
            <v>285</v>
          </cell>
          <cell r="B286" t="str">
            <v xml:space="preserve">duzentos e oitenta e cinco milhões, </v>
          </cell>
          <cell r="C286" t="str">
            <v xml:space="preserve">duzentos e oitenta e cinco mil, </v>
          </cell>
          <cell r="D286" t="str">
            <v>duzentos e oitenta e cinco</v>
          </cell>
          <cell r="E286" t="str">
            <v>duzentos e oitenta e cinco centavos</v>
          </cell>
        </row>
        <row r="287">
          <cell r="A287">
            <v>286</v>
          </cell>
          <cell r="B287" t="str">
            <v xml:space="preserve">duzentos e oitenta e seis milhões, </v>
          </cell>
          <cell r="C287" t="str">
            <v xml:space="preserve">duzentos e oitenta e seis mil, </v>
          </cell>
          <cell r="D287" t="str">
            <v>duzentos e oitenta e seis</v>
          </cell>
          <cell r="E287" t="str">
            <v>duzentos e oitenta e seis centavos</v>
          </cell>
        </row>
        <row r="288">
          <cell r="A288">
            <v>287</v>
          </cell>
          <cell r="B288" t="str">
            <v xml:space="preserve">duzentos e oitenta e sete milhões, </v>
          </cell>
          <cell r="C288" t="str">
            <v xml:space="preserve">duzentos e oitenta e sete mil, </v>
          </cell>
          <cell r="D288" t="str">
            <v>duzentos e oitenta e sete</v>
          </cell>
          <cell r="E288" t="str">
            <v>duzentos e oitenta e sete centavos</v>
          </cell>
        </row>
        <row r="289">
          <cell r="A289">
            <v>288</v>
          </cell>
          <cell r="B289" t="str">
            <v xml:space="preserve">duzentos e oitenta e oito milhões, </v>
          </cell>
          <cell r="C289" t="str">
            <v xml:space="preserve">duzentos e oitenta e oito mil, </v>
          </cell>
          <cell r="D289" t="str">
            <v>duzentos e oitenta e oito</v>
          </cell>
          <cell r="E289" t="str">
            <v>duzentos e oitenta e oito centavos</v>
          </cell>
        </row>
        <row r="290">
          <cell r="A290">
            <v>289</v>
          </cell>
          <cell r="B290" t="str">
            <v xml:space="preserve">duzentos e oitenta e nove milhões, </v>
          </cell>
          <cell r="C290" t="str">
            <v xml:space="preserve">duzentos e oitenta e nove mil, </v>
          </cell>
          <cell r="D290" t="str">
            <v>duzentos e oitenta e nove</v>
          </cell>
          <cell r="E290" t="str">
            <v>duzentos e oitenta e nove centavos</v>
          </cell>
        </row>
        <row r="291">
          <cell r="A291">
            <v>290</v>
          </cell>
          <cell r="B291" t="str">
            <v xml:space="preserve">duzentos e noventa milhões, </v>
          </cell>
          <cell r="C291" t="str">
            <v xml:space="preserve">duzentos e noventa mil, </v>
          </cell>
          <cell r="D291" t="str">
            <v>duzentos e noventa</v>
          </cell>
          <cell r="E291" t="str">
            <v>duzentos e noventa centavos</v>
          </cell>
        </row>
        <row r="292">
          <cell r="A292">
            <v>291</v>
          </cell>
          <cell r="B292" t="str">
            <v xml:space="preserve">duzentos e noventa e um milhões, </v>
          </cell>
          <cell r="C292" t="str">
            <v xml:space="preserve">duzentos e noventa e um mil, </v>
          </cell>
          <cell r="D292" t="str">
            <v>duzentos e noventa e um</v>
          </cell>
          <cell r="E292" t="str">
            <v>duzentos e noventa e um centavos</v>
          </cell>
        </row>
        <row r="293">
          <cell r="A293">
            <v>292</v>
          </cell>
          <cell r="B293" t="str">
            <v xml:space="preserve">duzentos e noventa e dois milhões, </v>
          </cell>
          <cell r="C293" t="str">
            <v xml:space="preserve">duzentos e noventa e dois mil, </v>
          </cell>
          <cell r="D293" t="str">
            <v>duzentos e noventa e dois</v>
          </cell>
          <cell r="E293" t="str">
            <v>duzentos e noventa e dois centavos</v>
          </cell>
        </row>
        <row r="294">
          <cell r="A294">
            <v>293</v>
          </cell>
          <cell r="B294" t="str">
            <v xml:space="preserve">duzentos e noventa e tres milhões, </v>
          </cell>
          <cell r="C294" t="str">
            <v xml:space="preserve">duzentos e noventa e tres mil, </v>
          </cell>
          <cell r="D294" t="str">
            <v>duzentos e noventa e tres</v>
          </cell>
          <cell r="E294" t="str">
            <v>duzentos e noventa e tres centavos</v>
          </cell>
        </row>
        <row r="295">
          <cell r="A295">
            <v>294</v>
          </cell>
          <cell r="B295" t="str">
            <v xml:space="preserve">duzentos e noventa e quatro milhões, </v>
          </cell>
          <cell r="C295" t="str">
            <v xml:space="preserve">duzentos e noventa e quatro mil, </v>
          </cell>
          <cell r="D295" t="str">
            <v>duzentos e noventa e quatro</v>
          </cell>
          <cell r="E295" t="str">
            <v>duzentos e noventa e quatro centavos</v>
          </cell>
        </row>
        <row r="296">
          <cell r="A296">
            <v>295</v>
          </cell>
          <cell r="B296" t="str">
            <v xml:space="preserve">duzentos e noventa e cinco milhões, </v>
          </cell>
          <cell r="C296" t="str">
            <v xml:space="preserve">duzentos e noventa e cinco mil, </v>
          </cell>
          <cell r="D296" t="str">
            <v>duzentos e noventa e cinco</v>
          </cell>
          <cell r="E296" t="str">
            <v>duzentos e noventa e cinco centavos</v>
          </cell>
        </row>
        <row r="297">
          <cell r="A297">
            <v>296</v>
          </cell>
          <cell r="B297" t="str">
            <v xml:space="preserve">duzentos e noventa e seis milhões, </v>
          </cell>
          <cell r="C297" t="str">
            <v xml:space="preserve">duzentos e noventa e seis mil, </v>
          </cell>
          <cell r="D297" t="str">
            <v>duzentos e noventa e seis</v>
          </cell>
          <cell r="E297" t="str">
            <v>duzentos e noventa e seis centavos</v>
          </cell>
        </row>
        <row r="298">
          <cell r="A298">
            <v>297</v>
          </cell>
          <cell r="B298" t="str">
            <v xml:space="preserve">duzentos e noventa e sete milhões, </v>
          </cell>
          <cell r="C298" t="str">
            <v xml:space="preserve">duzentos e noventa e sete mil, </v>
          </cell>
          <cell r="D298" t="str">
            <v>duzentos e noventa e sete</v>
          </cell>
          <cell r="E298" t="str">
            <v>duzentos e noventa e sete centavos</v>
          </cell>
        </row>
        <row r="299">
          <cell r="A299">
            <v>298</v>
          </cell>
          <cell r="B299" t="str">
            <v xml:space="preserve">duzentos e noventa e oito milhões, </v>
          </cell>
          <cell r="C299" t="str">
            <v xml:space="preserve">duzentos e noventa e oito mil, </v>
          </cell>
          <cell r="D299" t="str">
            <v>duzentos e noventa e oito</v>
          </cell>
          <cell r="E299" t="str">
            <v>duzentos e noventa e oito centavos</v>
          </cell>
        </row>
        <row r="300">
          <cell r="A300">
            <v>299</v>
          </cell>
          <cell r="B300" t="str">
            <v xml:space="preserve">duzentos e noventa e nove milhões, </v>
          </cell>
          <cell r="C300" t="str">
            <v xml:space="preserve">duzentos e noventa e nove mil, </v>
          </cell>
          <cell r="D300" t="str">
            <v>duzentos e noventa e nove</v>
          </cell>
          <cell r="E300" t="str">
            <v>duzentos e noventa e nove centavos</v>
          </cell>
        </row>
        <row r="301">
          <cell r="A301">
            <v>300</v>
          </cell>
          <cell r="B301" t="str">
            <v xml:space="preserve">trezentos milhões, </v>
          </cell>
          <cell r="C301" t="str">
            <v xml:space="preserve">trezentos mil, </v>
          </cell>
          <cell r="D301" t="str">
            <v>trezentos</v>
          </cell>
          <cell r="E301" t="str">
            <v>trezentos centavos</v>
          </cell>
        </row>
        <row r="302">
          <cell r="A302">
            <v>301</v>
          </cell>
          <cell r="B302" t="str">
            <v xml:space="preserve">trezentos e um milhões, </v>
          </cell>
          <cell r="C302" t="str">
            <v xml:space="preserve">trezentos e um mil, </v>
          </cell>
          <cell r="D302" t="str">
            <v>trezentos e um</v>
          </cell>
          <cell r="E302" t="str">
            <v>trezentos e um centavos</v>
          </cell>
        </row>
        <row r="303">
          <cell r="A303">
            <v>302</v>
          </cell>
          <cell r="B303" t="str">
            <v xml:space="preserve">trezentos e dois milhões, </v>
          </cell>
          <cell r="C303" t="str">
            <v xml:space="preserve">trezentos e dois mil, </v>
          </cell>
          <cell r="D303" t="str">
            <v>trezentos e dois</v>
          </cell>
          <cell r="E303" t="str">
            <v>trezentos e dois centavos</v>
          </cell>
        </row>
        <row r="304">
          <cell r="A304">
            <v>303</v>
          </cell>
          <cell r="B304" t="str">
            <v xml:space="preserve">trezentos e tres milhões, </v>
          </cell>
          <cell r="C304" t="str">
            <v xml:space="preserve">trezentos e tres mil, </v>
          </cell>
          <cell r="D304" t="str">
            <v>trezentos e tres</v>
          </cell>
          <cell r="E304" t="str">
            <v>trezentos e tres centavos</v>
          </cell>
        </row>
        <row r="305">
          <cell r="A305">
            <v>304</v>
          </cell>
          <cell r="B305" t="str">
            <v xml:space="preserve">trezentos e quatro milhões, </v>
          </cell>
          <cell r="C305" t="str">
            <v xml:space="preserve">trezentos e quatro mil, </v>
          </cell>
          <cell r="D305" t="str">
            <v>trezentos e quatro</v>
          </cell>
          <cell r="E305" t="str">
            <v>trezentos e quatro centavos</v>
          </cell>
        </row>
        <row r="306">
          <cell r="A306">
            <v>305</v>
          </cell>
          <cell r="B306" t="str">
            <v xml:space="preserve">trezentos e cinco milhões, </v>
          </cell>
          <cell r="C306" t="str">
            <v xml:space="preserve">trezentos e cinco mil, </v>
          </cell>
          <cell r="D306" t="str">
            <v>trezentos e cinco</v>
          </cell>
          <cell r="E306" t="str">
            <v>trezentos e cinco centavos</v>
          </cell>
        </row>
        <row r="307">
          <cell r="A307">
            <v>306</v>
          </cell>
          <cell r="B307" t="str">
            <v xml:space="preserve">trezentos e seis milhões, </v>
          </cell>
          <cell r="C307" t="str">
            <v xml:space="preserve">trezentos e seis mil, </v>
          </cell>
          <cell r="D307" t="str">
            <v>trezentos e seis</v>
          </cell>
          <cell r="E307" t="str">
            <v>trezentos e seis centavos</v>
          </cell>
        </row>
        <row r="308">
          <cell r="A308">
            <v>307</v>
          </cell>
          <cell r="B308" t="str">
            <v xml:space="preserve">trezentos e sete milhões, </v>
          </cell>
          <cell r="C308" t="str">
            <v xml:space="preserve">trezentos e sete mil, </v>
          </cell>
          <cell r="D308" t="str">
            <v>trezentos e sete</v>
          </cell>
          <cell r="E308" t="str">
            <v>trezentos e sete centavos</v>
          </cell>
        </row>
        <row r="309">
          <cell r="A309">
            <v>308</v>
          </cell>
          <cell r="B309" t="str">
            <v xml:space="preserve">trezentos e oito milhões, </v>
          </cell>
          <cell r="C309" t="str">
            <v xml:space="preserve">trezentos e oito mil, </v>
          </cell>
          <cell r="D309" t="str">
            <v>trezentos e oito</v>
          </cell>
          <cell r="E309" t="str">
            <v>trezentos e oito centavos</v>
          </cell>
        </row>
        <row r="310">
          <cell r="A310">
            <v>309</v>
          </cell>
          <cell r="B310" t="str">
            <v xml:space="preserve">trezentos e nove milhões, </v>
          </cell>
          <cell r="C310" t="str">
            <v xml:space="preserve">trezentos e nove mil, </v>
          </cell>
          <cell r="D310" t="str">
            <v>trezentos e nove</v>
          </cell>
          <cell r="E310" t="str">
            <v>trezentos e nove centavos</v>
          </cell>
        </row>
        <row r="311">
          <cell r="A311">
            <v>310</v>
          </cell>
          <cell r="B311" t="str">
            <v xml:space="preserve">trezentos e dez milhões, </v>
          </cell>
          <cell r="C311" t="str">
            <v xml:space="preserve">trezentos e dez mil, </v>
          </cell>
          <cell r="D311" t="str">
            <v>trezentos e dez</v>
          </cell>
          <cell r="E311" t="str">
            <v>trezentos e dez centavos</v>
          </cell>
        </row>
        <row r="312">
          <cell r="A312">
            <v>311</v>
          </cell>
          <cell r="B312" t="str">
            <v xml:space="preserve">trezentos e onze milhões, </v>
          </cell>
          <cell r="C312" t="str">
            <v xml:space="preserve">trezentos e onze mil, </v>
          </cell>
          <cell r="D312" t="str">
            <v>trezentos e onze</v>
          </cell>
          <cell r="E312" t="str">
            <v>trezentos e onze centavos</v>
          </cell>
        </row>
        <row r="313">
          <cell r="A313">
            <v>312</v>
          </cell>
          <cell r="B313" t="str">
            <v xml:space="preserve">trezentos e doze milhões, </v>
          </cell>
          <cell r="C313" t="str">
            <v xml:space="preserve">trezentos e doze mil, </v>
          </cell>
          <cell r="D313" t="str">
            <v>trezentos e doze</v>
          </cell>
          <cell r="E313" t="str">
            <v>trezentos e doze centavos</v>
          </cell>
        </row>
        <row r="314">
          <cell r="A314">
            <v>313</v>
          </cell>
          <cell r="B314" t="str">
            <v xml:space="preserve">trezentos e treze milhões, </v>
          </cell>
          <cell r="C314" t="str">
            <v xml:space="preserve">trezentos e treze mil, </v>
          </cell>
          <cell r="D314" t="str">
            <v>trezentos e treze</v>
          </cell>
          <cell r="E314" t="str">
            <v>trezentos e treze centavos</v>
          </cell>
        </row>
        <row r="315">
          <cell r="A315">
            <v>314</v>
          </cell>
          <cell r="B315" t="str">
            <v xml:space="preserve">trezentos e quatorze milhões, </v>
          </cell>
          <cell r="C315" t="str">
            <v xml:space="preserve">trezentos e quatorze mil, </v>
          </cell>
          <cell r="D315" t="str">
            <v>trezentos e quatorze</v>
          </cell>
          <cell r="E315" t="str">
            <v>trezentos e quatorze centavos</v>
          </cell>
        </row>
        <row r="316">
          <cell r="A316">
            <v>315</v>
          </cell>
          <cell r="B316" t="str">
            <v xml:space="preserve">trezentos e quinze milhões, </v>
          </cell>
          <cell r="C316" t="str">
            <v xml:space="preserve">trezentos e quinze mil, </v>
          </cell>
          <cell r="D316" t="str">
            <v>trezentos e quinze</v>
          </cell>
          <cell r="E316" t="str">
            <v>trezentos e quinze centavos</v>
          </cell>
        </row>
        <row r="317">
          <cell r="A317">
            <v>316</v>
          </cell>
          <cell r="B317" t="str">
            <v xml:space="preserve">trezentos e dezesseis milhões, </v>
          </cell>
          <cell r="C317" t="str">
            <v xml:space="preserve">trezentos e dezesseis mil, </v>
          </cell>
          <cell r="D317" t="str">
            <v>trezentos e dezesseis</v>
          </cell>
          <cell r="E317" t="str">
            <v>trezentos e dezesseis centavos</v>
          </cell>
        </row>
        <row r="318">
          <cell r="A318">
            <v>317</v>
          </cell>
          <cell r="B318" t="str">
            <v xml:space="preserve">trezentos e dezessete milhões, </v>
          </cell>
          <cell r="C318" t="str">
            <v xml:space="preserve">trezentos e dezessete mil, </v>
          </cell>
          <cell r="D318" t="str">
            <v>trezentos e dezessete</v>
          </cell>
          <cell r="E318" t="str">
            <v>trezentos e dezessete centavos</v>
          </cell>
        </row>
        <row r="319">
          <cell r="A319">
            <v>318</v>
          </cell>
          <cell r="B319" t="str">
            <v xml:space="preserve">trezentos e dezoito milhões, </v>
          </cell>
          <cell r="C319" t="str">
            <v xml:space="preserve">trezentos e dezoito mil, </v>
          </cell>
          <cell r="D319" t="str">
            <v>trezentos e dezoito</v>
          </cell>
          <cell r="E319" t="str">
            <v>trezentos e dezoito centavos</v>
          </cell>
        </row>
        <row r="320">
          <cell r="A320">
            <v>319</v>
          </cell>
          <cell r="B320" t="str">
            <v xml:space="preserve">trezentos e dezenove milhões, </v>
          </cell>
          <cell r="C320" t="str">
            <v xml:space="preserve">trezentos e dezenove mil, </v>
          </cell>
          <cell r="D320" t="str">
            <v>trezentos e dezenove</v>
          </cell>
          <cell r="E320" t="str">
            <v>trezentos e dezenove centavos</v>
          </cell>
        </row>
        <row r="321">
          <cell r="A321">
            <v>320</v>
          </cell>
          <cell r="B321" t="str">
            <v xml:space="preserve">trezentos e vinte milhões, </v>
          </cell>
          <cell r="C321" t="str">
            <v xml:space="preserve">trezentos e vinte mil, </v>
          </cell>
          <cell r="D321" t="str">
            <v>trezentos e vinte</v>
          </cell>
          <cell r="E321" t="str">
            <v>trezentos e vinte centavos</v>
          </cell>
        </row>
        <row r="322">
          <cell r="A322">
            <v>321</v>
          </cell>
          <cell r="B322" t="str">
            <v xml:space="preserve">trezentos e vinte e um milhões, </v>
          </cell>
          <cell r="C322" t="str">
            <v xml:space="preserve">trezentos e vinte e um mil, </v>
          </cell>
          <cell r="D322" t="str">
            <v>trezentos e vinte e um</v>
          </cell>
          <cell r="E322" t="str">
            <v>trezentos e vinte e um centavos</v>
          </cell>
        </row>
        <row r="323">
          <cell r="A323">
            <v>322</v>
          </cell>
          <cell r="B323" t="str">
            <v xml:space="preserve">trezentos e vinte e dois milhões, </v>
          </cell>
          <cell r="C323" t="str">
            <v xml:space="preserve">trezentos e vinte e dois mil, </v>
          </cell>
          <cell r="D323" t="str">
            <v>trezentos e vinte e dois</v>
          </cell>
          <cell r="E323" t="str">
            <v>trezentos e vinte e dois centavos</v>
          </cell>
        </row>
        <row r="324">
          <cell r="A324">
            <v>323</v>
          </cell>
          <cell r="B324" t="str">
            <v xml:space="preserve">trezentos e vinte e tres milhões, </v>
          </cell>
          <cell r="C324" t="str">
            <v xml:space="preserve">trezentos e vinte e tres mil, </v>
          </cell>
          <cell r="D324" t="str">
            <v>trezentos e vinte e tres</v>
          </cell>
          <cell r="E324" t="str">
            <v>trezentos e vinte e tres centavos</v>
          </cell>
        </row>
        <row r="325">
          <cell r="A325">
            <v>324</v>
          </cell>
          <cell r="B325" t="str">
            <v xml:space="preserve">trezentos e vinte e quatro milhões, </v>
          </cell>
          <cell r="C325" t="str">
            <v xml:space="preserve">trezentos e vinte e quatro mil, </v>
          </cell>
          <cell r="D325" t="str">
            <v>trezentos e vinte e quatro</v>
          </cell>
          <cell r="E325" t="str">
            <v>trezentos e vinte e quatro centavos</v>
          </cell>
        </row>
        <row r="326">
          <cell r="A326">
            <v>325</v>
          </cell>
          <cell r="B326" t="str">
            <v xml:space="preserve">trezentos e vinte e cinco milhões, </v>
          </cell>
          <cell r="C326" t="str">
            <v xml:space="preserve">trezentos e vinte e cinco mil, </v>
          </cell>
          <cell r="D326" t="str">
            <v>trezentos e vinte e cinco</v>
          </cell>
          <cell r="E326" t="str">
            <v>trezentos e vinte e cinco centavos</v>
          </cell>
        </row>
        <row r="327">
          <cell r="A327">
            <v>326</v>
          </cell>
          <cell r="B327" t="str">
            <v xml:space="preserve">trezentos e vinte e seis milhões, </v>
          </cell>
          <cell r="C327" t="str">
            <v xml:space="preserve">trezentos e vinte e seis mil, </v>
          </cell>
          <cell r="D327" t="str">
            <v>trezentos e vinte e seis</v>
          </cell>
          <cell r="E327" t="str">
            <v>trezentos e vinte e seis centavos</v>
          </cell>
        </row>
        <row r="328">
          <cell r="A328">
            <v>327</v>
          </cell>
          <cell r="B328" t="str">
            <v xml:space="preserve">trezentos e vinte e sete milhões, </v>
          </cell>
          <cell r="C328" t="str">
            <v xml:space="preserve">trezentos e vinte e sete mil, </v>
          </cell>
          <cell r="D328" t="str">
            <v>trezentos e vinte e sete</v>
          </cell>
          <cell r="E328" t="str">
            <v>trezentos e vinte e sete centavos</v>
          </cell>
        </row>
        <row r="329">
          <cell r="A329">
            <v>328</v>
          </cell>
          <cell r="B329" t="str">
            <v xml:space="preserve">trezentos e vinte e oito milhões, </v>
          </cell>
          <cell r="C329" t="str">
            <v xml:space="preserve">trezentos e vinte e oito mil, </v>
          </cell>
          <cell r="D329" t="str">
            <v>trezentos e vinte e oito</v>
          </cell>
          <cell r="E329" t="str">
            <v>trezentos e vinte e oito centavos</v>
          </cell>
        </row>
        <row r="330">
          <cell r="A330">
            <v>329</v>
          </cell>
          <cell r="B330" t="str">
            <v xml:space="preserve">trezentos e vinte e nove milhões, </v>
          </cell>
          <cell r="C330" t="str">
            <v xml:space="preserve">trezentos e vinte e nove mil, </v>
          </cell>
          <cell r="D330" t="str">
            <v>trezentos e vinte e nove</v>
          </cell>
          <cell r="E330" t="str">
            <v>trezentos e vinte e nove centavos</v>
          </cell>
        </row>
        <row r="331">
          <cell r="A331">
            <v>330</v>
          </cell>
          <cell r="B331" t="str">
            <v xml:space="preserve">trezentos e trinta milhões, </v>
          </cell>
          <cell r="C331" t="str">
            <v xml:space="preserve">trezentos e trinta mil, </v>
          </cell>
          <cell r="D331" t="str">
            <v>trezentos e trinta</v>
          </cell>
          <cell r="E331" t="str">
            <v>trezentos e trinta centavos</v>
          </cell>
        </row>
        <row r="332">
          <cell r="A332">
            <v>331</v>
          </cell>
          <cell r="B332" t="str">
            <v xml:space="preserve">trezentos e trinta e um milhões, </v>
          </cell>
          <cell r="C332" t="str">
            <v xml:space="preserve">trezentos e trinta e um mil, </v>
          </cell>
          <cell r="D332" t="str">
            <v>trezentos e trinta e um</v>
          </cell>
          <cell r="E332" t="str">
            <v>trezentos e trinta e um centavos</v>
          </cell>
        </row>
        <row r="333">
          <cell r="A333">
            <v>332</v>
          </cell>
          <cell r="B333" t="str">
            <v xml:space="preserve">trezentos e trinta e dois milhões, </v>
          </cell>
          <cell r="C333" t="str">
            <v xml:space="preserve">trezentos e trinta e dois mil, </v>
          </cell>
          <cell r="D333" t="str">
            <v>trezentos e trinta e dois</v>
          </cell>
          <cell r="E333" t="str">
            <v>trezentos e trinta e dois centavos</v>
          </cell>
        </row>
        <row r="334">
          <cell r="A334">
            <v>333</v>
          </cell>
          <cell r="B334" t="str">
            <v xml:space="preserve">trezentos e trinta e tres milhões, </v>
          </cell>
          <cell r="C334" t="str">
            <v xml:space="preserve">trezentos e trinta e tres mil, </v>
          </cell>
          <cell r="D334" t="str">
            <v>trezentos e trinta e tres</v>
          </cell>
          <cell r="E334" t="str">
            <v>trezentos e trinta e tres centavos</v>
          </cell>
        </row>
        <row r="335">
          <cell r="A335">
            <v>334</v>
          </cell>
          <cell r="B335" t="str">
            <v xml:space="preserve">trezentos e trinta e quatro milhões, </v>
          </cell>
          <cell r="C335" t="str">
            <v xml:space="preserve">trezentos e trinta e quatro mil, </v>
          </cell>
          <cell r="D335" t="str">
            <v>trezentos e trinta e quatro</v>
          </cell>
          <cell r="E335" t="str">
            <v>trezentos e trinta e quatro centavos</v>
          </cell>
        </row>
        <row r="336">
          <cell r="A336">
            <v>335</v>
          </cell>
          <cell r="B336" t="str">
            <v xml:space="preserve">trezentos e trinta e cinco milhões, </v>
          </cell>
          <cell r="C336" t="str">
            <v xml:space="preserve">trezentos e trinta e cinco mil, </v>
          </cell>
          <cell r="D336" t="str">
            <v>trezentos e trinta e cinco</v>
          </cell>
          <cell r="E336" t="str">
            <v>trezentos e trinta e cinco centavos</v>
          </cell>
        </row>
        <row r="337">
          <cell r="A337">
            <v>336</v>
          </cell>
          <cell r="B337" t="str">
            <v xml:space="preserve">trezentos e trinta e seis milhões, </v>
          </cell>
          <cell r="C337" t="str">
            <v xml:space="preserve">trezentos e trinta e seis mil, </v>
          </cell>
          <cell r="D337" t="str">
            <v>trezentos e trinta e seis</v>
          </cell>
          <cell r="E337" t="str">
            <v>trezentos e trinta e seis centavos</v>
          </cell>
        </row>
        <row r="338">
          <cell r="A338">
            <v>337</v>
          </cell>
          <cell r="B338" t="str">
            <v xml:space="preserve">trezentos e trinta e sete milhões, </v>
          </cell>
          <cell r="C338" t="str">
            <v xml:space="preserve">trezentos e trinta e sete mil, </v>
          </cell>
          <cell r="D338" t="str">
            <v>trezentos e trinta e sete</v>
          </cell>
          <cell r="E338" t="str">
            <v>trezentos e trinta e sete centavos</v>
          </cell>
        </row>
        <row r="339">
          <cell r="A339">
            <v>338</v>
          </cell>
          <cell r="B339" t="str">
            <v xml:space="preserve">trezentos e trinta e oito milhões, </v>
          </cell>
          <cell r="C339" t="str">
            <v xml:space="preserve">trezentos e trinta e oito mil, </v>
          </cell>
          <cell r="D339" t="str">
            <v>trezentos e trinta e oito</v>
          </cell>
          <cell r="E339" t="str">
            <v>trezentos e trinta e oito centavos</v>
          </cell>
        </row>
        <row r="340">
          <cell r="A340">
            <v>339</v>
          </cell>
          <cell r="B340" t="str">
            <v xml:space="preserve">trezentos e trinta e nove milhões, </v>
          </cell>
          <cell r="C340" t="str">
            <v xml:space="preserve">trezentos e trinta e nove mil, </v>
          </cell>
          <cell r="D340" t="str">
            <v>trezentos e trinta e nove</v>
          </cell>
          <cell r="E340" t="str">
            <v>trezentos e trinta e nove centavos</v>
          </cell>
        </row>
        <row r="341">
          <cell r="A341">
            <v>340</v>
          </cell>
          <cell r="B341" t="str">
            <v xml:space="preserve">trezentos e quarenta milhões, </v>
          </cell>
          <cell r="C341" t="str">
            <v xml:space="preserve">trezentos e quarenta mil, </v>
          </cell>
          <cell r="D341" t="str">
            <v>trezentos e quarenta</v>
          </cell>
          <cell r="E341" t="str">
            <v>trezentos e quarenta centavos</v>
          </cell>
        </row>
        <row r="342">
          <cell r="A342">
            <v>341</v>
          </cell>
          <cell r="B342" t="str">
            <v xml:space="preserve">trezentos e quarenta e um milhões, </v>
          </cell>
          <cell r="C342" t="str">
            <v xml:space="preserve">trezentos e quarenta e um mil, </v>
          </cell>
          <cell r="D342" t="str">
            <v>trezentos e quarenta e um</v>
          </cell>
          <cell r="E342" t="str">
            <v>trezentos e quarenta e um centavos</v>
          </cell>
        </row>
        <row r="343">
          <cell r="A343">
            <v>342</v>
          </cell>
          <cell r="B343" t="str">
            <v xml:space="preserve">trezentos e quarenta e dois milhões, </v>
          </cell>
          <cell r="C343" t="str">
            <v xml:space="preserve">trezentos e quarenta e dois mil, </v>
          </cell>
          <cell r="D343" t="str">
            <v>trezentos e quarenta e dois</v>
          </cell>
          <cell r="E343" t="str">
            <v>trezentos e quarenta e dois centavos</v>
          </cell>
        </row>
        <row r="344">
          <cell r="A344">
            <v>343</v>
          </cell>
          <cell r="B344" t="str">
            <v xml:space="preserve">trezentos e quarenta e tres milhões, </v>
          </cell>
          <cell r="C344" t="str">
            <v xml:space="preserve">trezentos e quarenta e tres mil, </v>
          </cell>
          <cell r="D344" t="str">
            <v>trezentos e quarenta e tres</v>
          </cell>
          <cell r="E344" t="str">
            <v>trezentos e quarenta e tres centavos</v>
          </cell>
        </row>
        <row r="345">
          <cell r="A345">
            <v>344</v>
          </cell>
          <cell r="B345" t="str">
            <v xml:space="preserve">trezentos e quarenta e quatro milhões, </v>
          </cell>
          <cell r="C345" t="str">
            <v xml:space="preserve">trezentos e quarenta e quatro mil, </v>
          </cell>
          <cell r="D345" t="str">
            <v>trezentos e quarenta e quatro</v>
          </cell>
          <cell r="E345" t="str">
            <v>trezentos e quarenta e quatro centavos</v>
          </cell>
        </row>
        <row r="346">
          <cell r="A346">
            <v>345</v>
          </cell>
          <cell r="B346" t="str">
            <v xml:space="preserve">trezentos e quarenta e cinco milhões, </v>
          </cell>
          <cell r="C346" t="str">
            <v xml:space="preserve">trezentos e quarenta e cinco mil, </v>
          </cell>
          <cell r="D346" t="str">
            <v>trezentos e quarenta e cinco</v>
          </cell>
          <cell r="E346" t="str">
            <v>trezentos e quarenta e cinco centavos</v>
          </cell>
        </row>
        <row r="347">
          <cell r="A347">
            <v>346</v>
          </cell>
          <cell r="B347" t="str">
            <v xml:space="preserve">trezentos e quarenta e seis milhões, </v>
          </cell>
          <cell r="C347" t="str">
            <v xml:space="preserve">trezentos e quarenta e seis mil, </v>
          </cell>
          <cell r="D347" t="str">
            <v>trezentos e quarenta e seis</v>
          </cell>
          <cell r="E347" t="str">
            <v>trezentos e quarenta e seis centavos</v>
          </cell>
        </row>
        <row r="348">
          <cell r="A348">
            <v>347</v>
          </cell>
          <cell r="B348" t="str">
            <v xml:space="preserve">trezentos e quarenta e sete milhões, </v>
          </cell>
          <cell r="C348" t="str">
            <v xml:space="preserve">trezentos e quarenta e sete mil, </v>
          </cell>
          <cell r="D348" t="str">
            <v>trezentos e quarenta e sete</v>
          </cell>
          <cell r="E348" t="str">
            <v>trezentos e quarenta e sete centavos</v>
          </cell>
        </row>
        <row r="349">
          <cell r="A349">
            <v>348</v>
          </cell>
          <cell r="B349" t="str">
            <v xml:space="preserve">trezentos e quarenta e oito milhões, </v>
          </cell>
          <cell r="C349" t="str">
            <v xml:space="preserve">trezentos e quarenta e oito mil, </v>
          </cell>
          <cell r="D349" t="str">
            <v>trezentos e quarenta e oito</v>
          </cell>
          <cell r="E349" t="str">
            <v>trezentos e quarenta e oito centavos</v>
          </cell>
        </row>
        <row r="350">
          <cell r="A350">
            <v>349</v>
          </cell>
          <cell r="B350" t="str">
            <v xml:space="preserve">trezentos e quarenta e nove milhões, </v>
          </cell>
          <cell r="C350" t="str">
            <v xml:space="preserve">trezentos e quarenta e nove mil, </v>
          </cell>
          <cell r="D350" t="str">
            <v>trezentos e quarenta e nove</v>
          </cell>
          <cell r="E350" t="str">
            <v>trezentos e quarenta e nove centavos</v>
          </cell>
        </row>
        <row r="351">
          <cell r="A351">
            <v>350</v>
          </cell>
          <cell r="B351" t="str">
            <v xml:space="preserve">trezentos e cinquenta milhões, </v>
          </cell>
          <cell r="C351" t="str">
            <v xml:space="preserve">trezentos e cinquenta mil, </v>
          </cell>
          <cell r="D351" t="str">
            <v>trezentos e cinquenta</v>
          </cell>
          <cell r="E351" t="str">
            <v>trezentos e cinquenta centavos</v>
          </cell>
        </row>
        <row r="352">
          <cell r="A352">
            <v>351</v>
          </cell>
          <cell r="B352" t="str">
            <v xml:space="preserve">trezentos e cinquenta e um milhões, </v>
          </cell>
          <cell r="C352" t="str">
            <v xml:space="preserve">trezentos e cinquenta e um mil, </v>
          </cell>
          <cell r="D352" t="str">
            <v>trezentos e cinquenta e um</v>
          </cell>
          <cell r="E352" t="str">
            <v>trezentos e cinquenta e um centavos</v>
          </cell>
        </row>
        <row r="353">
          <cell r="A353">
            <v>352</v>
          </cell>
          <cell r="B353" t="str">
            <v xml:space="preserve">trezentos e cinquenta e dois milhões, </v>
          </cell>
          <cell r="C353" t="str">
            <v xml:space="preserve">trezentos e cinquenta e dois mil, </v>
          </cell>
          <cell r="D353" t="str">
            <v>trezentos e cinquenta e dois</v>
          </cell>
          <cell r="E353" t="str">
            <v>trezentos e cinquenta e dois centavos</v>
          </cell>
        </row>
        <row r="354">
          <cell r="A354">
            <v>353</v>
          </cell>
          <cell r="B354" t="str">
            <v xml:space="preserve">trezentos e cinquenta e tres milhões, </v>
          </cell>
          <cell r="C354" t="str">
            <v xml:space="preserve">trezentos e cinquenta e tres mil, </v>
          </cell>
          <cell r="D354" t="str">
            <v>trezentos e cinquenta e tres</v>
          </cell>
          <cell r="E354" t="str">
            <v>trezentos e cinquenta e tres centavos</v>
          </cell>
        </row>
        <row r="355">
          <cell r="A355">
            <v>354</v>
          </cell>
          <cell r="B355" t="str">
            <v xml:space="preserve">trezentos e cinquenta e quatro milhões, </v>
          </cell>
          <cell r="C355" t="str">
            <v xml:space="preserve">trezentos e cinquenta e quatro mil, </v>
          </cell>
          <cell r="D355" t="str">
            <v>trezentos e cinquenta e quatro</v>
          </cell>
          <cell r="E355" t="str">
            <v>trezentos e cinquenta e quatro centavos</v>
          </cell>
        </row>
        <row r="356">
          <cell r="A356">
            <v>355</v>
          </cell>
          <cell r="B356" t="str">
            <v xml:space="preserve">trezentos e cinquenta e cinco milhões, </v>
          </cell>
          <cell r="C356" t="str">
            <v xml:space="preserve">trezentos e cinquenta e cinco mil, </v>
          </cell>
          <cell r="D356" t="str">
            <v>trezentos e cinquenta e cinco</v>
          </cell>
          <cell r="E356" t="str">
            <v>trezentos e cinquenta e cinco centavos</v>
          </cell>
        </row>
        <row r="357">
          <cell r="A357">
            <v>356</v>
          </cell>
          <cell r="B357" t="str">
            <v xml:space="preserve">trezentos e cinquenta e seis milhões, </v>
          </cell>
          <cell r="C357" t="str">
            <v xml:space="preserve">trezentos e cinquenta e seis mil, </v>
          </cell>
          <cell r="D357" t="str">
            <v>trezentos e cinquenta e seis</v>
          </cell>
          <cell r="E357" t="str">
            <v>trezentos e cinquenta e seis centavos</v>
          </cell>
        </row>
        <row r="358">
          <cell r="A358">
            <v>357</v>
          </cell>
          <cell r="B358" t="str">
            <v xml:space="preserve">trezentos e cinquenta e sete milhões, </v>
          </cell>
          <cell r="C358" t="str">
            <v xml:space="preserve">trezentos e cinquenta e sete mil, </v>
          </cell>
          <cell r="D358" t="str">
            <v>trezentos e cinquenta e sete</v>
          </cell>
          <cell r="E358" t="str">
            <v>trezentos e cinquenta e sete centavos</v>
          </cell>
        </row>
        <row r="359">
          <cell r="A359">
            <v>358</v>
          </cell>
          <cell r="B359" t="str">
            <v xml:space="preserve">trezentos e cinquenta e oito milhões, </v>
          </cell>
          <cell r="C359" t="str">
            <v xml:space="preserve">trezentos e cinquenta e oito mil, </v>
          </cell>
          <cell r="D359" t="str">
            <v>trezentos e cinquenta e oito</v>
          </cell>
          <cell r="E359" t="str">
            <v>trezentos e cinquenta e oito centavos</v>
          </cell>
        </row>
        <row r="360">
          <cell r="A360">
            <v>359</v>
          </cell>
          <cell r="B360" t="str">
            <v xml:space="preserve">trezentos e cinquenta e nove milhões, </v>
          </cell>
          <cell r="C360" t="str">
            <v xml:space="preserve">trezentos e cinquenta e nove mil, </v>
          </cell>
          <cell r="D360" t="str">
            <v>trezentos e cinquenta e nove</v>
          </cell>
          <cell r="E360" t="str">
            <v>trezentos e cinquenta e nove centavos</v>
          </cell>
        </row>
        <row r="361">
          <cell r="A361">
            <v>360</v>
          </cell>
          <cell r="B361" t="str">
            <v xml:space="preserve">trezentos e sessenta milhões, </v>
          </cell>
          <cell r="C361" t="str">
            <v xml:space="preserve">trezentos e sessenta mil, </v>
          </cell>
          <cell r="D361" t="str">
            <v>trezentos e sessenta</v>
          </cell>
          <cell r="E361" t="str">
            <v>trezentos e sessenta centavos</v>
          </cell>
        </row>
        <row r="362">
          <cell r="A362">
            <v>361</v>
          </cell>
          <cell r="B362" t="str">
            <v xml:space="preserve">trezentos e sessenta e um milhões, </v>
          </cell>
          <cell r="C362" t="str">
            <v xml:space="preserve">trezentos e sessenta e um mil, </v>
          </cell>
          <cell r="D362" t="str">
            <v>trezentos e sessenta e um</v>
          </cell>
          <cell r="E362" t="str">
            <v>trezentos e sessenta e um centavos</v>
          </cell>
        </row>
        <row r="363">
          <cell r="A363">
            <v>362</v>
          </cell>
          <cell r="B363" t="str">
            <v xml:space="preserve">trezentos e sessenta e dois milhões, </v>
          </cell>
          <cell r="C363" t="str">
            <v xml:space="preserve">trezentos e sessenta e dois mil, </v>
          </cell>
          <cell r="D363" t="str">
            <v>trezentos e sessenta e dois</v>
          </cell>
          <cell r="E363" t="str">
            <v>trezentos e sessenta e dois centavos</v>
          </cell>
        </row>
        <row r="364">
          <cell r="A364">
            <v>363</v>
          </cell>
          <cell r="B364" t="str">
            <v xml:space="preserve">trezentos e sessenta e tres milhões, </v>
          </cell>
          <cell r="C364" t="str">
            <v xml:space="preserve">trezentos e sessenta e tres mil, </v>
          </cell>
          <cell r="D364" t="str">
            <v>trezentos e sessenta e tres</v>
          </cell>
          <cell r="E364" t="str">
            <v>trezentos e sessenta e tres centavos</v>
          </cell>
        </row>
        <row r="365">
          <cell r="A365">
            <v>364</v>
          </cell>
          <cell r="B365" t="str">
            <v xml:space="preserve">trezentos e sessenta e quatro milhões, </v>
          </cell>
          <cell r="C365" t="str">
            <v xml:space="preserve">trezentos e sessenta e quatro mil, </v>
          </cell>
          <cell r="D365" t="str">
            <v>trezentos e sessenta e quatro</v>
          </cell>
          <cell r="E365" t="str">
            <v>trezentos e sessenta e quatro centavos</v>
          </cell>
        </row>
        <row r="366">
          <cell r="A366">
            <v>365</v>
          </cell>
          <cell r="B366" t="str">
            <v xml:space="preserve">trezentos e sessenta e cinco milhões, </v>
          </cell>
          <cell r="C366" t="str">
            <v xml:space="preserve">trezentos e sessenta e cinco mil, </v>
          </cell>
          <cell r="D366" t="str">
            <v>trezentos e sessenta e cinco</v>
          </cell>
          <cell r="E366" t="str">
            <v>trezentos e sessenta e cinco centavos</v>
          </cell>
        </row>
        <row r="367">
          <cell r="A367">
            <v>366</v>
          </cell>
          <cell r="B367" t="str">
            <v xml:space="preserve">trezentos e sessenta e seis milhões, </v>
          </cell>
          <cell r="C367" t="str">
            <v xml:space="preserve">trezentos e sessenta e seis mil, </v>
          </cell>
          <cell r="D367" t="str">
            <v>trezentos e sessenta e seis</v>
          </cell>
          <cell r="E367" t="str">
            <v>trezentos e sessenta e seis centavos</v>
          </cell>
        </row>
        <row r="368">
          <cell r="A368">
            <v>367</v>
          </cell>
          <cell r="B368" t="str">
            <v xml:space="preserve">trezentos e sessenta e sete milhões, </v>
          </cell>
          <cell r="C368" t="str">
            <v xml:space="preserve">trezentos e sessenta e sete mil, </v>
          </cell>
          <cell r="D368" t="str">
            <v>trezentos e sessenta e sete</v>
          </cell>
          <cell r="E368" t="str">
            <v>trezentos e sessenta e sete centavos</v>
          </cell>
        </row>
        <row r="369">
          <cell r="A369">
            <v>368</v>
          </cell>
          <cell r="B369" t="str">
            <v xml:space="preserve">trezentos e sessenta e oito milhões, </v>
          </cell>
          <cell r="C369" t="str">
            <v xml:space="preserve">trezentos e sessenta e oito mil, </v>
          </cell>
          <cell r="D369" t="str">
            <v>trezentos e sessenta e oito</v>
          </cell>
          <cell r="E369" t="str">
            <v>trezentos e sessenta e oito centavos</v>
          </cell>
        </row>
        <row r="370">
          <cell r="A370">
            <v>369</v>
          </cell>
          <cell r="B370" t="str">
            <v xml:space="preserve">trezentos e sessenta e nove milhões, </v>
          </cell>
          <cell r="C370" t="str">
            <v xml:space="preserve">trezentos e sessenta e nove mil, </v>
          </cell>
          <cell r="D370" t="str">
            <v>trezentos e sessenta e nove</v>
          </cell>
          <cell r="E370" t="str">
            <v>trezentos e sessenta e nove centavos</v>
          </cell>
        </row>
        <row r="371">
          <cell r="A371">
            <v>370</v>
          </cell>
          <cell r="B371" t="str">
            <v xml:space="preserve">trezentos e setenta milhões, </v>
          </cell>
          <cell r="C371" t="str">
            <v xml:space="preserve">trezentos e setenta mil, </v>
          </cell>
          <cell r="D371" t="str">
            <v>trezentos e setenta</v>
          </cell>
          <cell r="E371" t="str">
            <v>trezentos e setenta centavos</v>
          </cell>
        </row>
        <row r="372">
          <cell r="A372">
            <v>371</v>
          </cell>
          <cell r="B372" t="str">
            <v xml:space="preserve">trezentos e setenta e um milhões, </v>
          </cell>
          <cell r="C372" t="str">
            <v xml:space="preserve">trezentos e setenta e um mil, </v>
          </cell>
          <cell r="D372" t="str">
            <v>trezentos e setenta e um</v>
          </cell>
          <cell r="E372" t="str">
            <v>trezentos e setenta e um centavos</v>
          </cell>
        </row>
        <row r="373">
          <cell r="A373">
            <v>372</v>
          </cell>
          <cell r="B373" t="str">
            <v xml:space="preserve">trezentos e setenta e dois milhões, </v>
          </cell>
          <cell r="C373" t="str">
            <v xml:space="preserve">trezentos e setenta e dois mil, </v>
          </cell>
          <cell r="D373" t="str">
            <v>trezentos e setenta e dois</v>
          </cell>
          <cell r="E373" t="str">
            <v>trezentos e setenta e dois centavos</v>
          </cell>
        </row>
        <row r="374">
          <cell r="A374">
            <v>373</v>
          </cell>
          <cell r="B374" t="str">
            <v xml:space="preserve">trezentos e setenta e tres milhões, </v>
          </cell>
          <cell r="C374" t="str">
            <v xml:space="preserve">trezentos e setenta e tres mil, </v>
          </cell>
          <cell r="D374" t="str">
            <v>trezentos e setenta e tres</v>
          </cell>
          <cell r="E374" t="str">
            <v>trezentos e setenta e tres centavos</v>
          </cell>
        </row>
        <row r="375">
          <cell r="A375">
            <v>374</v>
          </cell>
          <cell r="B375" t="str">
            <v xml:space="preserve">trezentos e setenta e quatro milhões, </v>
          </cell>
          <cell r="C375" t="str">
            <v xml:space="preserve">trezentos e setenta e quatro mil, </v>
          </cell>
          <cell r="D375" t="str">
            <v>trezentos e setenta e quatro</v>
          </cell>
          <cell r="E375" t="str">
            <v>trezentos e setenta e quatro centavos</v>
          </cell>
        </row>
        <row r="376">
          <cell r="A376">
            <v>375</v>
          </cell>
          <cell r="B376" t="str">
            <v xml:space="preserve">trezentos e setenta e cinco milhões, </v>
          </cell>
          <cell r="C376" t="str">
            <v xml:space="preserve">trezentos e setenta e cinco mil, </v>
          </cell>
          <cell r="D376" t="str">
            <v>trezentos e setenta e cinco</v>
          </cell>
          <cell r="E376" t="str">
            <v>trezentos e setenta e cinco centavos</v>
          </cell>
        </row>
        <row r="377">
          <cell r="A377">
            <v>376</v>
          </cell>
          <cell r="B377" t="str">
            <v xml:space="preserve">trezentos e setenta e seis milhões, </v>
          </cell>
          <cell r="C377" t="str">
            <v xml:space="preserve">trezentos e setenta e seis mil, </v>
          </cell>
          <cell r="D377" t="str">
            <v>trezentos e setenta e seis</v>
          </cell>
          <cell r="E377" t="str">
            <v>trezentos e setenta e seis centavos</v>
          </cell>
        </row>
        <row r="378">
          <cell r="A378">
            <v>377</v>
          </cell>
          <cell r="B378" t="str">
            <v xml:space="preserve">trezentos e setenta e sete milhões, </v>
          </cell>
          <cell r="C378" t="str">
            <v xml:space="preserve">trezentos e setenta e sete mil, </v>
          </cell>
          <cell r="D378" t="str">
            <v>trezentos e setenta e sete</v>
          </cell>
          <cell r="E378" t="str">
            <v>trezentos e setenta e sete centavos</v>
          </cell>
        </row>
        <row r="379">
          <cell r="A379">
            <v>378</v>
          </cell>
          <cell r="B379" t="str">
            <v xml:space="preserve">trezentos e setenta e oito milhões, </v>
          </cell>
          <cell r="C379" t="str">
            <v xml:space="preserve">trezentos e setenta e oito mil, </v>
          </cell>
          <cell r="D379" t="str">
            <v>trezentos e setenta e oito</v>
          </cell>
          <cell r="E379" t="str">
            <v>trezentos e setenta e oito centavos</v>
          </cell>
        </row>
        <row r="380">
          <cell r="A380">
            <v>379</v>
          </cell>
          <cell r="B380" t="str">
            <v xml:space="preserve">trezentos e setenta e nove milhões, </v>
          </cell>
          <cell r="C380" t="str">
            <v xml:space="preserve">trezentos e setenta e nove mil, </v>
          </cell>
          <cell r="D380" t="str">
            <v>trezentos e setenta e nove</v>
          </cell>
          <cell r="E380" t="str">
            <v>trezentos e setenta e nove centavos</v>
          </cell>
        </row>
        <row r="381">
          <cell r="A381">
            <v>380</v>
          </cell>
          <cell r="B381" t="str">
            <v xml:space="preserve">trezentos e oitenta milhões, </v>
          </cell>
          <cell r="C381" t="str">
            <v xml:space="preserve">trezentos e oitenta mil, </v>
          </cell>
          <cell r="D381" t="str">
            <v>trezentos e oitenta</v>
          </cell>
          <cell r="E381" t="str">
            <v>trezentos e oitenta centavos</v>
          </cell>
        </row>
        <row r="382">
          <cell r="A382">
            <v>381</v>
          </cell>
          <cell r="B382" t="str">
            <v xml:space="preserve">trezentos e oitenta e um milhões, </v>
          </cell>
          <cell r="C382" t="str">
            <v xml:space="preserve">trezentos e oitenta e um mil, </v>
          </cell>
          <cell r="D382" t="str">
            <v>trezentos e oitenta e um</v>
          </cell>
          <cell r="E382" t="str">
            <v>trezentos e oitenta e um centavos</v>
          </cell>
        </row>
        <row r="383">
          <cell r="A383">
            <v>382</v>
          </cell>
          <cell r="B383" t="str">
            <v xml:space="preserve">trezentos e oitenta e dois milhões, </v>
          </cell>
          <cell r="C383" t="str">
            <v xml:space="preserve">trezentos e oitenta e dois mil, </v>
          </cell>
          <cell r="D383" t="str">
            <v>trezentos e oitenta e dois</v>
          </cell>
          <cell r="E383" t="str">
            <v>trezentos e oitenta e dois centavos</v>
          </cell>
        </row>
        <row r="384">
          <cell r="A384">
            <v>383</v>
          </cell>
          <cell r="B384" t="str">
            <v xml:space="preserve">trezentos e oitenta e tres milhões, </v>
          </cell>
          <cell r="C384" t="str">
            <v xml:space="preserve">trezentos e oitenta e tres mil, </v>
          </cell>
          <cell r="D384" t="str">
            <v>trezentos e oitenta e tres</v>
          </cell>
          <cell r="E384" t="str">
            <v>trezentos e oitenta e tres centavos</v>
          </cell>
        </row>
        <row r="385">
          <cell r="A385">
            <v>384</v>
          </cell>
          <cell r="B385" t="str">
            <v xml:space="preserve">trezentos e oitenta e quatro milhões, </v>
          </cell>
          <cell r="C385" t="str">
            <v xml:space="preserve">trezentos e oitenta e quatro mil, </v>
          </cell>
          <cell r="D385" t="str">
            <v>trezentos e oitenta e quatro</v>
          </cell>
          <cell r="E385" t="str">
            <v>trezentos e oitenta e quatro centavos</v>
          </cell>
        </row>
        <row r="386">
          <cell r="A386">
            <v>385</v>
          </cell>
          <cell r="B386" t="str">
            <v xml:space="preserve">trezentos e oitenta e cinco milhões, </v>
          </cell>
          <cell r="C386" t="str">
            <v xml:space="preserve">trezentos e oitenta e cinco mil, </v>
          </cell>
          <cell r="D386" t="str">
            <v>trezentos e oitenta e cinco</v>
          </cell>
          <cell r="E386" t="str">
            <v>trezentos e oitenta e cinco centavos</v>
          </cell>
        </row>
        <row r="387">
          <cell r="A387">
            <v>386</v>
          </cell>
          <cell r="B387" t="str">
            <v xml:space="preserve">trezentos e oitenta e seis milhões, </v>
          </cell>
          <cell r="C387" t="str">
            <v xml:space="preserve">trezentos e oitenta e seis mil, </v>
          </cell>
          <cell r="D387" t="str">
            <v>trezentos e oitenta e seis</v>
          </cell>
          <cell r="E387" t="str">
            <v>trezentos e oitenta e seis centavos</v>
          </cell>
        </row>
        <row r="388">
          <cell r="A388">
            <v>387</v>
          </cell>
          <cell r="B388" t="str">
            <v xml:space="preserve">trezentos e oitenta e sete milhões, </v>
          </cell>
          <cell r="C388" t="str">
            <v xml:space="preserve">trezentos e oitenta e sete mil, </v>
          </cell>
          <cell r="D388" t="str">
            <v>trezentos e oitenta e sete</v>
          </cell>
          <cell r="E388" t="str">
            <v>trezentos e oitenta e sete centavos</v>
          </cell>
        </row>
        <row r="389">
          <cell r="A389">
            <v>388</v>
          </cell>
          <cell r="B389" t="str">
            <v xml:space="preserve">trezentos e oitenta e oito milhões, </v>
          </cell>
          <cell r="C389" t="str">
            <v xml:space="preserve">trezentos e oitenta e oito mil, </v>
          </cell>
          <cell r="D389" t="str">
            <v>trezentos e oitenta e oito</v>
          </cell>
          <cell r="E389" t="str">
            <v>trezentos e oitenta e oito centavos</v>
          </cell>
        </row>
        <row r="390">
          <cell r="A390">
            <v>389</v>
          </cell>
          <cell r="B390" t="str">
            <v xml:space="preserve">trezentos e oitenta e nove milhões, </v>
          </cell>
          <cell r="C390" t="str">
            <v xml:space="preserve">trezentos e oitenta e nove mil, </v>
          </cell>
          <cell r="D390" t="str">
            <v>trezentos e oitenta e nove</v>
          </cell>
          <cell r="E390" t="str">
            <v>trezentos e oitenta e nove centavos</v>
          </cell>
        </row>
        <row r="391">
          <cell r="A391">
            <v>390</v>
          </cell>
          <cell r="B391" t="str">
            <v xml:space="preserve">trezentos e noventa milhões, </v>
          </cell>
          <cell r="C391" t="str">
            <v xml:space="preserve">trezentos e noventa mil, </v>
          </cell>
          <cell r="D391" t="str">
            <v>trezentos e noventa</v>
          </cell>
          <cell r="E391" t="str">
            <v>trezentos e noventa centavos</v>
          </cell>
        </row>
        <row r="392">
          <cell r="A392">
            <v>391</v>
          </cell>
          <cell r="B392" t="str">
            <v xml:space="preserve">trezentos e noventa e um milhões, </v>
          </cell>
          <cell r="C392" t="str">
            <v xml:space="preserve">trezentos e noventa e um mil, </v>
          </cell>
          <cell r="D392" t="str">
            <v>trezentos e noventa e um</v>
          </cell>
          <cell r="E392" t="str">
            <v>trezentos e noventa e um centavos</v>
          </cell>
        </row>
        <row r="393">
          <cell r="A393">
            <v>392</v>
          </cell>
          <cell r="B393" t="str">
            <v xml:space="preserve">trezentos e noventa e dois milhões, </v>
          </cell>
          <cell r="C393" t="str">
            <v xml:space="preserve">trezentos e noventa e dois mil, </v>
          </cell>
          <cell r="D393" t="str">
            <v>trezentos e noventa e dois</v>
          </cell>
          <cell r="E393" t="str">
            <v>trezentos e noventa e dois centavos</v>
          </cell>
        </row>
        <row r="394">
          <cell r="A394">
            <v>393</v>
          </cell>
          <cell r="B394" t="str">
            <v xml:space="preserve">trezentos e noventa e tres milhões, </v>
          </cell>
          <cell r="C394" t="str">
            <v xml:space="preserve">trezentos e noventa e tres mil, </v>
          </cell>
          <cell r="D394" t="str">
            <v>trezentos e noventa e tres</v>
          </cell>
          <cell r="E394" t="str">
            <v>trezentos e noventa e tres centavos</v>
          </cell>
        </row>
        <row r="395">
          <cell r="A395">
            <v>394</v>
          </cell>
          <cell r="B395" t="str">
            <v xml:space="preserve">trezentos e noventa e quatro milhões, </v>
          </cell>
          <cell r="C395" t="str">
            <v xml:space="preserve">trezentos e noventa e quatro mil, </v>
          </cell>
          <cell r="D395" t="str">
            <v>trezentos e noventa e quatro</v>
          </cell>
          <cell r="E395" t="str">
            <v>trezentos e noventa e quatro centavos</v>
          </cell>
        </row>
        <row r="396">
          <cell r="A396">
            <v>395</v>
          </cell>
          <cell r="B396" t="str">
            <v xml:space="preserve">trezentos e noventa e cinco milhões, </v>
          </cell>
          <cell r="C396" t="str">
            <v xml:space="preserve">trezentos e noventa e cinco mil, </v>
          </cell>
          <cell r="D396" t="str">
            <v>trezentos e noventa e cinco</v>
          </cell>
          <cell r="E396" t="str">
            <v>trezentos e noventa e cinco centavos</v>
          </cell>
        </row>
        <row r="397">
          <cell r="A397">
            <v>396</v>
          </cell>
          <cell r="B397" t="str">
            <v xml:space="preserve">trezentos e noventa e seis milhões, </v>
          </cell>
          <cell r="C397" t="str">
            <v xml:space="preserve">trezentos e noventa e seis mil, </v>
          </cell>
          <cell r="D397" t="str">
            <v>trezentos e noventa e seis</v>
          </cell>
          <cell r="E397" t="str">
            <v>trezentos e noventa e seis centavos</v>
          </cell>
        </row>
        <row r="398">
          <cell r="A398">
            <v>397</v>
          </cell>
          <cell r="B398" t="str">
            <v xml:space="preserve">trezentos e noventa e sete milhões, </v>
          </cell>
          <cell r="C398" t="str">
            <v xml:space="preserve">trezentos e noventa e sete mil, </v>
          </cell>
          <cell r="D398" t="str">
            <v>trezentos e noventa e sete</v>
          </cell>
          <cell r="E398" t="str">
            <v>trezentos e noventa e sete centavos</v>
          </cell>
        </row>
        <row r="399">
          <cell r="A399">
            <v>398</v>
          </cell>
          <cell r="B399" t="str">
            <v xml:space="preserve">trezentos e noventa e oito milhões, </v>
          </cell>
          <cell r="C399" t="str">
            <v xml:space="preserve">trezentos e noventa e oito mil, </v>
          </cell>
          <cell r="D399" t="str">
            <v>trezentos e noventa e oito</v>
          </cell>
          <cell r="E399" t="str">
            <v>trezentos e noventa e oito centavos</v>
          </cell>
        </row>
        <row r="400">
          <cell r="A400">
            <v>399</v>
          </cell>
          <cell r="B400" t="str">
            <v xml:space="preserve">trezentos e noventa e nove milhões, </v>
          </cell>
          <cell r="C400" t="str">
            <v xml:space="preserve">trezentos e noventa e nove mil, </v>
          </cell>
          <cell r="D400" t="str">
            <v>trezentos e noventa e nove</v>
          </cell>
          <cell r="E400" t="str">
            <v>trezentos e noventa e nove centavos</v>
          </cell>
        </row>
        <row r="401">
          <cell r="A401">
            <v>400</v>
          </cell>
          <cell r="B401" t="str">
            <v xml:space="preserve">quatrocentos milhões, </v>
          </cell>
          <cell r="C401" t="str">
            <v xml:space="preserve">quatrocentos mil, </v>
          </cell>
          <cell r="D401" t="str">
            <v>quatrocentos</v>
          </cell>
          <cell r="E401" t="str">
            <v>quatrocentos centavos</v>
          </cell>
        </row>
        <row r="402">
          <cell r="A402">
            <v>401</v>
          </cell>
          <cell r="B402" t="str">
            <v xml:space="preserve">quatrocentos e um milhões, </v>
          </cell>
          <cell r="C402" t="str">
            <v xml:space="preserve">quatrocentos e um mil, </v>
          </cell>
          <cell r="D402" t="str">
            <v>quatrocentos e um</v>
          </cell>
          <cell r="E402" t="str">
            <v>quatrocentos e um centavos</v>
          </cell>
        </row>
        <row r="403">
          <cell r="A403">
            <v>402</v>
          </cell>
          <cell r="B403" t="str">
            <v xml:space="preserve">quatrocentos e dois milhões, </v>
          </cell>
          <cell r="C403" t="str">
            <v xml:space="preserve">quatrocentos e dois mil, </v>
          </cell>
          <cell r="D403" t="str">
            <v>quatrocentos e dois</v>
          </cell>
          <cell r="E403" t="str">
            <v>quatrocentos e dois centavos</v>
          </cell>
        </row>
        <row r="404">
          <cell r="A404">
            <v>403</v>
          </cell>
          <cell r="B404" t="str">
            <v xml:space="preserve">quatrocentos e tres milhões, </v>
          </cell>
          <cell r="C404" t="str">
            <v xml:space="preserve">quatrocentos e tres mil, </v>
          </cell>
          <cell r="D404" t="str">
            <v>quatrocentos e tres</v>
          </cell>
          <cell r="E404" t="str">
            <v>quatrocentos e tres centavos</v>
          </cell>
        </row>
        <row r="405">
          <cell r="A405">
            <v>404</v>
          </cell>
          <cell r="B405" t="str">
            <v xml:space="preserve">quatrocentos e quatro milhões, </v>
          </cell>
          <cell r="C405" t="str">
            <v xml:space="preserve">quatrocentos e quatro mil, </v>
          </cell>
          <cell r="D405" t="str">
            <v>quatrocentos e quatro</v>
          </cell>
          <cell r="E405" t="str">
            <v>quatrocentos e quatro centavos</v>
          </cell>
        </row>
        <row r="406">
          <cell r="A406">
            <v>405</v>
          </cell>
          <cell r="B406" t="str">
            <v xml:space="preserve">quatrocentos e cinco milhões, </v>
          </cell>
          <cell r="C406" t="str">
            <v xml:space="preserve">quatrocentos e cinco mil, </v>
          </cell>
          <cell r="D406" t="str">
            <v>quatrocentos e cinco</v>
          </cell>
          <cell r="E406" t="str">
            <v>quatrocentos e cinco centavos</v>
          </cell>
        </row>
        <row r="407">
          <cell r="A407">
            <v>406</v>
          </cell>
          <cell r="B407" t="str">
            <v xml:space="preserve">quatrocentos e seis milhões, </v>
          </cell>
          <cell r="C407" t="str">
            <v xml:space="preserve">quatrocentos e seis mil, </v>
          </cell>
          <cell r="D407" t="str">
            <v>quatrocentos e seis</v>
          </cell>
          <cell r="E407" t="str">
            <v>quatrocentos e seis centavos</v>
          </cell>
        </row>
        <row r="408">
          <cell r="A408">
            <v>407</v>
          </cell>
          <cell r="B408" t="str">
            <v xml:space="preserve">quatrocentos e sete milhões, </v>
          </cell>
          <cell r="C408" t="str">
            <v xml:space="preserve">quatrocentos e sete mil, </v>
          </cell>
          <cell r="D408" t="str">
            <v>quatrocentos e sete</v>
          </cell>
          <cell r="E408" t="str">
            <v>quatrocentos e sete centavos</v>
          </cell>
        </row>
        <row r="409">
          <cell r="A409">
            <v>408</v>
          </cell>
          <cell r="B409" t="str">
            <v xml:space="preserve">quatrocentos e oito milhões, </v>
          </cell>
          <cell r="C409" t="str">
            <v xml:space="preserve">quatrocentos e oito mil, </v>
          </cell>
          <cell r="D409" t="str">
            <v>quatrocentos e oito</v>
          </cell>
          <cell r="E409" t="str">
            <v>quatrocentos e oito centavos</v>
          </cell>
        </row>
        <row r="410">
          <cell r="A410">
            <v>409</v>
          </cell>
          <cell r="B410" t="str">
            <v xml:space="preserve">quatrocentos e nove milhões, </v>
          </cell>
          <cell r="C410" t="str">
            <v xml:space="preserve">quatrocentos e nove mil, </v>
          </cell>
          <cell r="D410" t="str">
            <v>quatrocentos e nove</v>
          </cell>
          <cell r="E410" t="str">
            <v>quatrocentos e nove centavos</v>
          </cell>
        </row>
        <row r="411">
          <cell r="A411">
            <v>410</v>
          </cell>
          <cell r="B411" t="str">
            <v xml:space="preserve">quatrocentos e dez milhões, </v>
          </cell>
          <cell r="C411" t="str">
            <v xml:space="preserve">quatrocentos e dez mil, </v>
          </cell>
          <cell r="D411" t="str">
            <v>quatrocentos e dez</v>
          </cell>
          <cell r="E411" t="str">
            <v>quatrocentos e dez centavos</v>
          </cell>
        </row>
        <row r="412">
          <cell r="A412">
            <v>411</v>
          </cell>
          <cell r="B412" t="str">
            <v xml:space="preserve">quatrocentos e onze milhões, </v>
          </cell>
          <cell r="C412" t="str">
            <v xml:space="preserve">quatrocentos e onze mil, </v>
          </cell>
          <cell r="D412" t="str">
            <v>quatrocentos e onze</v>
          </cell>
          <cell r="E412" t="str">
            <v>quatrocentos e onze centavos</v>
          </cell>
        </row>
        <row r="413">
          <cell r="A413">
            <v>412</v>
          </cell>
          <cell r="B413" t="str">
            <v xml:space="preserve">quatrocentos e doze milhões, </v>
          </cell>
          <cell r="C413" t="str">
            <v xml:space="preserve">quatrocentos e doze mil, </v>
          </cell>
          <cell r="D413" t="str">
            <v>quatrocentos e doze</v>
          </cell>
          <cell r="E413" t="str">
            <v>quatrocentos e doze centavos</v>
          </cell>
        </row>
        <row r="414">
          <cell r="A414">
            <v>413</v>
          </cell>
          <cell r="B414" t="str">
            <v xml:space="preserve">quatrocentos e treze milhões, </v>
          </cell>
          <cell r="C414" t="str">
            <v xml:space="preserve">quatrocentos e treze mil, </v>
          </cell>
          <cell r="D414" t="str">
            <v>quatrocentos e treze</v>
          </cell>
          <cell r="E414" t="str">
            <v>quatrocentos e treze centavos</v>
          </cell>
        </row>
        <row r="415">
          <cell r="A415">
            <v>414</v>
          </cell>
          <cell r="B415" t="str">
            <v xml:space="preserve">quatrocentos e quatorze milhões, </v>
          </cell>
          <cell r="C415" t="str">
            <v xml:space="preserve">quatrocentos e quatorze mil, </v>
          </cell>
          <cell r="D415" t="str">
            <v>quatrocentos e quatorze</v>
          </cell>
          <cell r="E415" t="str">
            <v>quatrocentos e quatorze centavos</v>
          </cell>
        </row>
        <row r="416">
          <cell r="A416">
            <v>415</v>
          </cell>
          <cell r="B416" t="str">
            <v xml:space="preserve">quatrocentos e quinze milhões, </v>
          </cell>
          <cell r="C416" t="str">
            <v xml:space="preserve">quatrocentos e quinze mil, </v>
          </cell>
          <cell r="D416" t="str">
            <v>quatrocentos e quinze</v>
          </cell>
          <cell r="E416" t="str">
            <v>quatrocentos e quinze centavos</v>
          </cell>
        </row>
        <row r="417">
          <cell r="A417">
            <v>416</v>
          </cell>
          <cell r="B417" t="str">
            <v xml:space="preserve">quatrocentos e dezesseis milhões, </v>
          </cell>
          <cell r="C417" t="str">
            <v xml:space="preserve">quatrocentos e dezesseis mil, </v>
          </cell>
          <cell r="D417" t="str">
            <v>quatrocentos e dezesseis</v>
          </cell>
          <cell r="E417" t="str">
            <v>quatrocentos e dezesseis centavos</v>
          </cell>
        </row>
        <row r="418">
          <cell r="A418">
            <v>417</v>
          </cell>
          <cell r="B418" t="str">
            <v xml:space="preserve">quatrocentos e dezessete milhões, </v>
          </cell>
          <cell r="C418" t="str">
            <v xml:space="preserve">quatrocentos e dezessete mil, </v>
          </cell>
          <cell r="D418" t="str">
            <v>quatrocentos e dezessete</v>
          </cell>
          <cell r="E418" t="str">
            <v>quatrocentos e dezessete centavos</v>
          </cell>
        </row>
        <row r="419">
          <cell r="A419">
            <v>418</v>
          </cell>
          <cell r="B419" t="str">
            <v xml:space="preserve">quatrocentos e dezoito milhões, </v>
          </cell>
          <cell r="C419" t="str">
            <v xml:space="preserve">quatrocentos e dezoito mil, </v>
          </cell>
          <cell r="D419" t="str">
            <v>quatrocentos e dezoito</v>
          </cell>
          <cell r="E419" t="str">
            <v>quatrocentos e dezoito centavos</v>
          </cell>
        </row>
        <row r="420">
          <cell r="A420">
            <v>419</v>
          </cell>
          <cell r="B420" t="str">
            <v xml:space="preserve">quatrocentos e dezenove milhões, </v>
          </cell>
          <cell r="C420" t="str">
            <v xml:space="preserve">quatrocentos e dezenove mil, </v>
          </cell>
          <cell r="D420" t="str">
            <v>quatrocentos e dezenove</v>
          </cell>
          <cell r="E420" t="str">
            <v>quatrocentos e dezenove centavos</v>
          </cell>
        </row>
        <row r="421">
          <cell r="A421">
            <v>420</v>
          </cell>
          <cell r="B421" t="str">
            <v xml:space="preserve">quatrocentos e vinte milhões, </v>
          </cell>
          <cell r="C421" t="str">
            <v xml:space="preserve">quatrocentos e vinte mil, </v>
          </cell>
          <cell r="D421" t="str">
            <v>quatrocentos e vinte</v>
          </cell>
          <cell r="E421" t="str">
            <v>quatrocentos e vinte centavos</v>
          </cell>
        </row>
        <row r="422">
          <cell r="A422">
            <v>421</v>
          </cell>
          <cell r="B422" t="str">
            <v xml:space="preserve">quatrocentos e vinte e um milhões, </v>
          </cell>
          <cell r="C422" t="str">
            <v xml:space="preserve">quatrocentos e vinte e um mil, </v>
          </cell>
          <cell r="D422" t="str">
            <v>quatrocentos e vinte e um</v>
          </cell>
          <cell r="E422" t="str">
            <v>quatrocentos e vinte e um centavos</v>
          </cell>
        </row>
        <row r="423">
          <cell r="A423">
            <v>422</v>
          </cell>
          <cell r="B423" t="str">
            <v xml:space="preserve">quatrocentos e vinte e dois milhões, </v>
          </cell>
          <cell r="C423" t="str">
            <v xml:space="preserve">quatrocentos e vinte e dois mil, </v>
          </cell>
          <cell r="D423" t="str">
            <v>quatrocentos e vinte e dois</v>
          </cell>
          <cell r="E423" t="str">
            <v>quatrocentos e vinte e dois centavos</v>
          </cell>
        </row>
        <row r="424">
          <cell r="A424">
            <v>423</v>
          </cell>
          <cell r="B424" t="str">
            <v xml:space="preserve">quatrocentos e vinte e tres milhões, </v>
          </cell>
          <cell r="C424" t="str">
            <v xml:space="preserve">quatrocentos e vinte e tres mil, </v>
          </cell>
          <cell r="D424" t="str">
            <v>quatrocentos e vinte e tres</v>
          </cell>
          <cell r="E424" t="str">
            <v>quatrocentos e vinte e tres centavos</v>
          </cell>
        </row>
        <row r="425">
          <cell r="A425">
            <v>424</v>
          </cell>
          <cell r="B425" t="str">
            <v xml:space="preserve">quatrocentos e vinte e quatro milhões, </v>
          </cell>
          <cell r="C425" t="str">
            <v xml:space="preserve">quatrocentos e vinte e quatro mil, </v>
          </cell>
          <cell r="D425" t="str">
            <v>quatrocentos e vinte e quatro</v>
          </cell>
          <cell r="E425" t="str">
            <v>quatrocentos e vinte e quatro centavos</v>
          </cell>
        </row>
        <row r="426">
          <cell r="A426">
            <v>425</v>
          </cell>
          <cell r="B426" t="str">
            <v xml:space="preserve">quatrocentos e vinte e cinco milhões, </v>
          </cell>
          <cell r="C426" t="str">
            <v xml:space="preserve">quatrocentos e vinte e cinco mil, </v>
          </cell>
          <cell r="D426" t="str">
            <v>quatrocentos e vinte e cinco</v>
          </cell>
          <cell r="E426" t="str">
            <v>quatrocentos e vinte e cinco centavos</v>
          </cell>
        </row>
        <row r="427">
          <cell r="A427">
            <v>426</v>
          </cell>
          <cell r="B427" t="str">
            <v xml:space="preserve">quatrocentos e vinte e seis milhões, </v>
          </cell>
          <cell r="C427" t="str">
            <v xml:space="preserve">quatrocentos e vinte e seis mil, </v>
          </cell>
          <cell r="D427" t="str">
            <v>quatrocentos e vinte e seis</v>
          </cell>
          <cell r="E427" t="str">
            <v>quatrocentos e vinte e seis centavos</v>
          </cell>
        </row>
        <row r="428">
          <cell r="A428">
            <v>427</v>
          </cell>
          <cell r="B428" t="str">
            <v xml:space="preserve">quatrocentos e vinte e sete milhões, </v>
          </cell>
          <cell r="C428" t="str">
            <v xml:space="preserve">quatrocentos e vinte e sete mil, </v>
          </cell>
          <cell r="D428" t="str">
            <v>quatrocentos e vinte e sete</v>
          </cell>
          <cell r="E428" t="str">
            <v>quatrocentos e vinte e sete centavos</v>
          </cell>
        </row>
        <row r="429">
          <cell r="A429">
            <v>428</v>
          </cell>
          <cell r="B429" t="str">
            <v xml:space="preserve">quatrocentos e vinte e oito milhões, </v>
          </cell>
          <cell r="C429" t="str">
            <v xml:space="preserve">quatrocentos e vinte e oito mil, </v>
          </cell>
          <cell r="D429" t="str">
            <v>quatrocentos e vinte e oito</v>
          </cell>
          <cell r="E429" t="str">
            <v>quatrocentos e vinte e oito centavos</v>
          </cell>
        </row>
        <row r="430">
          <cell r="A430">
            <v>429</v>
          </cell>
          <cell r="B430" t="str">
            <v xml:space="preserve">quatrocentos e vinte e nove milhões, </v>
          </cell>
          <cell r="C430" t="str">
            <v xml:space="preserve">quatrocentos e vinte e nove mil, </v>
          </cell>
          <cell r="D430" t="str">
            <v>quatrocentos e vinte e nove</v>
          </cell>
          <cell r="E430" t="str">
            <v>quatrocentos e vinte e nove centavos</v>
          </cell>
        </row>
        <row r="431">
          <cell r="A431">
            <v>430</v>
          </cell>
          <cell r="B431" t="str">
            <v xml:space="preserve">quatrocentos e trinta milhões, </v>
          </cell>
          <cell r="C431" t="str">
            <v xml:space="preserve">quatrocentos e trinta mil, </v>
          </cell>
          <cell r="D431" t="str">
            <v>quatrocentos e trinta</v>
          </cell>
          <cell r="E431" t="str">
            <v>quatrocentos e trinta centavos</v>
          </cell>
        </row>
        <row r="432">
          <cell r="A432">
            <v>431</v>
          </cell>
          <cell r="B432" t="str">
            <v xml:space="preserve">quatrocentos e trinta e um milhões, </v>
          </cell>
          <cell r="C432" t="str">
            <v xml:space="preserve">quatrocentos e trinta e um mil, </v>
          </cell>
          <cell r="D432" t="str">
            <v>quatrocentos e trinta e um</v>
          </cell>
          <cell r="E432" t="str">
            <v>quatrocentos e trinta e um centavos</v>
          </cell>
        </row>
        <row r="433">
          <cell r="A433">
            <v>432</v>
          </cell>
          <cell r="B433" t="str">
            <v xml:space="preserve">quatrocentos e trinta e dois milhões, </v>
          </cell>
          <cell r="C433" t="str">
            <v xml:space="preserve">quatrocentos e trinta e dois mil, </v>
          </cell>
          <cell r="D433" t="str">
            <v>quatrocentos e trinta e dois</v>
          </cell>
          <cell r="E433" t="str">
            <v>quatrocentos e trinta e dois centavos</v>
          </cell>
        </row>
        <row r="434">
          <cell r="A434">
            <v>433</v>
          </cell>
          <cell r="B434" t="str">
            <v xml:space="preserve">quatrocentos e trinta e tres milhões, </v>
          </cell>
          <cell r="C434" t="str">
            <v xml:space="preserve">quatrocentos e trinta e tres mil, </v>
          </cell>
          <cell r="D434" t="str">
            <v>quatrocentos e trinta e tres</v>
          </cell>
          <cell r="E434" t="str">
            <v>quatrocentos e trinta e tres centavos</v>
          </cell>
        </row>
        <row r="435">
          <cell r="A435">
            <v>434</v>
          </cell>
          <cell r="B435" t="str">
            <v xml:space="preserve">quatrocentos e trinta e quatro milhões, </v>
          </cell>
          <cell r="C435" t="str">
            <v xml:space="preserve">quatrocentos e trinta e quatro mil, </v>
          </cell>
          <cell r="D435" t="str">
            <v>quatrocentos e trinta e quatro</v>
          </cell>
          <cell r="E435" t="str">
            <v>quatrocentos e trinta e quatro centavos</v>
          </cell>
        </row>
        <row r="436">
          <cell r="A436">
            <v>435</v>
          </cell>
          <cell r="B436" t="str">
            <v xml:space="preserve">quatrocentos e trinta e cinco milhões, </v>
          </cell>
          <cell r="C436" t="str">
            <v xml:space="preserve">quatrocentos e trinta e cinco mil, </v>
          </cell>
          <cell r="D436" t="str">
            <v>quatrocentos e trinta e cinco</v>
          </cell>
          <cell r="E436" t="str">
            <v>quatrocentos e trinta e cinco centavos</v>
          </cell>
        </row>
        <row r="437">
          <cell r="A437">
            <v>436</v>
          </cell>
          <cell r="B437" t="str">
            <v xml:space="preserve">quatrocentos e trinta e seis milhões, </v>
          </cell>
          <cell r="C437" t="str">
            <v xml:space="preserve">quatrocentos e trinta e seis mil, </v>
          </cell>
          <cell r="D437" t="str">
            <v>quatrocentos e trinta e seis</v>
          </cell>
          <cell r="E437" t="str">
            <v>quatrocentos e trinta e seis centavos</v>
          </cell>
        </row>
        <row r="438">
          <cell r="A438">
            <v>437</v>
          </cell>
          <cell r="B438" t="str">
            <v xml:space="preserve">quatrocentos e trinta e sete milhões, </v>
          </cell>
          <cell r="C438" t="str">
            <v xml:space="preserve">quatrocentos e trinta e sete mil, </v>
          </cell>
          <cell r="D438" t="str">
            <v>quatrocentos e trinta e sete</v>
          </cell>
          <cell r="E438" t="str">
            <v>quatrocentos e trinta e sete centavos</v>
          </cell>
        </row>
        <row r="439">
          <cell r="A439">
            <v>438</v>
          </cell>
          <cell r="B439" t="str">
            <v xml:space="preserve">quatrocentos e trinta e oito milhões, </v>
          </cell>
          <cell r="C439" t="str">
            <v xml:space="preserve">quatrocentos e trinta e oito mil, </v>
          </cell>
          <cell r="D439" t="str">
            <v>quatrocentos e trinta e oito</v>
          </cell>
          <cell r="E439" t="str">
            <v>quatrocentos e trinta e oito centavos</v>
          </cell>
        </row>
        <row r="440">
          <cell r="A440">
            <v>439</v>
          </cell>
          <cell r="B440" t="str">
            <v xml:space="preserve">quatrocentos e trinta e nove milhões, </v>
          </cell>
          <cell r="C440" t="str">
            <v xml:space="preserve">quatrocentos e trinta e nove mil, </v>
          </cell>
          <cell r="D440" t="str">
            <v>quatrocentos e trinta e nove</v>
          </cell>
          <cell r="E440" t="str">
            <v>quatrocentos e trinta e nove centavos</v>
          </cell>
        </row>
        <row r="441">
          <cell r="A441">
            <v>440</v>
          </cell>
          <cell r="B441" t="str">
            <v xml:space="preserve">quatrocentos e quarenta milhões, </v>
          </cell>
          <cell r="C441" t="str">
            <v xml:space="preserve">quatrocentos e quarenta mil, </v>
          </cell>
          <cell r="D441" t="str">
            <v>quatrocentos e quarenta</v>
          </cell>
          <cell r="E441" t="str">
            <v>quatrocentos e quarenta centavos</v>
          </cell>
        </row>
        <row r="442">
          <cell r="A442">
            <v>441</v>
          </cell>
          <cell r="B442" t="str">
            <v xml:space="preserve">quatrocentos e quarenta e um milhões, </v>
          </cell>
          <cell r="C442" t="str">
            <v xml:space="preserve">quatrocentos e quarenta e um mil, </v>
          </cell>
          <cell r="D442" t="str">
            <v>quatrocentos e quarenta e um</v>
          </cell>
          <cell r="E442" t="str">
            <v>quatrocentos e quarenta e um centavos</v>
          </cell>
        </row>
        <row r="443">
          <cell r="A443">
            <v>442</v>
          </cell>
          <cell r="B443" t="str">
            <v xml:space="preserve">quatrocentos e quarenta e dois milhões, </v>
          </cell>
          <cell r="C443" t="str">
            <v xml:space="preserve">quatrocentos e quarenta e dois mil, </v>
          </cell>
          <cell r="D443" t="str">
            <v>quatrocentos e quarenta e dois</v>
          </cell>
          <cell r="E443" t="str">
            <v>quatrocentos e quarenta e dois centavos</v>
          </cell>
        </row>
        <row r="444">
          <cell r="A444">
            <v>443</v>
          </cell>
          <cell r="B444" t="str">
            <v xml:space="preserve">quatrocentos e quarenta e tres milhões, </v>
          </cell>
          <cell r="C444" t="str">
            <v xml:space="preserve">quatrocentos e quarenta e tres mil, </v>
          </cell>
          <cell r="D444" t="str">
            <v>quatrocentos e quarenta e tres</v>
          </cell>
          <cell r="E444" t="str">
            <v>quatrocentos e quarenta e tres centavos</v>
          </cell>
        </row>
        <row r="445">
          <cell r="A445">
            <v>444</v>
          </cell>
          <cell r="B445" t="str">
            <v xml:space="preserve">quatrocentos e quarenta e quatro milhões, </v>
          </cell>
          <cell r="C445" t="str">
            <v xml:space="preserve">quatrocentos e quarenta e quatro mil, </v>
          </cell>
          <cell r="D445" t="str">
            <v>quatrocentos e quarenta e quatro</v>
          </cell>
          <cell r="E445" t="str">
            <v>quatrocentos e quarenta e quatro centavos</v>
          </cell>
        </row>
        <row r="446">
          <cell r="A446">
            <v>445</v>
          </cell>
          <cell r="B446" t="str">
            <v xml:space="preserve">quatrocentos e quarenta e cinco milhões, </v>
          </cell>
          <cell r="C446" t="str">
            <v xml:space="preserve">quatrocentos e quarenta e cinco mil, </v>
          </cell>
          <cell r="D446" t="str">
            <v>quatrocentos e quarenta e cinco</v>
          </cell>
          <cell r="E446" t="str">
            <v>quatrocentos e quarenta e cinco centavos</v>
          </cell>
        </row>
        <row r="447">
          <cell r="A447">
            <v>446</v>
          </cell>
          <cell r="B447" t="str">
            <v xml:space="preserve">quatrocentos e quarenta e seis milhões, </v>
          </cell>
          <cell r="C447" t="str">
            <v xml:space="preserve">quatrocentos e quarenta e seis mil, </v>
          </cell>
          <cell r="D447" t="str">
            <v>quatrocentos e quarenta e seis</v>
          </cell>
          <cell r="E447" t="str">
            <v>quatrocentos e quarenta e seis centavos</v>
          </cell>
        </row>
        <row r="448">
          <cell r="A448">
            <v>447</v>
          </cell>
          <cell r="B448" t="str">
            <v xml:space="preserve">quatrocentos e quarenta e sete milhões, </v>
          </cell>
          <cell r="C448" t="str">
            <v xml:space="preserve">quatrocentos e quarenta e sete mil, </v>
          </cell>
          <cell r="D448" t="str">
            <v>quatrocentos e quarenta e sete</v>
          </cell>
          <cell r="E448" t="str">
            <v>quatrocentos e quarenta e sete centavos</v>
          </cell>
        </row>
        <row r="449">
          <cell r="A449">
            <v>448</v>
          </cell>
          <cell r="B449" t="str">
            <v xml:space="preserve">quatrocentos e quarenta e oito milhões, </v>
          </cell>
          <cell r="C449" t="str">
            <v xml:space="preserve">quatrocentos e quarenta e oito mil, </v>
          </cell>
          <cell r="D449" t="str">
            <v>quatrocentos e quarenta e oito</v>
          </cell>
          <cell r="E449" t="str">
            <v>quatrocentos e quarenta e oito centavos</v>
          </cell>
        </row>
        <row r="450">
          <cell r="A450">
            <v>449</v>
          </cell>
          <cell r="B450" t="str">
            <v xml:space="preserve">quatrocentos e quarenta e nove milhões, </v>
          </cell>
          <cell r="C450" t="str">
            <v xml:space="preserve">quatrocentos e quarenta e nove mil, </v>
          </cell>
          <cell r="D450" t="str">
            <v>quatrocentos e quarenta e nove</v>
          </cell>
          <cell r="E450" t="str">
            <v>quatrocentos e quarenta e nove centavos</v>
          </cell>
        </row>
        <row r="451">
          <cell r="A451">
            <v>450</v>
          </cell>
          <cell r="B451" t="str">
            <v xml:space="preserve">quatrocentos e cinquenta milhões, </v>
          </cell>
          <cell r="C451" t="str">
            <v xml:space="preserve">quatrocentos e cinquenta mil, </v>
          </cell>
          <cell r="D451" t="str">
            <v>quatrocentos e cinquenta</v>
          </cell>
          <cell r="E451" t="str">
            <v>quatrocentos e cinquenta centavos</v>
          </cell>
        </row>
        <row r="452">
          <cell r="A452">
            <v>451</v>
          </cell>
          <cell r="B452" t="str">
            <v xml:space="preserve">quatrocentos e cinquenta e um milhões, </v>
          </cell>
          <cell r="C452" t="str">
            <v xml:space="preserve">quatrocentos e cinquenta e um mil, </v>
          </cell>
          <cell r="D452" t="str">
            <v>quatrocentos e cinquenta e um</v>
          </cell>
          <cell r="E452" t="str">
            <v>quatrocentos e cinquenta e um centavos</v>
          </cell>
        </row>
        <row r="453">
          <cell r="A453">
            <v>452</v>
          </cell>
          <cell r="B453" t="str">
            <v xml:space="preserve">quatrocentos e cinquenta e dois milhões, </v>
          </cell>
          <cell r="C453" t="str">
            <v xml:space="preserve">quatrocentos e cinquenta e dois mil, </v>
          </cell>
          <cell r="D453" t="str">
            <v>quatrocentos e cinquenta e dois</v>
          </cell>
          <cell r="E453" t="str">
            <v>quatrocentos e cinquenta e dois centavos</v>
          </cell>
        </row>
        <row r="454">
          <cell r="A454">
            <v>453</v>
          </cell>
          <cell r="B454" t="str">
            <v xml:space="preserve">quatrocentos e cinquenta e tres milhões, </v>
          </cell>
          <cell r="C454" t="str">
            <v xml:space="preserve">quatrocentos e cinquenta e tres mil, </v>
          </cell>
          <cell r="D454" t="str">
            <v>quatrocentos e cinquenta e tres</v>
          </cell>
          <cell r="E454" t="str">
            <v>quatrocentos e cinquenta e tres centavos</v>
          </cell>
        </row>
        <row r="455">
          <cell r="A455">
            <v>454</v>
          </cell>
          <cell r="B455" t="str">
            <v xml:space="preserve">quatrocentos e cinquenta e quatro milhões, </v>
          </cell>
          <cell r="C455" t="str">
            <v xml:space="preserve">quatrocentos e cinquenta e quatro mil, </v>
          </cell>
          <cell r="D455" t="str">
            <v>quatrocentos e cinquenta e quatro</v>
          </cell>
          <cell r="E455" t="str">
            <v>quatrocentos e cinquenta e quatro centavos</v>
          </cell>
        </row>
        <row r="456">
          <cell r="A456">
            <v>455</v>
          </cell>
          <cell r="B456" t="str">
            <v xml:space="preserve">quatrocentos e cinquenta e cinco milhões, </v>
          </cell>
          <cell r="C456" t="str">
            <v xml:space="preserve">quatrocentos e cinquenta e cinco mil, </v>
          </cell>
          <cell r="D456" t="str">
            <v>quatrocentos e cinquenta e cinco</v>
          </cell>
          <cell r="E456" t="str">
            <v>quatrocentos e cinquenta e cinco centavos</v>
          </cell>
        </row>
        <row r="457">
          <cell r="A457">
            <v>456</v>
          </cell>
          <cell r="B457" t="str">
            <v xml:space="preserve">quatrocentos e cinquenta e seis milhões, </v>
          </cell>
          <cell r="C457" t="str">
            <v xml:space="preserve">quatrocentos e cinquenta e seis mil, </v>
          </cell>
          <cell r="D457" t="str">
            <v>quatrocentos e cinquenta e seis</v>
          </cell>
          <cell r="E457" t="str">
            <v>quatrocentos e cinquenta e seis centavos</v>
          </cell>
        </row>
        <row r="458">
          <cell r="A458">
            <v>457</v>
          </cell>
          <cell r="B458" t="str">
            <v xml:space="preserve">quatrocentos e cinquenta e sete milhões, </v>
          </cell>
          <cell r="C458" t="str">
            <v xml:space="preserve">quatrocentos e cinquenta e sete mil, </v>
          </cell>
          <cell r="D458" t="str">
            <v>quatrocentos e cinquenta e sete</v>
          </cell>
          <cell r="E458" t="str">
            <v>quatrocentos e cinquenta e sete centavos</v>
          </cell>
        </row>
        <row r="459">
          <cell r="A459">
            <v>458</v>
          </cell>
          <cell r="B459" t="str">
            <v xml:space="preserve">quatrocentos e cinquenta e oito milhões, </v>
          </cell>
          <cell r="C459" t="str">
            <v xml:space="preserve">quatrocentos e cinquenta e oito mil, </v>
          </cell>
          <cell r="D459" t="str">
            <v>quatrocentos e cinquenta e oito</v>
          </cell>
          <cell r="E459" t="str">
            <v>quatrocentos e cinquenta e oito centavos</v>
          </cell>
        </row>
        <row r="460">
          <cell r="A460">
            <v>459</v>
          </cell>
          <cell r="B460" t="str">
            <v xml:space="preserve">quatrocentos e cinquenta e nove milhões, </v>
          </cell>
          <cell r="C460" t="str">
            <v xml:space="preserve">quatrocentos e cinquenta e nove mil, </v>
          </cell>
          <cell r="D460" t="str">
            <v>quatrocentos e cinquenta e nove</v>
          </cell>
          <cell r="E460" t="str">
            <v>quatrocentos e cinquenta e nove centavos</v>
          </cell>
        </row>
        <row r="461">
          <cell r="A461">
            <v>460</v>
          </cell>
          <cell r="B461" t="str">
            <v xml:space="preserve">quatrocentos e sessenta milhões, </v>
          </cell>
          <cell r="C461" t="str">
            <v xml:space="preserve">quatrocentos e sessenta mil, </v>
          </cell>
          <cell r="D461" t="str">
            <v>quatrocentos e sessenta</v>
          </cell>
          <cell r="E461" t="str">
            <v>quatrocentos e sessenta centavos</v>
          </cell>
        </row>
        <row r="462">
          <cell r="A462">
            <v>461</v>
          </cell>
          <cell r="B462" t="str">
            <v xml:space="preserve">quatrocentos e sessenta e um milhões, </v>
          </cell>
          <cell r="C462" t="str">
            <v xml:space="preserve">quatrocentos e sessenta e um mil, </v>
          </cell>
          <cell r="D462" t="str">
            <v>quatrocentos e sessenta e um</v>
          </cell>
          <cell r="E462" t="str">
            <v>quatrocentos e sessenta e um centavos</v>
          </cell>
        </row>
        <row r="463">
          <cell r="A463">
            <v>462</v>
          </cell>
          <cell r="B463" t="str">
            <v xml:space="preserve">quatrocentos e sessenta e dois milhões, </v>
          </cell>
          <cell r="C463" t="str">
            <v xml:space="preserve">quatrocentos e sessenta e dois mil, </v>
          </cell>
          <cell r="D463" t="str">
            <v>quatrocentos e sessenta e dois</v>
          </cell>
          <cell r="E463" t="str">
            <v>quatrocentos e sessenta e dois centavos</v>
          </cell>
        </row>
        <row r="464">
          <cell r="A464">
            <v>463</v>
          </cell>
          <cell r="B464" t="str">
            <v xml:space="preserve">quatrocentos e sessenta e tres milhões, </v>
          </cell>
          <cell r="C464" t="str">
            <v xml:space="preserve">quatrocentos e sessenta e tres mil, </v>
          </cell>
          <cell r="D464" t="str">
            <v>quatrocentos e sessenta e tres</v>
          </cell>
          <cell r="E464" t="str">
            <v>quatrocentos e sessenta e tres centavos</v>
          </cell>
        </row>
        <row r="465">
          <cell r="A465">
            <v>464</v>
          </cell>
          <cell r="B465" t="str">
            <v xml:space="preserve">quatrocentos e sessenta e quatro milhões, </v>
          </cell>
          <cell r="C465" t="str">
            <v xml:space="preserve">quatrocentos e sessenta e quatro mil, </v>
          </cell>
          <cell r="D465" t="str">
            <v>quatrocentos e sessenta e quatro</v>
          </cell>
          <cell r="E465" t="str">
            <v>quatrocentos e sessenta e quatro centavos</v>
          </cell>
        </row>
        <row r="466">
          <cell r="A466">
            <v>465</v>
          </cell>
          <cell r="B466" t="str">
            <v xml:space="preserve">quatrocentos e sessenta e cinco milhões, </v>
          </cell>
          <cell r="C466" t="str">
            <v xml:space="preserve">quatrocentos e sessenta e cinco mil, </v>
          </cell>
          <cell r="D466" t="str">
            <v>quatrocentos e sessenta e cinco</v>
          </cell>
          <cell r="E466" t="str">
            <v>quatrocentos e sessenta e cinco centavos</v>
          </cell>
        </row>
        <row r="467">
          <cell r="A467">
            <v>466</v>
          </cell>
          <cell r="B467" t="str">
            <v xml:space="preserve">quatrocentos e sessenta e seis milhões, </v>
          </cell>
          <cell r="C467" t="str">
            <v xml:space="preserve">quatrocentos e sessenta e seis mil, </v>
          </cell>
          <cell r="D467" t="str">
            <v>quatrocentos e sessenta e seis</v>
          </cell>
          <cell r="E467" t="str">
            <v>quatrocentos e sessenta e seis centavos</v>
          </cell>
        </row>
        <row r="468">
          <cell r="A468">
            <v>467</v>
          </cell>
          <cell r="B468" t="str">
            <v xml:space="preserve">quatrocentos e sessenta e sete milhões, </v>
          </cell>
          <cell r="C468" t="str">
            <v xml:space="preserve">quatrocentos e sessenta e sete mil, </v>
          </cell>
          <cell r="D468" t="str">
            <v>quatrocentos e sessenta e sete</v>
          </cell>
          <cell r="E468" t="str">
            <v>quatrocentos e sessenta e sete centavos</v>
          </cell>
        </row>
        <row r="469">
          <cell r="A469">
            <v>468</v>
          </cell>
          <cell r="B469" t="str">
            <v xml:space="preserve">quatrocentos e sessenta e oito milhões, </v>
          </cell>
          <cell r="C469" t="str">
            <v xml:space="preserve">quatrocentos e sessenta e oito mil, </v>
          </cell>
          <cell r="D469" t="str">
            <v>quatrocentos e sessenta e oito</v>
          </cell>
          <cell r="E469" t="str">
            <v>quatrocentos e sessenta e oito centavos</v>
          </cell>
        </row>
        <row r="470">
          <cell r="A470">
            <v>469</v>
          </cell>
          <cell r="B470" t="str">
            <v xml:space="preserve">quatrocentos e sessenta e nove milhões, </v>
          </cell>
          <cell r="C470" t="str">
            <v xml:space="preserve">quatrocentos e sessenta e nove mil, </v>
          </cell>
          <cell r="D470" t="str">
            <v>quatrocentos e sessenta e nove</v>
          </cell>
          <cell r="E470" t="str">
            <v>quatrocentos e sessenta e nove centavos</v>
          </cell>
        </row>
        <row r="471">
          <cell r="A471">
            <v>470</v>
          </cell>
          <cell r="B471" t="str">
            <v xml:space="preserve">quatrocentos e setenta milhões, </v>
          </cell>
          <cell r="C471" t="str">
            <v xml:space="preserve">quatrocentos e setenta mil, </v>
          </cell>
          <cell r="D471" t="str">
            <v>quatrocentos e setenta</v>
          </cell>
          <cell r="E471" t="str">
            <v>quatrocentos e setenta centavos</v>
          </cell>
        </row>
        <row r="472">
          <cell r="A472">
            <v>471</v>
          </cell>
          <cell r="B472" t="str">
            <v xml:space="preserve">quatrocentos e setenta e um milhões, </v>
          </cell>
          <cell r="C472" t="str">
            <v xml:space="preserve">quatrocentos e setenta e um mil, </v>
          </cell>
          <cell r="D472" t="str">
            <v>quatrocentos e setenta e um</v>
          </cell>
          <cell r="E472" t="str">
            <v>quatrocentos e setenta e um centavos</v>
          </cell>
        </row>
        <row r="473">
          <cell r="A473">
            <v>472</v>
          </cell>
          <cell r="B473" t="str">
            <v xml:space="preserve">quatrocentos e setenta e dois milhões, </v>
          </cell>
          <cell r="C473" t="str">
            <v xml:space="preserve">quatrocentos e setenta e dois mil, </v>
          </cell>
          <cell r="D473" t="str">
            <v>quatrocentos e setenta e dois</v>
          </cell>
          <cell r="E473" t="str">
            <v>quatrocentos e setenta e dois centavos</v>
          </cell>
        </row>
        <row r="474">
          <cell r="A474">
            <v>473</v>
          </cell>
          <cell r="B474" t="str">
            <v xml:space="preserve">quatrocentos e setenta e tres milhões, </v>
          </cell>
          <cell r="C474" t="str">
            <v xml:space="preserve">quatrocentos e setenta e tres mil, </v>
          </cell>
          <cell r="D474" t="str">
            <v>quatrocentos e setenta e tres</v>
          </cell>
          <cell r="E474" t="str">
            <v>quatrocentos e setenta e tres centavos</v>
          </cell>
        </row>
        <row r="475">
          <cell r="A475">
            <v>474</v>
          </cell>
          <cell r="B475" t="str">
            <v xml:space="preserve">quatrocentos e setenta e quatro milhões, </v>
          </cell>
          <cell r="C475" t="str">
            <v xml:space="preserve">quatrocentos e setenta e quatro mil, </v>
          </cell>
          <cell r="D475" t="str">
            <v>quatrocentos e setenta e quatro</v>
          </cell>
          <cell r="E475" t="str">
            <v>quatrocentos e setenta e quatro centavos</v>
          </cell>
        </row>
        <row r="476">
          <cell r="A476">
            <v>475</v>
          </cell>
          <cell r="B476" t="str">
            <v xml:space="preserve">quatrocentos e setenta e cinco milhões, </v>
          </cell>
          <cell r="C476" t="str">
            <v xml:space="preserve">quatrocentos e setenta e cinco mil, </v>
          </cell>
          <cell r="D476" t="str">
            <v>quatrocentos e setenta e cinco</v>
          </cell>
          <cell r="E476" t="str">
            <v>quatrocentos e setenta e cinco centavos</v>
          </cell>
        </row>
        <row r="477">
          <cell r="A477">
            <v>476</v>
          </cell>
          <cell r="B477" t="str">
            <v xml:space="preserve">quatrocentos e setenta e seis milhões, </v>
          </cell>
          <cell r="C477" t="str">
            <v xml:space="preserve">quatrocentos e setenta e seis mil, </v>
          </cell>
          <cell r="D477" t="str">
            <v>quatrocentos e setenta e seis</v>
          </cell>
          <cell r="E477" t="str">
            <v>quatrocentos e setenta e seis centavos</v>
          </cell>
        </row>
        <row r="478">
          <cell r="A478">
            <v>477</v>
          </cell>
          <cell r="B478" t="str">
            <v xml:space="preserve">quatrocentos e setenta e sete milhões, </v>
          </cell>
          <cell r="C478" t="str">
            <v xml:space="preserve">quatrocentos e setenta e sete mil, </v>
          </cell>
          <cell r="D478" t="str">
            <v>quatrocentos e setenta e sete</v>
          </cell>
          <cell r="E478" t="str">
            <v>quatrocentos e setenta e sete centavos</v>
          </cell>
        </row>
        <row r="479">
          <cell r="A479">
            <v>478</v>
          </cell>
          <cell r="B479" t="str">
            <v xml:space="preserve">quatrocentos e setenta e oito milhões, </v>
          </cell>
          <cell r="C479" t="str">
            <v xml:space="preserve">quatrocentos e setenta e oito mil, </v>
          </cell>
          <cell r="D479" t="str">
            <v>quatrocentos e setenta e oito</v>
          </cell>
          <cell r="E479" t="str">
            <v>quatrocentos e setenta e oito centavos</v>
          </cell>
        </row>
        <row r="480">
          <cell r="A480">
            <v>479</v>
          </cell>
          <cell r="B480" t="str">
            <v xml:space="preserve">quatrocentos e setenta e nove milhões, </v>
          </cell>
          <cell r="C480" t="str">
            <v xml:space="preserve">quatrocentos e setenta e nove mil, </v>
          </cell>
          <cell r="D480" t="str">
            <v>quatrocentos e setenta e nove</v>
          </cell>
          <cell r="E480" t="str">
            <v>quatrocentos e setenta e nove centavos</v>
          </cell>
        </row>
        <row r="481">
          <cell r="A481">
            <v>480</v>
          </cell>
          <cell r="B481" t="str">
            <v xml:space="preserve">quatrocentos e oitenta milhões, </v>
          </cell>
          <cell r="C481" t="str">
            <v xml:space="preserve">quatrocentos e oitenta mil, </v>
          </cell>
          <cell r="D481" t="str">
            <v>quatrocentos e oitenta</v>
          </cell>
          <cell r="E481" t="str">
            <v>quatrocentos e oitenta centavos</v>
          </cell>
        </row>
        <row r="482">
          <cell r="A482">
            <v>481</v>
          </cell>
          <cell r="B482" t="str">
            <v xml:space="preserve">quatrocentos e oitenta e um milhões, </v>
          </cell>
          <cell r="C482" t="str">
            <v xml:space="preserve">quatrocentos e oitenta e um mil, </v>
          </cell>
          <cell r="D482" t="str">
            <v>quatrocentos e oitenta e um</v>
          </cell>
          <cell r="E482" t="str">
            <v>quatrocentos e oitenta e um centavos</v>
          </cell>
        </row>
        <row r="483">
          <cell r="A483">
            <v>482</v>
          </cell>
          <cell r="B483" t="str">
            <v xml:space="preserve">quatrocentos e oitenta e dois milhões, </v>
          </cell>
          <cell r="C483" t="str">
            <v xml:space="preserve">quatrocentos e oitenta e dois mil, </v>
          </cell>
          <cell r="D483" t="str">
            <v>quatrocentos e oitenta e dois</v>
          </cell>
          <cell r="E483" t="str">
            <v>quatrocentos e oitenta e dois centavos</v>
          </cell>
        </row>
        <row r="484">
          <cell r="A484">
            <v>483</v>
          </cell>
          <cell r="B484" t="str">
            <v xml:space="preserve">quatrocentos e oitenta e tres milhões, </v>
          </cell>
          <cell r="C484" t="str">
            <v xml:space="preserve">quatrocentos e oitenta e tres mil, </v>
          </cell>
          <cell r="D484" t="str">
            <v>quatrocentos e oitenta e tres</v>
          </cell>
          <cell r="E484" t="str">
            <v>quatrocentos e oitenta e tres centavos</v>
          </cell>
        </row>
        <row r="485">
          <cell r="A485">
            <v>484</v>
          </cell>
          <cell r="B485" t="str">
            <v xml:space="preserve">quatrocentos e oitenta e quatro milhões, </v>
          </cell>
          <cell r="C485" t="str">
            <v xml:space="preserve">quatrocentos e oitenta e quatro mil, </v>
          </cell>
          <cell r="D485" t="str">
            <v>quatrocentos e oitenta e quatro</v>
          </cell>
          <cell r="E485" t="str">
            <v>quatrocentos e oitenta e quatro centavos</v>
          </cell>
        </row>
        <row r="486">
          <cell r="A486">
            <v>485</v>
          </cell>
          <cell r="B486" t="str">
            <v xml:space="preserve">quatrocentos e oitenta e cinco milhões, </v>
          </cell>
          <cell r="C486" t="str">
            <v xml:space="preserve">quatrocentos e oitenta e cinco mil, </v>
          </cell>
          <cell r="D486" t="str">
            <v>quatrocentos e oitenta e cinco</v>
          </cell>
          <cell r="E486" t="str">
            <v>quatrocentos e oitenta e cinco centavos</v>
          </cell>
        </row>
        <row r="487">
          <cell r="A487">
            <v>486</v>
          </cell>
          <cell r="B487" t="str">
            <v xml:space="preserve">quatrocentos e oitenta e seis milhões, </v>
          </cell>
          <cell r="C487" t="str">
            <v xml:space="preserve">quatrocentos e oitenta e seis mil, </v>
          </cell>
          <cell r="D487" t="str">
            <v>quatrocentos e oitenta e seis</v>
          </cell>
          <cell r="E487" t="str">
            <v>quatrocentos e oitenta e seis centavos</v>
          </cell>
        </row>
        <row r="488">
          <cell r="A488">
            <v>487</v>
          </cell>
          <cell r="B488" t="str">
            <v xml:space="preserve">quatrocentos e oitenta e sete milhões, </v>
          </cell>
          <cell r="C488" t="str">
            <v xml:space="preserve">quatrocentos e oitenta e sete mil, </v>
          </cell>
          <cell r="D488" t="str">
            <v>quatrocentos e oitenta e sete</v>
          </cell>
          <cell r="E488" t="str">
            <v>quatrocentos e oitenta e sete centavos</v>
          </cell>
        </row>
        <row r="489">
          <cell r="A489">
            <v>488</v>
          </cell>
          <cell r="B489" t="str">
            <v xml:space="preserve">quatrocentos e oitenta e oito milhões, </v>
          </cell>
          <cell r="C489" t="str">
            <v xml:space="preserve">quatrocentos e oitenta e oito mil, </v>
          </cell>
          <cell r="D489" t="str">
            <v>quatrocentos e oitenta e oito</v>
          </cell>
          <cell r="E489" t="str">
            <v>quatrocentos e oitenta e oito centavos</v>
          </cell>
        </row>
        <row r="490">
          <cell r="A490">
            <v>489</v>
          </cell>
          <cell r="B490" t="str">
            <v xml:space="preserve">quatrocentos e oitenta e nove milhões, </v>
          </cell>
          <cell r="C490" t="str">
            <v xml:space="preserve">quatrocentos e oitenta e nove mil, </v>
          </cell>
          <cell r="D490" t="str">
            <v>quatrocentos e oitenta e nove</v>
          </cell>
          <cell r="E490" t="str">
            <v>quatrocentos e oitenta e nove centavos</v>
          </cell>
        </row>
        <row r="491">
          <cell r="A491">
            <v>490</v>
          </cell>
          <cell r="B491" t="str">
            <v xml:space="preserve">quatrocentos e noventa milhões, </v>
          </cell>
          <cell r="C491" t="str">
            <v xml:space="preserve">quatrocentos e noventa mil, </v>
          </cell>
          <cell r="D491" t="str">
            <v>quatrocentos e noventa</v>
          </cell>
          <cell r="E491" t="str">
            <v>quatrocentos e noventa centavos</v>
          </cell>
        </row>
        <row r="492">
          <cell r="A492">
            <v>491</v>
          </cell>
          <cell r="B492" t="str">
            <v xml:space="preserve">quatrocentos e noventa e um milhões, </v>
          </cell>
          <cell r="C492" t="str">
            <v xml:space="preserve">quatrocentos e noventa e um mil, </v>
          </cell>
          <cell r="D492" t="str">
            <v>quatrocentos e noventa e um</v>
          </cell>
          <cell r="E492" t="str">
            <v>quatrocentos e noventa e um centavos</v>
          </cell>
        </row>
        <row r="493">
          <cell r="A493">
            <v>492</v>
          </cell>
          <cell r="B493" t="str">
            <v xml:space="preserve">quatrocentos e noventa e dois milhões, </v>
          </cell>
          <cell r="C493" t="str">
            <v xml:space="preserve">quatrocentos e noventa e dois mil, </v>
          </cell>
          <cell r="D493" t="str">
            <v>quatrocentos e noventa e dois</v>
          </cell>
          <cell r="E493" t="str">
            <v>quatrocentos e noventa e dois centavos</v>
          </cell>
        </row>
        <row r="494">
          <cell r="A494">
            <v>493</v>
          </cell>
          <cell r="B494" t="str">
            <v xml:space="preserve">quatrocentos e noventa e tres milhões, </v>
          </cell>
          <cell r="C494" t="str">
            <v xml:space="preserve">quatrocentos e noventa e tres mil, </v>
          </cell>
          <cell r="D494" t="str">
            <v>quatrocentos e noventa e tres</v>
          </cell>
          <cell r="E494" t="str">
            <v>quatrocentos e noventa e tres centavos</v>
          </cell>
        </row>
        <row r="495">
          <cell r="A495">
            <v>494</v>
          </cell>
          <cell r="B495" t="str">
            <v xml:space="preserve">quatrocentos e noventa e quatro milhões, </v>
          </cell>
          <cell r="C495" t="str">
            <v xml:space="preserve">quatrocentos e noventa e quatro mil, </v>
          </cell>
          <cell r="D495" t="str">
            <v>quatrocentos e noventa e quatro</v>
          </cell>
          <cell r="E495" t="str">
            <v>quatrocentos e noventa e quatro centavos</v>
          </cell>
        </row>
        <row r="496">
          <cell r="A496">
            <v>495</v>
          </cell>
          <cell r="B496" t="str">
            <v xml:space="preserve">quatrocentos e noventa e cinco milhões, </v>
          </cell>
          <cell r="C496" t="str">
            <v xml:space="preserve">quatrocentos e noventa e cinco mil, </v>
          </cell>
          <cell r="D496" t="str">
            <v>quatrocentos e noventa e cinco</v>
          </cell>
          <cell r="E496" t="str">
            <v>quatrocentos e noventa e cinco centavos</v>
          </cell>
        </row>
        <row r="497">
          <cell r="A497">
            <v>496</v>
          </cell>
          <cell r="B497" t="str">
            <v xml:space="preserve">quatrocentos e noventa e seis milhões, </v>
          </cell>
          <cell r="C497" t="str">
            <v xml:space="preserve">quatrocentos e noventa e seis mil, </v>
          </cell>
          <cell r="D497" t="str">
            <v>quatrocentos e noventa e seis</v>
          </cell>
          <cell r="E497" t="str">
            <v>quatrocentos e noventa e seis centavos</v>
          </cell>
        </row>
        <row r="498">
          <cell r="A498">
            <v>497</v>
          </cell>
          <cell r="B498" t="str">
            <v xml:space="preserve">quatrocentos e noventa e sete milhões, </v>
          </cell>
          <cell r="C498" t="str">
            <v xml:space="preserve">quatrocentos e noventa e sete mil, </v>
          </cell>
          <cell r="D498" t="str">
            <v>quatrocentos e noventa e sete</v>
          </cell>
          <cell r="E498" t="str">
            <v>quatrocentos e noventa e sete centavos</v>
          </cell>
        </row>
        <row r="499">
          <cell r="A499">
            <v>498</v>
          </cell>
          <cell r="B499" t="str">
            <v xml:space="preserve">quatrocentos e noventa e oito milhões, </v>
          </cell>
          <cell r="C499" t="str">
            <v xml:space="preserve">quatrocentos e noventa e oito mil, </v>
          </cell>
          <cell r="D499" t="str">
            <v>quatrocentos e noventa e oito</v>
          </cell>
          <cell r="E499" t="str">
            <v>quatrocentos e noventa e oito centavos</v>
          </cell>
        </row>
        <row r="500">
          <cell r="A500">
            <v>499</v>
          </cell>
          <cell r="B500" t="str">
            <v xml:space="preserve">quatrocentos e noventa e nove milhões, </v>
          </cell>
          <cell r="C500" t="str">
            <v xml:space="preserve">quatrocentos e noventa e nove mil, </v>
          </cell>
          <cell r="D500" t="str">
            <v>quatrocentos e noventa e nove</v>
          </cell>
          <cell r="E500" t="str">
            <v>quatrocentos e noventa e nove centavos</v>
          </cell>
        </row>
        <row r="501">
          <cell r="A501">
            <v>500</v>
          </cell>
          <cell r="B501" t="str">
            <v xml:space="preserve">quinhentos milhões, </v>
          </cell>
          <cell r="C501" t="str">
            <v xml:space="preserve">quinhentos mil, </v>
          </cell>
          <cell r="D501" t="str">
            <v>quinhentos</v>
          </cell>
          <cell r="E501" t="str">
            <v>quinhentos centavos</v>
          </cell>
        </row>
        <row r="502">
          <cell r="A502">
            <v>501</v>
          </cell>
          <cell r="B502" t="str">
            <v xml:space="preserve">quinhentos e um milhões, </v>
          </cell>
          <cell r="C502" t="str">
            <v xml:space="preserve">quinhentos e um mil, </v>
          </cell>
          <cell r="D502" t="str">
            <v>quinhentos e um</v>
          </cell>
          <cell r="E502" t="str">
            <v>quinhentos e um centavos</v>
          </cell>
        </row>
        <row r="503">
          <cell r="A503">
            <v>502</v>
          </cell>
          <cell r="B503" t="str">
            <v xml:space="preserve">quinhentos e dois milhões, </v>
          </cell>
          <cell r="C503" t="str">
            <v xml:space="preserve">quinhentos e dois mil, </v>
          </cell>
          <cell r="D503" t="str">
            <v>quinhentos e dois</v>
          </cell>
          <cell r="E503" t="str">
            <v>quinhentos e dois centavos</v>
          </cell>
        </row>
        <row r="504">
          <cell r="A504">
            <v>503</v>
          </cell>
          <cell r="B504" t="str">
            <v xml:space="preserve">quinhentos e tres milhões, </v>
          </cell>
          <cell r="C504" t="str">
            <v xml:space="preserve">quinhentos e tres mil, </v>
          </cell>
          <cell r="D504" t="str">
            <v>quinhentos e tres</v>
          </cell>
          <cell r="E504" t="str">
            <v>quinhentos e tres centavos</v>
          </cell>
        </row>
        <row r="505">
          <cell r="A505">
            <v>504</v>
          </cell>
          <cell r="B505" t="str">
            <v xml:space="preserve">quinhentos e quatro milhões, </v>
          </cell>
          <cell r="C505" t="str">
            <v xml:space="preserve">quinhentos e quatro mil, </v>
          </cell>
          <cell r="D505" t="str">
            <v>quinhentos e quatro</v>
          </cell>
          <cell r="E505" t="str">
            <v>quinhentos e quatro centavos</v>
          </cell>
        </row>
        <row r="506">
          <cell r="A506">
            <v>505</v>
          </cell>
          <cell r="B506" t="str">
            <v xml:space="preserve">quinhentos e cinco milhões, </v>
          </cell>
          <cell r="C506" t="str">
            <v xml:space="preserve">quinhentos e cinco mil, </v>
          </cell>
          <cell r="D506" t="str">
            <v>quinhentos e cinco</v>
          </cell>
          <cell r="E506" t="str">
            <v>quinhentos e cinco centavos</v>
          </cell>
        </row>
        <row r="507">
          <cell r="A507">
            <v>506</v>
          </cell>
          <cell r="B507" t="str">
            <v xml:space="preserve">quinhentos e seis milhões, </v>
          </cell>
          <cell r="C507" t="str">
            <v xml:space="preserve">quinhentos e seis mil, </v>
          </cell>
          <cell r="D507" t="str">
            <v>quinhentos e seis</v>
          </cell>
          <cell r="E507" t="str">
            <v>quinhentos e seis centavos</v>
          </cell>
        </row>
        <row r="508">
          <cell r="A508">
            <v>507</v>
          </cell>
          <cell r="B508" t="str">
            <v xml:space="preserve">quinhentos e sete milhões, </v>
          </cell>
          <cell r="C508" t="str">
            <v xml:space="preserve">quinhentos e sete mil, </v>
          </cell>
          <cell r="D508" t="str">
            <v>quinhentos e sete</v>
          </cell>
          <cell r="E508" t="str">
            <v>quinhentos e sete centavos</v>
          </cell>
        </row>
        <row r="509">
          <cell r="A509">
            <v>508</v>
          </cell>
          <cell r="B509" t="str">
            <v xml:space="preserve">quinhentos e oito milhões, </v>
          </cell>
          <cell r="C509" t="str">
            <v xml:space="preserve">quinhentos e oito mil, </v>
          </cell>
          <cell r="D509" t="str">
            <v>quinhentos e oito</v>
          </cell>
          <cell r="E509" t="str">
            <v>quinhentos e oito centavos</v>
          </cell>
        </row>
        <row r="510">
          <cell r="A510">
            <v>509</v>
          </cell>
          <cell r="B510" t="str">
            <v xml:space="preserve">quinhentos e nove milhões, </v>
          </cell>
          <cell r="C510" t="str">
            <v xml:space="preserve">quinhentos e nove mil, </v>
          </cell>
          <cell r="D510" t="str">
            <v>quinhentos e nove</v>
          </cell>
          <cell r="E510" t="str">
            <v>quinhentos e nove centavos</v>
          </cell>
        </row>
        <row r="511">
          <cell r="A511">
            <v>510</v>
          </cell>
          <cell r="B511" t="str">
            <v xml:space="preserve">quinhentos e dez milhões, </v>
          </cell>
          <cell r="C511" t="str">
            <v xml:space="preserve">quinhentos e dez mil, </v>
          </cell>
          <cell r="D511" t="str">
            <v>quinhentos e dez</v>
          </cell>
          <cell r="E511" t="str">
            <v>quinhentos e dez centavos</v>
          </cell>
        </row>
        <row r="512">
          <cell r="A512">
            <v>511</v>
          </cell>
          <cell r="B512" t="str">
            <v xml:space="preserve">quinhentos e onze milhões, </v>
          </cell>
          <cell r="C512" t="str">
            <v xml:space="preserve">quinhentos e onze mil, </v>
          </cell>
          <cell r="D512" t="str">
            <v>quinhentos e onze</v>
          </cell>
          <cell r="E512" t="str">
            <v>quinhentos e onze centavos</v>
          </cell>
        </row>
        <row r="513">
          <cell r="A513">
            <v>512</v>
          </cell>
          <cell r="B513" t="str">
            <v xml:space="preserve">quinhentos e doze milhões, </v>
          </cell>
          <cell r="C513" t="str">
            <v xml:space="preserve">quinhentos e doze mil, </v>
          </cell>
          <cell r="D513" t="str">
            <v>quinhentos e doze</v>
          </cell>
          <cell r="E513" t="str">
            <v>quinhentos e doze centavos</v>
          </cell>
        </row>
        <row r="514">
          <cell r="A514">
            <v>513</v>
          </cell>
          <cell r="B514" t="str">
            <v xml:space="preserve">quinhentos e treze milhões, </v>
          </cell>
          <cell r="C514" t="str">
            <v xml:space="preserve">quinhentos e treze mil, </v>
          </cell>
          <cell r="D514" t="str">
            <v>quinhentos e treze</v>
          </cell>
          <cell r="E514" t="str">
            <v>quinhentos e treze centavos</v>
          </cell>
        </row>
        <row r="515">
          <cell r="A515">
            <v>514</v>
          </cell>
          <cell r="B515" t="str">
            <v xml:space="preserve">quinhentos e quatorze milhões, </v>
          </cell>
          <cell r="C515" t="str">
            <v xml:space="preserve">quinhentos e quatorze mil, </v>
          </cell>
          <cell r="D515" t="str">
            <v>quinhentos e quatorze</v>
          </cell>
          <cell r="E515" t="str">
            <v>quinhentos e quatorze centavos</v>
          </cell>
        </row>
        <row r="516">
          <cell r="A516">
            <v>515</v>
          </cell>
          <cell r="B516" t="str">
            <v xml:space="preserve">quinhentos e quinze milhões, </v>
          </cell>
          <cell r="C516" t="str">
            <v xml:space="preserve">quinhentos e quinze mil, </v>
          </cell>
          <cell r="D516" t="str">
            <v>quinhentos e quinze</v>
          </cell>
          <cell r="E516" t="str">
            <v>quinhentos e quinze centavos</v>
          </cell>
        </row>
        <row r="517">
          <cell r="A517">
            <v>516</v>
          </cell>
          <cell r="B517" t="str">
            <v xml:space="preserve">quinhentos e dezesseis milhões, </v>
          </cell>
          <cell r="C517" t="str">
            <v xml:space="preserve">quinhentos e dezesseis mil, </v>
          </cell>
          <cell r="D517" t="str">
            <v>quinhentos e dezesseis</v>
          </cell>
          <cell r="E517" t="str">
            <v>quinhentos e dezesseis centavos</v>
          </cell>
        </row>
        <row r="518">
          <cell r="A518">
            <v>517</v>
          </cell>
          <cell r="B518" t="str">
            <v xml:space="preserve">quinhentos e dezessete milhões, </v>
          </cell>
          <cell r="C518" t="str">
            <v xml:space="preserve">quinhentos e dezessete mil, </v>
          </cell>
          <cell r="D518" t="str">
            <v>quinhentos e dezessete</v>
          </cell>
          <cell r="E518" t="str">
            <v>quinhentos e dezessete centavos</v>
          </cell>
        </row>
        <row r="519">
          <cell r="A519">
            <v>518</v>
          </cell>
          <cell r="B519" t="str">
            <v xml:space="preserve">quinhentos e dezoito milhões, </v>
          </cell>
          <cell r="C519" t="str">
            <v xml:space="preserve">quinhentos e dezoito mil, </v>
          </cell>
          <cell r="D519" t="str">
            <v>quinhentos e dezoito</v>
          </cell>
          <cell r="E519" t="str">
            <v>quinhentos e dezoito centavos</v>
          </cell>
        </row>
        <row r="520">
          <cell r="A520">
            <v>519</v>
          </cell>
          <cell r="B520" t="str">
            <v xml:space="preserve">quinhentos e dezenove milhões, </v>
          </cell>
          <cell r="C520" t="str">
            <v xml:space="preserve">quinhentos e dezenove mil, </v>
          </cell>
          <cell r="D520" t="str">
            <v>quinhentos e dezenove</v>
          </cell>
          <cell r="E520" t="str">
            <v>quinhentos e dezenove centavos</v>
          </cell>
        </row>
        <row r="521">
          <cell r="A521">
            <v>520</v>
          </cell>
          <cell r="B521" t="str">
            <v xml:space="preserve">quinhentos e vinte milhões, </v>
          </cell>
          <cell r="C521" t="str">
            <v xml:space="preserve">quinhentos e vinte mil, </v>
          </cell>
          <cell r="D521" t="str">
            <v>quinhentos e vinte</v>
          </cell>
          <cell r="E521" t="str">
            <v>quinhentos e vinte centavos</v>
          </cell>
        </row>
        <row r="522">
          <cell r="A522">
            <v>521</v>
          </cell>
          <cell r="B522" t="str">
            <v xml:space="preserve">quinhentos e vinte e um milhões, </v>
          </cell>
          <cell r="C522" t="str">
            <v xml:space="preserve">quinhentos e vinte e um mil, </v>
          </cell>
          <cell r="D522" t="str">
            <v>quinhentos e vinte e um</v>
          </cell>
          <cell r="E522" t="str">
            <v>quinhentos e vinte e um centavos</v>
          </cell>
        </row>
        <row r="523">
          <cell r="A523">
            <v>522</v>
          </cell>
          <cell r="B523" t="str">
            <v xml:space="preserve">quinhentos e vinte e dois milhões, </v>
          </cell>
          <cell r="C523" t="str">
            <v xml:space="preserve">quinhentos e vinte e dois mil, </v>
          </cell>
          <cell r="D523" t="str">
            <v>quinhentos e vinte e dois</v>
          </cell>
          <cell r="E523" t="str">
            <v>quinhentos e vinte e dois centavos</v>
          </cell>
        </row>
        <row r="524">
          <cell r="A524">
            <v>523</v>
          </cell>
          <cell r="B524" t="str">
            <v xml:space="preserve">quinhentos e vinte e tres milhões, </v>
          </cell>
          <cell r="C524" t="str">
            <v xml:space="preserve">quinhentos e vinte e tres mil, </v>
          </cell>
          <cell r="D524" t="str">
            <v>quinhentos e vinte e tres</v>
          </cell>
          <cell r="E524" t="str">
            <v>quinhentos e vinte e tres centavos</v>
          </cell>
        </row>
        <row r="525">
          <cell r="A525">
            <v>524</v>
          </cell>
          <cell r="B525" t="str">
            <v xml:space="preserve">quinhentos e vinte e quatro milhões, </v>
          </cell>
          <cell r="C525" t="str">
            <v xml:space="preserve">quinhentos e vinte e quatro mil, </v>
          </cell>
          <cell r="D525" t="str">
            <v>quinhentos e vinte e quatro</v>
          </cell>
          <cell r="E525" t="str">
            <v>quinhentos e vinte e quatro centavos</v>
          </cell>
        </row>
        <row r="526">
          <cell r="A526">
            <v>525</v>
          </cell>
          <cell r="B526" t="str">
            <v xml:space="preserve">quinhentos e vinte e cinco milhões, </v>
          </cell>
          <cell r="C526" t="str">
            <v xml:space="preserve">quinhentos e vinte e cinco mil, </v>
          </cell>
          <cell r="D526" t="str">
            <v>quinhentos e vinte e cinco</v>
          </cell>
          <cell r="E526" t="str">
            <v>quinhentos e vinte e cinco centavos</v>
          </cell>
        </row>
        <row r="527">
          <cell r="A527">
            <v>526</v>
          </cell>
          <cell r="B527" t="str">
            <v xml:space="preserve">quinhentos e vinte e seis milhões, </v>
          </cell>
          <cell r="C527" t="str">
            <v xml:space="preserve">quinhentos e vinte e seis mil, </v>
          </cell>
          <cell r="D527" t="str">
            <v>quinhentos e vinte e seis</v>
          </cell>
          <cell r="E527" t="str">
            <v>quinhentos e vinte e seis centavos</v>
          </cell>
        </row>
        <row r="528">
          <cell r="A528">
            <v>527</v>
          </cell>
          <cell r="B528" t="str">
            <v xml:space="preserve">quinhentos e vinte e sete milhões, </v>
          </cell>
          <cell r="C528" t="str">
            <v xml:space="preserve">quinhentos e vinte e sete mil, </v>
          </cell>
          <cell r="D528" t="str">
            <v>quinhentos e vinte e sete</v>
          </cell>
          <cell r="E528" t="str">
            <v>quinhentos e vinte e sete centavos</v>
          </cell>
        </row>
        <row r="529">
          <cell r="A529">
            <v>528</v>
          </cell>
          <cell r="B529" t="str">
            <v xml:space="preserve">quinhentos e vinte e oito milhões, </v>
          </cell>
          <cell r="C529" t="str">
            <v xml:space="preserve">quinhentos e vinte e oito mil, </v>
          </cell>
          <cell r="D529" t="str">
            <v>quinhentos e vinte e oito</v>
          </cell>
          <cell r="E529" t="str">
            <v>quinhentos e vinte e oito centavos</v>
          </cell>
        </row>
        <row r="530">
          <cell r="A530">
            <v>529</v>
          </cell>
          <cell r="B530" t="str">
            <v xml:space="preserve">quinhentos e vinte e nove milhões, </v>
          </cell>
          <cell r="C530" t="str">
            <v xml:space="preserve">quinhentos e vinte e nove mil, </v>
          </cell>
          <cell r="D530" t="str">
            <v>quinhentos e vinte e nove</v>
          </cell>
          <cell r="E530" t="str">
            <v>quinhentos e vinte e nove centavos</v>
          </cell>
        </row>
        <row r="531">
          <cell r="A531">
            <v>530</v>
          </cell>
          <cell r="B531" t="str">
            <v xml:space="preserve">quinhentos e trinta milhões, </v>
          </cell>
          <cell r="C531" t="str">
            <v xml:space="preserve">quinhentos e trinta mil, </v>
          </cell>
          <cell r="D531" t="str">
            <v>quinhentos e trinta</v>
          </cell>
          <cell r="E531" t="str">
            <v>quinhentos e trinta centavos</v>
          </cell>
        </row>
        <row r="532">
          <cell r="A532">
            <v>531</v>
          </cell>
          <cell r="B532" t="str">
            <v xml:space="preserve">quinhentos e trinta e um milhões, </v>
          </cell>
          <cell r="C532" t="str">
            <v xml:space="preserve">quinhentos e trinta e um mil, </v>
          </cell>
          <cell r="D532" t="str">
            <v>quinhentos e trinta e um</v>
          </cell>
          <cell r="E532" t="str">
            <v>quinhentos e trinta e um centavos</v>
          </cell>
        </row>
        <row r="533">
          <cell r="A533">
            <v>532</v>
          </cell>
          <cell r="B533" t="str">
            <v xml:space="preserve">quinhentos e trinta e dois milhões, </v>
          </cell>
          <cell r="C533" t="str">
            <v xml:space="preserve">quinhentos e trinta e dois mil, </v>
          </cell>
          <cell r="D533" t="str">
            <v>quinhentos e trinta e dois</v>
          </cell>
          <cell r="E533" t="str">
            <v>quinhentos e trinta e dois centavos</v>
          </cell>
        </row>
        <row r="534">
          <cell r="A534">
            <v>533</v>
          </cell>
          <cell r="B534" t="str">
            <v xml:space="preserve">quinhentos e trinta e tres milhões, </v>
          </cell>
          <cell r="C534" t="str">
            <v xml:space="preserve">quinhentos e trinta e tres mil, </v>
          </cell>
          <cell r="D534" t="str">
            <v>quinhentos e trinta e tres</v>
          </cell>
          <cell r="E534" t="str">
            <v>quinhentos e trinta e tres centavos</v>
          </cell>
        </row>
        <row r="535">
          <cell r="A535">
            <v>534</v>
          </cell>
          <cell r="B535" t="str">
            <v xml:space="preserve">quinhentos e trinta e quatro milhões, </v>
          </cell>
          <cell r="C535" t="str">
            <v xml:space="preserve">quinhentos e trinta e quatro mil, </v>
          </cell>
          <cell r="D535" t="str">
            <v>quinhentos e trinta e quatro</v>
          </cell>
          <cell r="E535" t="str">
            <v>quinhentos e trinta e quatro centavos</v>
          </cell>
        </row>
        <row r="536">
          <cell r="A536">
            <v>535</v>
          </cell>
          <cell r="B536" t="str">
            <v xml:space="preserve">quinhentos e trinta e cinco milhões, </v>
          </cell>
          <cell r="C536" t="str">
            <v xml:space="preserve">quinhentos e trinta e cinco mil, </v>
          </cell>
          <cell r="D536" t="str">
            <v>quinhentos e trinta e cinco</v>
          </cell>
          <cell r="E536" t="str">
            <v>quinhentos e trinta e cinco centavos</v>
          </cell>
        </row>
        <row r="537">
          <cell r="A537">
            <v>536</v>
          </cell>
          <cell r="B537" t="str">
            <v xml:space="preserve">quinhentos e trinta e seis milhões, </v>
          </cell>
          <cell r="C537" t="str">
            <v xml:space="preserve">quinhentos e trinta e seis mil, </v>
          </cell>
          <cell r="D537" t="str">
            <v>quinhentos e trinta e seis</v>
          </cell>
          <cell r="E537" t="str">
            <v>quinhentos e trinta e seis centavos</v>
          </cell>
        </row>
        <row r="538">
          <cell r="A538">
            <v>537</v>
          </cell>
          <cell r="B538" t="str">
            <v xml:space="preserve">quinhentos e trinta e sete milhões, </v>
          </cell>
          <cell r="C538" t="str">
            <v xml:space="preserve">quinhentos e trinta e sete mil, </v>
          </cell>
          <cell r="D538" t="str">
            <v>quinhentos e trinta e sete</v>
          </cell>
          <cell r="E538" t="str">
            <v>quinhentos e trinta e sete centavos</v>
          </cell>
        </row>
        <row r="539">
          <cell r="A539">
            <v>538</v>
          </cell>
          <cell r="B539" t="str">
            <v xml:space="preserve">quinhentos e trinta e oito milhões, </v>
          </cell>
          <cell r="C539" t="str">
            <v xml:space="preserve">quinhentos e trinta e oito mil, </v>
          </cell>
          <cell r="D539" t="str">
            <v>quinhentos e trinta e oito</v>
          </cell>
          <cell r="E539" t="str">
            <v>quinhentos e trinta e oito centavos</v>
          </cell>
        </row>
        <row r="540">
          <cell r="A540">
            <v>539</v>
          </cell>
          <cell r="B540" t="str">
            <v xml:space="preserve">quinhentos e trinta e nove milhões, </v>
          </cell>
          <cell r="C540" t="str">
            <v xml:space="preserve">quinhentos e trinta e nove mil, </v>
          </cell>
          <cell r="D540" t="str">
            <v>quinhentos e trinta e nove</v>
          </cell>
          <cell r="E540" t="str">
            <v>quinhentos e trinta e nove centavos</v>
          </cell>
        </row>
        <row r="541">
          <cell r="A541">
            <v>540</v>
          </cell>
          <cell r="B541" t="str">
            <v xml:space="preserve">quinhentos e quarenta milhões, </v>
          </cell>
          <cell r="C541" t="str">
            <v xml:space="preserve">quinhentos e quarenta mil, </v>
          </cell>
          <cell r="D541" t="str">
            <v>quinhentos e quarenta</v>
          </cell>
          <cell r="E541" t="str">
            <v>quinhentos e quarenta centavos</v>
          </cell>
        </row>
        <row r="542">
          <cell r="A542">
            <v>541</v>
          </cell>
          <cell r="B542" t="str">
            <v xml:space="preserve">quinhentos e quarenta e um milhões, </v>
          </cell>
          <cell r="C542" t="str">
            <v xml:space="preserve">quinhentos e quarenta e um mil, </v>
          </cell>
          <cell r="D542" t="str">
            <v>quinhentos e quarenta e um</v>
          </cell>
          <cell r="E542" t="str">
            <v>quinhentos e quarenta e um centavos</v>
          </cell>
        </row>
        <row r="543">
          <cell r="A543">
            <v>542</v>
          </cell>
          <cell r="B543" t="str">
            <v xml:space="preserve">quinhentos e quarenta e dois milhões, </v>
          </cell>
          <cell r="C543" t="str">
            <v xml:space="preserve">quinhentos e quarenta e dois mil, </v>
          </cell>
          <cell r="D543" t="str">
            <v>quinhentos e quarenta e dois</v>
          </cell>
          <cell r="E543" t="str">
            <v>quinhentos e quarenta e dois centavos</v>
          </cell>
        </row>
        <row r="544">
          <cell r="A544">
            <v>543</v>
          </cell>
          <cell r="B544" t="str">
            <v xml:space="preserve">quinhentos e quarenta e tres milhões, </v>
          </cell>
          <cell r="C544" t="str">
            <v xml:space="preserve">quinhentos e quarenta e tres mil, </v>
          </cell>
          <cell r="D544" t="str">
            <v>quinhentos e quarenta e tres</v>
          </cell>
          <cell r="E544" t="str">
            <v>quinhentos e quarenta e tres centavos</v>
          </cell>
        </row>
        <row r="545">
          <cell r="A545">
            <v>544</v>
          </cell>
          <cell r="B545" t="str">
            <v xml:space="preserve">quinhentos e quarenta e quatro milhões, </v>
          </cell>
          <cell r="C545" t="str">
            <v xml:space="preserve">quinhentos e quarenta e quatro mil, </v>
          </cell>
          <cell r="D545" t="str">
            <v>quinhentos e quarenta e quatro</v>
          </cell>
          <cell r="E545" t="str">
            <v>quinhentos e quarenta e quatro centavos</v>
          </cell>
        </row>
        <row r="546">
          <cell r="A546">
            <v>545</v>
          </cell>
          <cell r="B546" t="str">
            <v xml:space="preserve">quinhentos e quarenta e cinco milhões, </v>
          </cell>
          <cell r="C546" t="str">
            <v xml:space="preserve">quinhentos e quarenta e cinco mil, </v>
          </cell>
          <cell r="D546" t="str">
            <v>quinhentos e quarenta e cinco</v>
          </cell>
          <cell r="E546" t="str">
            <v>quinhentos e quarenta e cinco centavos</v>
          </cell>
        </row>
        <row r="547">
          <cell r="A547">
            <v>546</v>
          </cell>
          <cell r="B547" t="str">
            <v xml:space="preserve">quinhentos e quarenta e seis milhões, </v>
          </cell>
          <cell r="C547" t="str">
            <v xml:space="preserve">quinhentos e quarenta e seis mil, </v>
          </cell>
          <cell r="D547" t="str">
            <v>quinhentos e quarenta e seis</v>
          </cell>
          <cell r="E547" t="str">
            <v>quinhentos e quarenta e seis centavos</v>
          </cell>
        </row>
        <row r="548">
          <cell r="A548">
            <v>547</v>
          </cell>
          <cell r="B548" t="str">
            <v xml:space="preserve">quinhentos e quarenta e sete milhões, </v>
          </cell>
          <cell r="C548" t="str">
            <v xml:space="preserve">quinhentos e quarenta e sete mil, </v>
          </cell>
          <cell r="D548" t="str">
            <v>quinhentos e quarenta e sete</v>
          </cell>
          <cell r="E548" t="str">
            <v>quinhentos e quarenta e sete centavos</v>
          </cell>
        </row>
        <row r="549">
          <cell r="A549">
            <v>548</v>
          </cell>
          <cell r="B549" t="str">
            <v xml:space="preserve">quinhentos e quarenta e oito milhões, </v>
          </cell>
          <cell r="C549" t="str">
            <v xml:space="preserve">quinhentos e quarenta e oito mil, </v>
          </cell>
          <cell r="D549" t="str">
            <v>quinhentos e quarenta e oito</v>
          </cell>
          <cell r="E549" t="str">
            <v>quinhentos e quarenta e oito centavos</v>
          </cell>
        </row>
        <row r="550">
          <cell r="A550">
            <v>549</v>
          </cell>
          <cell r="B550" t="str">
            <v xml:space="preserve">quinhentos e quarenta e nove milhões, </v>
          </cell>
          <cell r="C550" t="str">
            <v xml:space="preserve">quinhentos e quarenta e nove mil, </v>
          </cell>
          <cell r="D550" t="str">
            <v>quinhentos e quarenta e nove</v>
          </cell>
          <cell r="E550" t="str">
            <v>quinhentos e quarenta e nove centavos</v>
          </cell>
        </row>
        <row r="551">
          <cell r="A551">
            <v>550</v>
          </cell>
          <cell r="B551" t="str">
            <v xml:space="preserve">quinhentos e cinquenta milhões, </v>
          </cell>
          <cell r="C551" t="str">
            <v xml:space="preserve">quinhentos e cinquenta mil, </v>
          </cell>
          <cell r="D551" t="str">
            <v>quinhentos e cinquenta</v>
          </cell>
          <cell r="E551" t="str">
            <v>quinhentos e cinquenta centavos</v>
          </cell>
        </row>
        <row r="552">
          <cell r="A552">
            <v>551</v>
          </cell>
          <cell r="B552" t="str">
            <v xml:space="preserve">quinhentos e cinquenta e um milhões, </v>
          </cell>
          <cell r="C552" t="str">
            <v xml:space="preserve">quinhentos e cinquenta e um mil, </v>
          </cell>
          <cell r="D552" t="str">
            <v>quinhentos e cinquenta e um</v>
          </cell>
          <cell r="E552" t="str">
            <v>quinhentos e cinquenta e um centavos</v>
          </cell>
        </row>
        <row r="553">
          <cell r="A553">
            <v>552</v>
          </cell>
          <cell r="B553" t="str">
            <v xml:space="preserve">quinhentos e cinquenta e dois milhões, </v>
          </cell>
          <cell r="C553" t="str">
            <v xml:space="preserve">quinhentos e cinquenta e dois mil, </v>
          </cell>
          <cell r="D553" t="str">
            <v>quinhentos e cinquenta e dois</v>
          </cell>
          <cell r="E553" t="str">
            <v>quinhentos e cinquenta e dois centavos</v>
          </cell>
        </row>
        <row r="554">
          <cell r="A554">
            <v>553</v>
          </cell>
          <cell r="B554" t="str">
            <v xml:space="preserve">quinhentos e cinquenta e tres milhões, </v>
          </cell>
          <cell r="C554" t="str">
            <v xml:space="preserve">quinhentos e cinquenta e tres mil, </v>
          </cell>
          <cell r="D554" t="str">
            <v>quinhentos e cinquenta e tres</v>
          </cell>
          <cell r="E554" t="str">
            <v>quinhentos e cinquenta e tres centavos</v>
          </cell>
        </row>
        <row r="555">
          <cell r="A555">
            <v>554</v>
          </cell>
          <cell r="B555" t="str">
            <v xml:space="preserve">quinhentos e cinquenta e quatro milhões, </v>
          </cell>
          <cell r="C555" t="str">
            <v xml:space="preserve">quinhentos e cinquenta e quatro mil, </v>
          </cell>
          <cell r="D555" t="str">
            <v>quinhentos e cinquenta e quatro</v>
          </cell>
          <cell r="E555" t="str">
            <v>quinhentos e cinquenta e quatro centavos</v>
          </cell>
        </row>
        <row r="556">
          <cell r="A556">
            <v>555</v>
          </cell>
          <cell r="B556" t="str">
            <v xml:space="preserve">quinhentos e cinquenta e cinco milhões, </v>
          </cell>
          <cell r="C556" t="str">
            <v xml:space="preserve">quinhentos e cinquenta e cinco mil, </v>
          </cell>
          <cell r="D556" t="str">
            <v>quinhentos e cinquenta e cinco</v>
          </cell>
          <cell r="E556" t="str">
            <v>quinhentos e cinquenta e cinco centavos</v>
          </cell>
        </row>
        <row r="557">
          <cell r="A557">
            <v>556</v>
          </cell>
          <cell r="B557" t="str">
            <v xml:space="preserve">quinhentos e cinquenta e seis milhões, </v>
          </cell>
          <cell r="C557" t="str">
            <v xml:space="preserve">quinhentos e cinquenta e seis mil, </v>
          </cell>
          <cell r="D557" t="str">
            <v>quinhentos e cinquenta e seis</v>
          </cell>
          <cell r="E557" t="str">
            <v>quinhentos e cinquenta e seis centavos</v>
          </cell>
        </row>
        <row r="558">
          <cell r="A558">
            <v>557</v>
          </cell>
          <cell r="B558" t="str">
            <v xml:space="preserve">quinhentos e cinquenta e sete milhões, </v>
          </cell>
          <cell r="C558" t="str">
            <v xml:space="preserve">quinhentos e cinquenta e sete mil, </v>
          </cell>
          <cell r="D558" t="str">
            <v>quinhentos e cinquenta e sete</v>
          </cell>
          <cell r="E558" t="str">
            <v>quinhentos e cinquenta e sete centavos</v>
          </cell>
        </row>
        <row r="559">
          <cell r="A559">
            <v>558</v>
          </cell>
          <cell r="B559" t="str">
            <v xml:space="preserve">quinhentos e cinquenta e oito milhões, </v>
          </cell>
          <cell r="C559" t="str">
            <v xml:space="preserve">quinhentos e cinquenta e oito mil, </v>
          </cell>
          <cell r="D559" t="str">
            <v>quinhentos e cinquenta e oito</v>
          </cell>
          <cell r="E559" t="str">
            <v>quinhentos e cinquenta e oito centavos</v>
          </cell>
        </row>
        <row r="560">
          <cell r="A560">
            <v>559</v>
          </cell>
          <cell r="B560" t="str">
            <v xml:space="preserve">quinhentos e cinquenta e nove milhões, </v>
          </cell>
          <cell r="C560" t="str">
            <v xml:space="preserve">quinhentos e cinquenta e nove mil, </v>
          </cell>
          <cell r="D560" t="str">
            <v>quinhentos e cinquenta e nove</v>
          </cell>
          <cell r="E560" t="str">
            <v>quinhentos e cinquenta e nove centavos</v>
          </cell>
        </row>
        <row r="561">
          <cell r="A561">
            <v>560</v>
          </cell>
          <cell r="B561" t="str">
            <v xml:space="preserve">quinhentos e sessenta milhões, </v>
          </cell>
          <cell r="C561" t="str">
            <v xml:space="preserve">quinhentos e sessenta mil, </v>
          </cell>
          <cell r="D561" t="str">
            <v>quinhentos e sessenta</v>
          </cell>
          <cell r="E561" t="str">
            <v>quinhentos e sessenta centavos</v>
          </cell>
        </row>
        <row r="562">
          <cell r="A562">
            <v>561</v>
          </cell>
          <cell r="B562" t="str">
            <v xml:space="preserve">quinhentos e sessenta e um milhões, </v>
          </cell>
          <cell r="C562" t="str">
            <v xml:space="preserve">quinhentos e sessenta e um mil, </v>
          </cell>
          <cell r="D562" t="str">
            <v>quinhentos e sessenta e um</v>
          </cell>
          <cell r="E562" t="str">
            <v>quinhentos e sessenta e um centavos</v>
          </cell>
        </row>
        <row r="563">
          <cell r="A563">
            <v>562</v>
          </cell>
          <cell r="B563" t="str">
            <v xml:space="preserve">quinhentos e sessenta e dois milhões, </v>
          </cell>
          <cell r="C563" t="str">
            <v xml:space="preserve">quinhentos e sessenta e dois mil, </v>
          </cell>
          <cell r="D563" t="str">
            <v>quinhentos e sessenta e dois</v>
          </cell>
          <cell r="E563" t="str">
            <v>quinhentos e sessenta e dois centavos</v>
          </cell>
        </row>
        <row r="564">
          <cell r="A564">
            <v>563</v>
          </cell>
          <cell r="B564" t="str">
            <v xml:space="preserve">quinhentos e sessenta e tres milhões, </v>
          </cell>
          <cell r="C564" t="str">
            <v xml:space="preserve">quinhentos e sessenta e tres mil, </v>
          </cell>
          <cell r="D564" t="str">
            <v>quinhentos e sessenta e tres</v>
          </cell>
          <cell r="E564" t="str">
            <v>quinhentos e sessenta e tres centavos</v>
          </cell>
        </row>
        <row r="565">
          <cell r="A565">
            <v>564</v>
          </cell>
          <cell r="B565" t="str">
            <v xml:space="preserve">quinhentos e sessenta e quatro milhões, </v>
          </cell>
          <cell r="C565" t="str">
            <v xml:space="preserve">quinhentos e sessenta e quatro mil, </v>
          </cell>
          <cell r="D565" t="str">
            <v>quinhentos e sessenta e quatro</v>
          </cell>
          <cell r="E565" t="str">
            <v>quinhentos e sessenta e quatro centavos</v>
          </cell>
        </row>
        <row r="566">
          <cell r="A566">
            <v>565</v>
          </cell>
          <cell r="B566" t="str">
            <v xml:space="preserve">quinhentos e sessenta e cinco milhões, </v>
          </cell>
          <cell r="C566" t="str">
            <v xml:space="preserve">quinhentos e sessenta e cinco mil, </v>
          </cell>
          <cell r="D566" t="str">
            <v>quinhentos e sessenta e cinco</v>
          </cell>
          <cell r="E566" t="str">
            <v>quinhentos e sessenta e cinco centavos</v>
          </cell>
        </row>
        <row r="567">
          <cell r="A567">
            <v>566</v>
          </cell>
          <cell r="B567" t="str">
            <v xml:space="preserve">quinhentos e sessenta e seis milhões, </v>
          </cell>
          <cell r="C567" t="str">
            <v xml:space="preserve">quinhentos e sessenta e seis mil, </v>
          </cell>
          <cell r="D567" t="str">
            <v>quinhentos e sessenta e seis</v>
          </cell>
          <cell r="E567" t="str">
            <v>quinhentos e sessenta e seis centavos</v>
          </cell>
        </row>
        <row r="568">
          <cell r="A568">
            <v>567</v>
          </cell>
          <cell r="B568" t="str">
            <v xml:space="preserve">quinhentos e sessenta e sete milhões, </v>
          </cell>
          <cell r="C568" t="str">
            <v xml:space="preserve">quinhentos e sessenta e sete mil, </v>
          </cell>
          <cell r="D568" t="str">
            <v>quinhentos e sessenta e sete</v>
          </cell>
          <cell r="E568" t="str">
            <v>quinhentos e sessenta e sete centavos</v>
          </cell>
        </row>
        <row r="569">
          <cell r="A569">
            <v>568</v>
          </cell>
          <cell r="B569" t="str">
            <v xml:space="preserve">quinhentos e sessenta e oito milhões, </v>
          </cell>
          <cell r="C569" t="str">
            <v xml:space="preserve">quinhentos e sessenta e oito mil, </v>
          </cell>
          <cell r="D569" t="str">
            <v>quinhentos e sessenta e oito</v>
          </cell>
          <cell r="E569" t="str">
            <v>quinhentos e sessenta e oito centavos</v>
          </cell>
        </row>
        <row r="570">
          <cell r="A570">
            <v>569</v>
          </cell>
          <cell r="B570" t="str">
            <v xml:space="preserve">quinhentos e sessenta e nove milhões, </v>
          </cell>
          <cell r="C570" t="str">
            <v xml:space="preserve">quinhentos e sessenta e nove mil, </v>
          </cell>
          <cell r="D570" t="str">
            <v>quinhentos e sessenta e nove</v>
          </cell>
          <cell r="E570" t="str">
            <v>quinhentos e sessenta e nove centavos</v>
          </cell>
        </row>
        <row r="571">
          <cell r="A571">
            <v>570</v>
          </cell>
          <cell r="B571" t="str">
            <v xml:space="preserve">quinhentos e setenta milhões, </v>
          </cell>
          <cell r="C571" t="str">
            <v xml:space="preserve">quinhentos e setenta mil, </v>
          </cell>
          <cell r="D571" t="str">
            <v>quinhentos e setenta</v>
          </cell>
          <cell r="E571" t="str">
            <v>quinhentos e setenta centavos</v>
          </cell>
        </row>
        <row r="572">
          <cell r="A572">
            <v>571</v>
          </cell>
          <cell r="B572" t="str">
            <v xml:space="preserve">quinhentos e setenta e um milhões, </v>
          </cell>
          <cell r="C572" t="str">
            <v xml:space="preserve">quinhentos e setenta e um mil, </v>
          </cell>
          <cell r="D572" t="str">
            <v>quinhentos e setenta e um</v>
          </cell>
          <cell r="E572" t="str">
            <v>quinhentos e setenta e um centavos</v>
          </cell>
        </row>
        <row r="573">
          <cell r="A573">
            <v>572</v>
          </cell>
          <cell r="B573" t="str">
            <v xml:space="preserve">quinhentos e setenta e dois milhões, </v>
          </cell>
          <cell r="C573" t="str">
            <v xml:space="preserve">quinhentos e setenta e dois mil, </v>
          </cell>
          <cell r="D573" t="str">
            <v>quinhentos e setenta e dois</v>
          </cell>
          <cell r="E573" t="str">
            <v>quinhentos e setenta e dois centavos</v>
          </cell>
        </row>
        <row r="574">
          <cell r="A574">
            <v>573</v>
          </cell>
          <cell r="B574" t="str">
            <v xml:space="preserve">quinhentos e setenta e tres milhões, </v>
          </cell>
          <cell r="C574" t="str">
            <v xml:space="preserve">quinhentos e setenta e tres mil, </v>
          </cell>
          <cell r="D574" t="str">
            <v>quinhentos e setenta e tres</v>
          </cell>
          <cell r="E574" t="str">
            <v>quinhentos e setenta e tres centavos</v>
          </cell>
        </row>
        <row r="575">
          <cell r="A575">
            <v>574</v>
          </cell>
          <cell r="B575" t="str">
            <v xml:space="preserve">quinhentos e setenta e quatro milhões, </v>
          </cell>
          <cell r="C575" t="str">
            <v xml:space="preserve">quinhentos e setenta e quatro mil, </v>
          </cell>
          <cell r="D575" t="str">
            <v>quinhentos e setenta e quatro</v>
          </cell>
          <cell r="E575" t="str">
            <v>quinhentos e setenta e quatro centavos</v>
          </cell>
        </row>
        <row r="576">
          <cell r="A576">
            <v>575</v>
          </cell>
          <cell r="B576" t="str">
            <v xml:space="preserve">quinhentos e setenta e cinco milhões, </v>
          </cell>
          <cell r="C576" t="str">
            <v xml:space="preserve">quinhentos e setenta e cinco mil, </v>
          </cell>
          <cell r="D576" t="str">
            <v>quinhentos e setenta e cinco</v>
          </cell>
          <cell r="E576" t="str">
            <v>quinhentos e setenta e cinco centavos</v>
          </cell>
        </row>
        <row r="577">
          <cell r="A577">
            <v>576</v>
          </cell>
          <cell r="B577" t="str">
            <v xml:space="preserve">quinhentos e setenta e seis milhões, </v>
          </cell>
          <cell r="C577" t="str">
            <v xml:space="preserve">quinhentos e setenta e seis mil, </v>
          </cell>
          <cell r="D577" t="str">
            <v>quinhentos e setenta e seis</v>
          </cell>
          <cell r="E577" t="str">
            <v>quinhentos e setenta e seis centavos</v>
          </cell>
        </row>
        <row r="578">
          <cell r="A578">
            <v>577</v>
          </cell>
          <cell r="B578" t="str">
            <v xml:space="preserve">quinhentos e setenta e sete milhões, </v>
          </cell>
          <cell r="C578" t="str">
            <v xml:space="preserve">quinhentos e setenta e sete mil, </v>
          </cell>
          <cell r="D578" t="str">
            <v>quinhentos e setenta e sete</v>
          </cell>
          <cell r="E578" t="str">
            <v>quinhentos e setenta e sete centavos</v>
          </cell>
        </row>
        <row r="579">
          <cell r="A579">
            <v>578</v>
          </cell>
          <cell r="B579" t="str">
            <v xml:space="preserve">quinhentos e setenta e oito milhões, </v>
          </cell>
          <cell r="C579" t="str">
            <v xml:space="preserve">quinhentos e setenta e oito mil, </v>
          </cell>
          <cell r="D579" t="str">
            <v>quinhentos e setenta e oito</v>
          </cell>
          <cell r="E579" t="str">
            <v>quinhentos e setenta e oito centavos</v>
          </cell>
        </row>
        <row r="580">
          <cell r="A580">
            <v>579</v>
          </cell>
          <cell r="B580" t="str">
            <v xml:space="preserve">quinhentos e setenta e nove milhões, </v>
          </cell>
          <cell r="C580" t="str">
            <v xml:space="preserve">quinhentos e setenta e nove mil, </v>
          </cell>
          <cell r="D580" t="str">
            <v>quinhentos e setenta e nove</v>
          </cell>
          <cell r="E580" t="str">
            <v>quinhentos e setenta e nove centavos</v>
          </cell>
        </row>
        <row r="581">
          <cell r="A581">
            <v>580</v>
          </cell>
          <cell r="B581" t="str">
            <v xml:space="preserve">quinhentos e oitenta milhões, </v>
          </cell>
          <cell r="C581" t="str">
            <v xml:space="preserve">quinhentos e oitenta mil, </v>
          </cell>
          <cell r="D581" t="str">
            <v>quinhentos e oitenta</v>
          </cell>
          <cell r="E581" t="str">
            <v>quinhentos e oitenta centavos</v>
          </cell>
        </row>
        <row r="582">
          <cell r="A582">
            <v>581</v>
          </cell>
          <cell r="B582" t="str">
            <v xml:space="preserve">quinhentos e oitenta e um milhões, </v>
          </cell>
          <cell r="C582" t="str">
            <v xml:space="preserve">quinhentos e oitenta e um mil, </v>
          </cell>
          <cell r="D582" t="str">
            <v>quinhentos e oitenta e um</v>
          </cell>
          <cell r="E582" t="str">
            <v>quinhentos e oitenta e um centavos</v>
          </cell>
        </row>
        <row r="583">
          <cell r="A583">
            <v>582</v>
          </cell>
          <cell r="B583" t="str">
            <v xml:space="preserve">quinhentos e oitenta e dois milhões, </v>
          </cell>
          <cell r="C583" t="str">
            <v xml:space="preserve">quinhentos e oitenta e dois mil, </v>
          </cell>
          <cell r="D583" t="str">
            <v>quinhentos e oitenta e dois</v>
          </cell>
          <cell r="E583" t="str">
            <v>quinhentos e oitenta e dois centavos</v>
          </cell>
        </row>
        <row r="584">
          <cell r="A584">
            <v>583</v>
          </cell>
          <cell r="B584" t="str">
            <v xml:space="preserve">quinhentos e oitenta e tres milhões, </v>
          </cell>
          <cell r="C584" t="str">
            <v xml:space="preserve">quinhentos e oitenta e tres mil, </v>
          </cell>
          <cell r="D584" t="str">
            <v>quinhentos e oitenta e tres</v>
          </cell>
          <cell r="E584" t="str">
            <v>quinhentos e oitenta e tres centavos</v>
          </cell>
        </row>
        <row r="585">
          <cell r="A585">
            <v>584</v>
          </cell>
          <cell r="B585" t="str">
            <v xml:space="preserve">quinhentos e oitenta e quatro milhões, </v>
          </cell>
          <cell r="C585" t="str">
            <v xml:space="preserve">quinhentos e oitenta e quatro mil, </v>
          </cell>
          <cell r="D585" t="str">
            <v>quinhentos e oitenta e quatro</v>
          </cell>
          <cell r="E585" t="str">
            <v>quinhentos e oitenta e quatro centavos</v>
          </cell>
        </row>
        <row r="586">
          <cell r="A586">
            <v>585</v>
          </cell>
          <cell r="B586" t="str">
            <v xml:space="preserve">quinhentos e oitenta e cinco milhões, </v>
          </cell>
          <cell r="C586" t="str">
            <v xml:space="preserve">quinhentos e oitenta e cinco mil, </v>
          </cell>
          <cell r="D586" t="str">
            <v>quinhentos e oitenta e cinco</v>
          </cell>
          <cell r="E586" t="str">
            <v>quinhentos e oitenta e cinco centavos</v>
          </cell>
        </row>
        <row r="587">
          <cell r="A587">
            <v>586</v>
          </cell>
          <cell r="B587" t="str">
            <v xml:space="preserve">quinhentos e oitenta e seis milhões, </v>
          </cell>
          <cell r="C587" t="str">
            <v xml:space="preserve">quinhentos e oitenta e seis mil, </v>
          </cell>
          <cell r="D587" t="str">
            <v>quinhentos e oitenta e seis</v>
          </cell>
          <cell r="E587" t="str">
            <v>quinhentos e oitenta e seis centavos</v>
          </cell>
        </row>
        <row r="588">
          <cell r="A588">
            <v>587</v>
          </cell>
          <cell r="B588" t="str">
            <v xml:space="preserve">quinhentos e oitenta e sete milhões, </v>
          </cell>
          <cell r="C588" t="str">
            <v xml:space="preserve">quinhentos e oitenta e sete mil, </v>
          </cell>
          <cell r="D588" t="str">
            <v>quinhentos e oitenta e sete</v>
          </cell>
          <cell r="E588" t="str">
            <v>quinhentos e oitenta e sete centavos</v>
          </cell>
        </row>
        <row r="589">
          <cell r="A589">
            <v>588</v>
          </cell>
          <cell r="B589" t="str">
            <v xml:space="preserve">quinhentos e oitenta e oito milhões, </v>
          </cell>
          <cell r="C589" t="str">
            <v xml:space="preserve">quinhentos e oitenta e oito mil, </v>
          </cell>
          <cell r="D589" t="str">
            <v>quinhentos e oitenta e oito</v>
          </cell>
          <cell r="E589" t="str">
            <v>quinhentos e oitenta e oito centavos</v>
          </cell>
        </row>
        <row r="590">
          <cell r="A590">
            <v>589</v>
          </cell>
          <cell r="B590" t="str">
            <v xml:space="preserve">quinhentos e oitenta e nove milhões, </v>
          </cell>
          <cell r="C590" t="str">
            <v xml:space="preserve">quinhentos e oitenta e nove mil, </v>
          </cell>
          <cell r="D590" t="str">
            <v>quinhentos e oitenta e nove</v>
          </cell>
          <cell r="E590" t="str">
            <v>quinhentos e oitenta e nove centavos</v>
          </cell>
        </row>
        <row r="591">
          <cell r="A591">
            <v>590</v>
          </cell>
          <cell r="B591" t="str">
            <v xml:space="preserve">quinhentos e noventa milhões, </v>
          </cell>
          <cell r="C591" t="str">
            <v xml:space="preserve">quinhentos e noventa mil, </v>
          </cell>
          <cell r="D591" t="str">
            <v>quinhentos e noventa</v>
          </cell>
          <cell r="E591" t="str">
            <v>quinhentos e noventa centavos</v>
          </cell>
        </row>
        <row r="592">
          <cell r="A592">
            <v>591</v>
          </cell>
          <cell r="B592" t="str">
            <v xml:space="preserve">quinhentos e noventa e um milhões, </v>
          </cell>
          <cell r="C592" t="str">
            <v xml:space="preserve">quinhentos e noventa e um mil, </v>
          </cell>
          <cell r="D592" t="str">
            <v>quinhentos e noventa e um</v>
          </cell>
          <cell r="E592" t="str">
            <v>quinhentos e noventa e um centavos</v>
          </cell>
        </row>
        <row r="593">
          <cell r="A593">
            <v>592</v>
          </cell>
          <cell r="B593" t="str">
            <v xml:space="preserve">quinhentos e noventa e dois milhões, </v>
          </cell>
          <cell r="C593" t="str">
            <v xml:space="preserve">quinhentos e noventa e dois mil, </v>
          </cell>
          <cell r="D593" t="str">
            <v>quinhentos e noventa e dois</v>
          </cell>
          <cell r="E593" t="str">
            <v>quinhentos e noventa e dois centavos</v>
          </cell>
        </row>
        <row r="594">
          <cell r="A594">
            <v>593</v>
          </cell>
          <cell r="B594" t="str">
            <v xml:space="preserve">quinhentos e noventa e tres milhões, </v>
          </cell>
          <cell r="C594" t="str">
            <v xml:space="preserve">quinhentos e noventa e tres mil, </v>
          </cell>
          <cell r="D594" t="str">
            <v>quinhentos e noventa e tres</v>
          </cell>
          <cell r="E594" t="str">
            <v>quinhentos e noventa e tres centavos</v>
          </cell>
        </row>
        <row r="595">
          <cell r="A595">
            <v>594</v>
          </cell>
          <cell r="B595" t="str">
            <v xml:space="preserve">quinhentos e noventa e quatro milhões, </v>
          </cell>
          <cell r="C595" t="str">
            <v xml:space="preserve">quinhentos e noventa e quatro mil, </v>
          </cell>
          <cell r="D595" t="str">
            <v>quinhentos e noventa e quatro</v>
          </cell>
          <cell r="E595" t="str">
            <v>quinhentos e noventa e quatro centavos</v>
          </cell>
        </row>
        <row r="596">
          <cell r="A596">
            <v>595</v>
          </cell>
          <cell r="B596" t="str">
            <v xml:space="preserve">quinhentos e noventa e cinco milhões, </v>
          </cell>
          <cell r="C596" t="str">
            <v xml:space="preserve">quinhentos e noventa e cinco mil, </v>
          </cell>
          <cell r="D596" t="str">
            <v>quinhentos e noventa e cinco</v>
          </cell>
          <cell r="E596" t="str">
            <v>quinhentos e noventa e cinco centavos</v>
          </cell>
        </row>
        <row r="597">
          <cell r="A597">
            <v>596</v>
          </cell>
          <cell r="B597" t="str">
            <v xml:space="preserve">quinhentos e noventa e seis milhões, </v>
          </cell>
          <cell r="C597" t="str">
            <v xml:space="preserve">quinhentos e noventa e seis mil, </v>
          </cell>
          <cell r="D597" t="str">
            <v>quinhentos e noventa e seis</v>
          </cell>
          <cell r="E597" t="str">
            <v>quinhentos e noventa e seis centavos</v>
          </cell>
        </row>
        <row r="598">
          <cell r="A598">
            <v>597</v>
          </cell>
          <cell r="B598" t="str">
            <v xml:space="preserve">quinhentos e noventa e sete milhões, </v>
          </cell>
          <cell r="C598" t="str">
            <v xml:space="preserve">quinhentos e noventa e sete mil, </v>
          </cell>
          <cell r="D598" t="str">
            <v>quinhentos e noventa e sete</v>
          </cell>
          <cell r="E598" t="str">
            <v>quinhentos e noventa e sete centavos</v>
          </cell>
        </row>
        <row r="599">
          <cell r="A599">
            <v>598</v>
          </cell>
          <cell r="B599" t="str">
            <v xml:space="preserve">quinhentos e noventa e oito milhões, </v>
          </cell>
          <cell r="C599" t="str">
            <v xml:space="preserve">quinhentos e noventa e oito mil, </v>
          </cell>
          <cell r="D599" t="str">
            <v>quinhentos e noventa e oito</v>
          </cell>
          <cell r="E599" t="str">
            <v>quinhentos e noventa e oito centavos</v>
          </cell>
        </row>
        <row r="600">
          <cell r="A600">
            <v>599</v>
          </cell>
          <cell r="B600" t="str">
            <v xml:space="preserve">quinhentos e noventa e nove milhões, </v>
          </cell>
          <cell r="C600" t="str">
            <v xml:space="preserve">quinhentos e noventa e nove mil, </v>
          </cell>
          <cell r="D600" t="str">
            <v>quinhentos e noventa e nove</v>
          </cell>
          <cell r="E600" t="str">
            <v>quinhentos e noventa e nove centavos</v>
          </cell>
        </row>
        <row r="601">
          <cell r="A601">
            <v>600</v>
          </cell>
          <cell r="B601" t="str">
            <v xml:space="preserve">seiscentos milhões, </v>
          </cell>
          <cell r="C601" t="str">
            <v xml:space="preserve">seiscentos mil, </v>
          </cell>
          <cell r="D601" t="str">
            <v>seiscentos</v>
          </cell>
          <cell r="E601" t="str">
            <v>seiscentos centavos</v>
          </cell>
        </row>
        <row r="602">
          <cell r="A602">
            <v>601</v>
          </cell>
          <cell r="B602" t="str">
            <v xml:space="preserve">seiscentos e um milhões, </v>
          </cell>
          <cell r="C602" t="str">
            <v xml:space="preserve">seiscentos e um mil, </v>
          </cell>
          <cell r="D602" t="str">
            <v>seiscentos e um</v>
          </cell>
          <cell r="E602" t="str">
            <v>seiscentos e um centavos</v>
          </cell>
        </row>
        <row r="603">
          <cell r="A603">
            <v>602</v>
          </cell>
          <cell r="B603" t="str">
            <v xml:space="preserve">seiscentos e dois milhões, </v>
          </cell>
          <cell r="C603" t="str">
            <v xml:space="preserve">seiscentos e dois mil, </v>
          </cell>
          <cell r="D603" t="str">
            <v>seiscentos e dois</v>
          </cell>
          <cell r="E603" t="str">
            <v>seiscentos e dois centavos</v>
          </cell>
        </row>
        <row r="604">
          <cell r="A604">
            <v>603</v>
          </cell>
          <cell r="B604" t="str">
            <v xml:space="preserve">seiscentos e tres milhões, </v>
          </cell>
          <cell r="C604" t="str">
            <v xml:space="preserve">seiscentos e tres mil, </v>
          </cell>
          <cell r="D604" t="str">
            <v>seiscentos e tres</v>
          </cell>
          <cell r="E604" t="str">
            <v>seiscentos e tres centavos</v>
          </cell>
        </row>
        <row r="605">
          <cell r="A605">
            <v>604</v>
          </cell>
          <cell r="B605" t="str">
            <v xml:space="preserve">seiscentos e quatro milhões, </v>
          </cell>
          <cell r="C605" t="str">
            <v xml:space="preserve">seiscentos e quatro mil, </v>
          </cell>
          <cell r="D605" t="str">
            <v>seiscentos e quatro</v>
          </cell>
          <cell r="E605" t="str">
            <v>seiscentos e quatro centavos</v>
          </cell>
        </row>
        <row r="606">
          <cell r="A606">
            <v>605</v>
          </cell>
          <cell r="B606" t="str">
            <v xml:space="preserve">seiscentos e cinco milhões, </v>
          </cell>
          <cell r="C606" t="str">
            <v xml:space="preserve">seiscentos e cinco mil, </v>
          </cell>
          <cell r="D606" t="str">
            <v>seiscentos e cinco</v>
          </cell>
          <cell r="E606" t="str">
            <v>seiscentos e cinco centavos</v>
          </cell>
        </row>
        <row r="607">
          <cell r="A607">
            <v>606</v>
          </cell>
          <cell r="B607" t="str">
            <v xml:space="preserve">seiscentos e seis milhões, </v>
          </cell>
          <cell r="C607" t="str">
            <v xml:space="preserve">seiscentos e seis mil, </v>
          </cell>
          <cell r="D607" t="str">
            <v>seiscentos e seis</v>
          </cell>
          <cell r="E607" t="str">
            <v>seiscentos e seis centavos</v>
          </cell>
        </row>
        <row r="608">
          <cell r="A608">
            <v>607</v>
          </cell>
          <cell r="B608" t="str">
            <v xml:space="preserve">seiscentos e sete milhões, </v>
          </cell>
          <cell r="C608" t="str">
            <v xml:space="preserve">seiscentos e sete mil, </v>
          </cell>
          <cell r="D608" t="str">
            <v>seiscentos e sete</v>
          </cell>
          <cell r="E608" t="str">
            <v>seiscentos e sete centavos</v>
          </cell>
        </row>
        <row r="609">
          <cell r="A609">
            <v>608</v>
          </cell>
          <cell r="B609" t="str">
            <v xml:space="preserve">seiscentos e oito milhões, </v>
          </cell>
          <cell r="C609" t="str">
            <v xml:space="preserve">seiscentos e oito mil, </v>
          </cell>
          <cell r="D609" t="str">
            <v>seiscentos e oito</v>
          </cell>
          <cell r="E609" t="str">
            <v>seiscentos e oito centavos</v>
          </cell>
        </row>
        <row r="610">
          <cell r="A610">
            <v>609</v>
          </cell>
          <cell r="B610" t="str">
            <v xml:space="preserve">seiscentos e nove milhões, </v>
          </cell>
          <cell r="C610" t="str">
            <v xml:space="preserve">seiscentos e nove mil, </v>
          </cell>
          <cell r="D610" t="str">
            <v>seiscentos e nove</v>
          </cell>
          <cell r="E610" t="str">
            <v>seiscentos e nove centavos</v>
          </cell>
        </row>
        <row r="611">
          <cell r="A611">
            <v>610</v>
          </cell>
          <cell r="B611" t="str">
            <v xml:space="preserve">seiscentos e dez milhões, </v>
          </cell>
          <cell r="C611" t="str">
            <v xml:space="preserve">seiscentos e dez mil, </v>
          </cell>
          <cell r="D611" t="str">
            <v>seiscentos e dez</v>
          </cell>
          <cell r="E611" t="str">
            <v>seiscentos e dez centavos</v>
          </cell>
        </row>
        <row r="612">
          <cell r="A612">
            <v>611</v>
          </cell>
          <cell r="B612" t="str">
            <v xml:space="preserve">seiscentos e onze milhões, </v>
          </cell>
          <cell r="C612" t="str">
            <v xml:space="preserve">seiscentos e onze mil, </v>
          </cell>
          <cell r="D612" t="str">
            <v>seiscentos e onze</v>
          </cell>
          <cell r="E612" t="str">
            <v>seiscentos e onze centavos</v>
          </cell>
        </row>
        <row r="613">
          <cell r="A613">
            <v>612</v>
          </cell>
          <cell r="B613" t="str">
            <v xml:space="preserve">seiscentos e doze milhões, </v>
          </cell>
          <cell r="C613" t="str">
            <v xml:space="preserve">seiscentos e doze mil, </v>
          </cell>
          <cell r="D613" t="str">
            <v>seiscentos e doze</v>
          </cell>
          <cell r="E613" t="str">
            <v>seiscentos e doze centavos</v>
          </cell>
        </row>
        <row r="614">
          <cell r="A614">
            <v>613</v>
          </cell>
          <cell r="B614" t="str">
            <v xml:space="preserve">seiscentos e treze milhões, </v>
          </cell>
          <cell r="C614" t="str">
            <v xml:space="preserve">seiscentos e treze mil, </v>
          </cell>
          <cell r="D614" t="str">
            <v>seiscentos e treze</v>
          </cell>
          <cell r="E614" t="str">
            <v>seiscentos e treze centavos</v>
          </cell>
        </row>
        <row r="615">
          <cell r="A615">
            <v>614</v>
          </cell>
          <cell r="B615" t="str">
            <v xml:space="preserve">seiscentos e quatorze milhões, </v>
          </cell>
          <cell r="C615" t="str">
            <v xml:space="preserve">seiscentos e quatorze mil, </v>
          </cell>
          <cell r="D615" t="str">
            <v>seiscentos e quatorze</v>
          </cell>
          <cell r="E615" t="str">
            <v>seiscentos e quatorze centavos</v>
          </cell>
        </row>
        <row r="616">
          <cell r="A616">
            <v>615</v>
          </cell>
          <cell r="B616" t="str">
            <v xml:space="preserve">seiscentos e quinze milhões, </v>
          </cell>
          <cell r="C616" t="str">
            <v xml:space="preserve">seiscentos e quinze mil, </v>
          </cell>
          <cell r="D616" t="str">
            <v>seiscentos e quinze</v>
          </cell>
          <cell r="E616" t="str">
            <v>seiscentos e quinze centavos</v>
          </cell>
        </row>
        <row r="617">
          <cell r="A617">
            <v>616</v>
          </cell>
          <cell r="B617" t="str">
            <v xml:space="preserve">seiscentos e dezesseis milhões, </v>
          </cell>
          <cell r="C617" t="str">
            <v xml:space="preserve">seiscentos e dezesseis mil, </v>
          </cell>
          <cell r="D617" t="str">
            <v>seiscentos e dezesseis</v>
          </cell>
          <cell r="E617" t="str">
            <v>seiscentos e dezesseis centavos</v>
          </cell>
        </row>
        <row r="618">
          <cell r="A618">
            <v>617</v>
          </cell>
          <cell r="B618" t="str">
            <v xml:space="preserve">seiscentos e dezessete milhões, </v>
          </cell>
          <cell r="C618" t="str">
            <v xml:space="preserve">seiscentos e dezessete mil, </v>
          </cell>
          <cell r="D618" t="str">
            <v>seiscentos e dezessete</v>
          </cell>
          <cell r="E618" t="str">
            <v>seiscentos e dezessete centavos</v>
          </cell>
        </row>
        <row r="619">
          <cell r="A619">
            <v>618</v>
          </cell>
          <cell r="B619" t="str">
            <v xml:space="preserve">seiscentos e dezoito milhões, </v>
          </cell>
          <cell r="C619" t="str">
            <v xml:space="preserve">seiscentos e dezoito mil, </v>
          </cell>
          <cell r="D619" t="str">
            <v>seiscentos e dezoito</v>
          </cell>
          <cell r="E619" t="str">
            <v>seiscentos e dezoito centavos</v>
          </cell>
        </row>
        <row r="620">
          <cell r="A620">
            <v>619</v>
          </cell>
          <cell r="B620" t="str">
            <v xml:space="preserve">seiscentos e dezenove milhões, </v>
          </cell>
          <cell r="C620" t="str">
            <v xml:space="preserve">seiscentos e dezenove mil, </v>
          </cell>
          <cell r="D620" t="str">
            <v>seiscentos e dezenove</v>
          </cell>
          <cell r="E620" t="str">
            <v>seiscentos e dezenove centavos</v>
          </cell>
        </row>
        <row r="621">
          <cell r="A621">
            <v>620</v>
          </cell>
          <cell r="B621" t="str">
            <v xml:space="preserve">seiscentos e vinte milhões, </v>
          </cell>
          <cell r="C621" t="str">
            <v xml:space="preserve">seiscentos e vinte mil, </v>
          </cell>
          <cell r="D621" t="str">
            <v>seiscentos e vinte</v>
          </cell>
          <cell r="E621" t="str">
            <v>seiscentos e vinte centavos</v>
          </cell>
        </row>
        <row r="622">
          <cell r="A622">
            <v>621</v>
          </cell>
          <cell r="B622" t="str">
            <v xml:space="preserve">seiscentos e vinte e um milhões, </v>
          </cell>
          <cell r="C622" t="str">
            <v xml:space="preserve">seiscentos e vinte e um mil, </v>
          </cell>
          <cell r="D622" t="str">
            <v>seiscentos e vinte e um</v>
          </cell>
          <cell r="E622" t="str">
            <v>seiscentos e vinte e um centavos</v>
          </cell>
        </row>
        <row r="623">
          <cell r="A623">
            <v>622</v>
          </cell>
          <cell r="B623" t="str">
            <v xml:space="preserve">seiscentos e vinte e dois milhões, </v>
          </cell>
          <cell r="C623" t="str">
            <v xml:space="preserve">seiscentos e vinte e dois mil, </v>
          </cell>
          <cell r="D623" t="str">
            <v>seiscentos e vinte e dois</v>
          </cell>
          <cell r="E623" t="str">
            <v>seiscentos e vinte e dois centavos</v>
          </cell>
        </row>
        <row r="624">
          <cell r="A624">
            <v>623</v>
          </cell>
          <cell r="B624" t="str">
            <v xml:space="preserve">seiscentos e vinte e tres milhões, </v>
          </cell>
          <cell r="C624" t="str">
            <v xml:space="preserve">seiscentos e vinte e tres mil, </v>
          </cell>
          <cell r="D624" t="str">
            <v>seiscentos e vinte e tres</v>
          </cell>
          <cell r="E624" t="str">
            <v>seiscentos e vinte e tres centavos</v>
          </cell>
        </row>
        <row r="625">
          <cell r="A625">
            <v>624</v>
          </cell>
          <cell r="B625" t="str">
            <v xml:space="preserve">seiscentos e vinte e quatro milhões, </v>
          </cell>
          <cell r="C625" t="str">
            <v xml:space="preserve">seiscentos e vinte e quatro mil, </v>
          </cell>
          <cell r="D625" t="str">
            <v>seiscentos e vinte e quatro</v>
          </cell>
          <cell r="E625" t="str">
            <v>seiscentos e vinte e quatro centavos</v>
          </cell>
        </row>
        <row r="626">
          <cell r="A626">
            <v>625</v>
          </cell>
          <cell r="B626" t="str">
            <v xml:space="preserve">seiscentos e vinte e cinco milhões, </v>
          </cell>
          <cell r="C626" t="str">
            <v xml:space="preserve">seiscentos e vinte e cinco mil, </v>
          </cell>
          <cell r="D626" t="str">
            <v>seiscentos e vinte e cinco</v>
          </cell>
          <cell r="E626" t="str">
            <v>seiscentos e vinte e cinco centavos</v>
          </cell>
        </row>
        <row r="627">
          <cell r="A627">
            <v>626</v>
          </cell>
          <cell r="B627" t="str">
            <v xml:space="preserve">seiscentos e vinte e seis milhões, </v>
          </cell>
          <cell r="C627" t="str">
            <v xml:space="preserve">seiscentos e vinte e seis mil, </v>
          </cell>
          <cell r="D627" t="str">
            <v>seiscentos e vinte e seis</v>
          </cell>
          <cell r="E627" t="str">
            <v>seiscentos e vinte e seis centavos</v>
          </cell>
        </row>
        <row r="628">
          <cell r="A628">
            <v>627</v>
          </cell>
          <cell r="B628" t="str">
            <v xml:space="preserve">seiscentos e vinte e sete milhões, </v>
          </cell>
          <cell r="C628" t="str">
            <v xml:space="preserve">seiscentos e vinte e sete mil, </v>
          </cell>
          <cell r="D628" t="str">
            <v>seiscentos e vinte e sete</v>
          </cell>
          <cell r="E628" t="str">
            <v>seiscentos e vinte e sete centavos</v>
          </cell>
        </row>
        <row r="629">
          <cell r="A629">
            <v>628</v>
          </cell>
          <cell r="B629" t="str">
            <v xml:space="preserve">seiscentos e vinte e oito milhões, </v>
          </cell>
          <cell r="C629" t="str">
            <v xml:space="preserve">seiscentos e vinte e oito mil, </v>
          </cell>
          <cell r="D629" t="str">
            <v>seiscentos e vinte e oito</v>
          </cell>
          <cell r="E629" t="str">
            <v>seiscentos e vinte e oito centavos</v>
          </cell>
        </row>
        <row r="630">
          <cell r="A630">
            <v>629</v>
          </cell>
          <cell r="B630" t="str">
            <v xml:space="preserve">seiscentos e vinte e nove milhões, </v>
          </cell>
          <cell r="C630" t="str">
            <v xml:space="preserve">seiscentos e vinte e nove mil, </v>
          </cell>
          <cell r="D630" t="str">
            <v>seiscentos e vinte e nove</v>
          </cell>
          <cell r="E630" t="str">
            <v>seiscentos e vinte e nove centavos</v>
          </cell>
        </row>
        <row r="631">
          <cell r="A631">
            <v>630</v>
          </cell>
          <cell r="B631" t="str">
            <v xml:space="preserve">seiscentos e trinta milhões, </v>
          </cell>
          <cell r="C631" t="str">
            <v xml:space="preserve">seiscentos e trinta mil, </v>
          </cell>
          <cell r="D631" t="str">
            <v>seiscentos e trinta</v>
          </cell>
          <cell r="E631" t="str">
            <v>seiscentos e trinta centavos</v>
          </cell>
        </row>
        <row r="632">
          <cell r="A632">
            <v>631</v>
          </cell>
          <cell r="B632" t="str">
            <v xml:space="preserve">seiscentos e trinta e um milhões, </v>
          </cell>
          <cell r="C632" t="str">
            <v xml:space="preserve">seiscentos e trinta e um mil, </v>
          </cell>
          <cell r="D632" t="str">
            <v>seiscentos e trinta e um</v>
          </cell>
          <cell r="E632" t="str">
            <v>seiscentos e trinta e um centavos</v>
          </cell>
        </row>
        <row r="633">
          <cell r="A633">
            <v>632</v>
          </cell>
          <cell r="B633" t="str">
            <v xml:space="preserve">seiscentos e trinta e dois milhões, </v>
          </cell>
          <cell r="C633" t="str">
            <v xml:space="preserve">seiscentos e trinta e dois mil, </v>
          </cell>
          <cell r="D633" t="str">
            <v>seiscentos e trinta e dois</v>
          </cell>
          <cell r="E633" t="str">
            <v>seiscentos e trinta e dois centavos</v>
          </cell>
        </row>
        <row r="634">
          <cell r="A634">
            <v>633</v>
          </cell>
          <cell r="B634" t="str">
            <v xml:space="preserve">seiscentos e trinta e tres milhões, </v>
          </cell>
          <cell r="C634" t="str">
            <v xml:space="preserve">seiscentos e trinta e tres mil, </v>
          </cell>
          <cell r="D634" t="str">
            <v>seiscentos e trinta e tres</v>
          </cell>
          <cell r="E634" t="str">
            <v>seiscentos e trinta e tres centavos</v>
          </cell>
        </row>
        <row r="635">
          <cell r="A635">
            <v>634</v>
          </cell>
          <cell r="B635" t="str">
            <v xml:space="preserve">seiscentos e trinta e quatro milhões, </v>
          </cell>
          <cell r="C635" t="str">
            <v xml:space="preserve">seiscentos e trinta e quatro mil, </v>
          </cell>
          <cell r="D635" t="str">
            <v>seiscentos e trinta e quatro</v>
          </cell>
          <cell r="E635" t="str">
            <v>seiscentos e trinta e quatro centavos</v>
          </cell>
        </row>
        <row r="636">
          <cell r="A636">
            <v>635</v>
          </cell>
          <cell r="B636" t="str">
            <v xml:space="preserve">seiscentos e trinta e cinco milhões, </v>
          </cell>
          <cell r="C636" t="str">
            <v xml:space="preserve">seiscentos e trinta e cinco mil, </v>
          </cell>
          <cell r="D636" t="str">
            <v>seiscentos e trinta e cinco</v>
          </cell>
          <cell r="E636" t="str">
            <v>seiscentos e trinta e cinco centavos</v>
          </cell>
        </row>
        <row r="637">
          <cell r="A637">
            <v>636</v>
          </cell>
          <cell r="B637" t="str">
            <v xml:space="preserve">seiscentos e trinta e seis milhões, </v>
          </cell>
          <cell r="C637" t="str">
            <v xml:space="preserve">seiscentos e trinta e seis mil, </v>
          </cell>
          <cell r="D637" t="str">
            <v>seiscentos e trinta e seis</v>
          </cell>
          <cell r="E637" t="str">
            <v>seiscentos e trinta e seis centavos</v>
          </cell>
        </row>
        <row r="638">
          <cell r="A638">
            <v>637</v>
          </cell>
          <cell r="B638" t="str">
            <v xml:space="preserve">seiscentos e trinta e sete milhões, </v>
          </cell>
          <cell r="C638" t="str">
            <v xml:space="preserve">seiscentos e trinta e sete mil, </v>
          </cell>
          <cell r="D638" t="str">
            <v>seiscentos e trinta e sete</v>
          </cell>
          <cell r="E638" t="str">
            <v>seiscentos e trinta e sete centavos</v>
          </cell>
        </row>
        <row r="639">
          <cell r="A639">
            <v>638</v>
          </cell>
          <cell r="B639" t="str">
            <v xml:space="preserve">seiscentos e trinta e oito milhões, </v>
          </cell>
          <cell r="C639" t="str">
            <v xml:space="preserve">seiscentos e trinta e oito mil, </v>
          </cell>
          <cell r="D639" t="str">
            <v>seiscentos e trinta e oito</v>
          </cell>
          <cell r="E639" t="str">
            <v>seiscentos e trinta e oito centavos</v>
          </cell>
        </row>
        <row r="640">
          <cell r="A640">
            <v>639</v>
          </cell>
          <cell r="B640" t="str">
            <v xml:space="preserve">seiscentos e trinta e nove milhões, </v>
          </cell>
          <cell r="C640" t="str">
            <v xml:space="preserve">seiscentos e trinta e nove mil, </v>
          </cell>
          <cell r="D640" t="str">
            <v>seiscentos e trinta e nove</v>
          </cell>
          <cell r="E640" t="str">
            <v>seiscentos e trinta e nove centavos</v>
          </cell>
        </row>
        <row r="641">
          <cell r="A641">
            <v>640</v>
          </cell>
          <cell r="B641" t="str">
            <v xml:space="preserve">seiscentos e quarenta milhões, </v>
          </cell>
          <cell r="C641" t="str">
            <v xml:space="preserve">seiscentos e quarenta mil, </v>
          </cell>
          <cell r="D641" t="str">
            <v>seiscentos e quarenta</v>
          </cell>
          <cell r="E641" t="str">
            <v>seiscentos e quarenta centavos</v>
          </cell>
        </row>
        <row r="642">
          <cell r="A642">
            <v>641</v>
          </cell>
          <cell r="B642" t="str">
            <v xml:space="preserve">seiscentos e quarenta e um milhões, </v>
          </cell>
          <cell r="C642" t="str">
            <v xml:space="preserve">seiscentos e quarenta e um mil, </v>
          </cell>
          <cell r="D642" t="str">
            <v>seiscentos e quarenta e um</v>
          </cell>
          <cell r="E642" t="str">
            <v>seiscentos e quarenta e um centavos</v>
          </cell>
        </row>
        <row r="643">
          <cell r="A643">
            <v>642</v>
          </cell>
          <cell r="B643" t="str">
            <v xml:space="preserve">seiscentos e quarenta e dois milhões, </v>
          </cell>
          <cell r="C643" t="str">
            <v xml:space="preserve">seiscentos e quarenta e dois mil, </v>
          </cell>
          <cell r="D643" t="str">
            <v>seiscentos e quarenta e dois</v>
          </cell>
          <cell r="E643" t="str">
            <v>seiscentos e quarenta e dois centavos</v>
          </cell>
        </row>
        <row r="644">
          <cell r="A644">
            <v>643</v>
          </cell>
          <cell r="B644" t="str">
            <v xml:space="preserve">seiscentos e quarenta e tres milhões, </v>
          </cell>
          <cell r="C644" t="str">
            <v xml:space="preserve">seiscentos e quarenta e tres mil, </v>
          </cell>
          <cell r="D644" t="str">
            <v>seiscentos e quarenta e tres</v>
          </cell>
          <cell r="E644" t="str">
            <v>seiscentos e quarenta e tres centavos</v>
          </cell>
        </row>
        <row r="645">
          <cell r="A645">
            <v>644</v>
          </cell>
          <cell r="B645" t="str">
            <v xml:space="preserve">seiscentos e quarenta e quatro milhões, </v>
          </cell>
          <cell r="C645" t="str">
            <v xml:space="preserve">seiscentos e quarenta e quatro mil, </v>
          </cell>
          <cell r="D645" t="str">
            <v>seiscentos e quarenta e quatro</v>
          </cell>
          <cell r="E645" t="str">
            <v>seiscentos e quarenta e quatro centavos</v>
          </cell>
        </row>
        <row r="646">
          <cell r="A646">
            <v>645</v>
          </cell>
          <cell r="B646" t="str">
            <v xml:space="preserve">seiscentos e quarenta e cinco milhões, </v>
          </cell>
          <cell r="C646" t="str">
            <v xml:space="preserve">seiscentos e quarenta e cinco mil, </v>
          </cell>
          <cell r="D646" t="str">
            <v>seiscentos e quarenta e cinco</v>
          </cell>
          <cell r="E646" t="str">
            <v>seiscentos e quarenta e cinco centavos</v>
          </cell>
        </row>
        <row r="647">
          <cell r="A647">
            <v>646</v>
          </cell>
          <cell r="B647" t="str">
            <v xml:space="preserve">seiscentos e quarenta e seis milhões, </v>
          </cell>
          <cell r="C647" t="str">
            <v xml:space="preserve">seiscentos e quarenta e seis mil, </v>
          </cell>
          <cell r="D647" t="str">
            <v>seiscentos e quarenta e seis</v>
          </cell>
          <cell r="E647" t="str">
            <v>seiscentos e quarenta e seis centavos</v>
          </cell>
        </row>
        <row r="648">
          <cell r="A648">
            <v>647</v>
          </cell>
          <cell r="B648" t="str">
            <v xml:space="preserve">seiscentos e quarenta e sete milhões, </v>
          </cell>
          <cell r="C648" t="str">
            <v xml:space="preserve">seiscentos e quarenta e sete mil, </v>
          </cell>
          <cell r="D648" t="str">
            <v>seiscentos e quarenta e sete</v>
          </cell>
          <cell r="E648" t="str">
            <v>seiscentos e quarenta e sete centavos</v>
          </cell>
        </row>
        <row r="649">
          <cell r="A649">
            <v>648</v>
          </cell>
          <cell r="B649" t="str">
            <v xml:space="preserve">seiscentos e quarenta e oito milhões, </v>
          </cell>
          <cell r="C649" t="str">
            <v xml:space="preserve">seiscentos e quarenta e oito mil, </v>
          </cell>
          <cell r="D649" t="str">
            <v>seiscentos e quarenta e oito</v>
          </cell>
          <cell r="E649" t="str">
            <v>seiscentos e quarenta e oito centavos</v>
          </cell>
        </row>
        <row r="650">
          <cell r="A650">
            <v>649</v>
          </cell>
          <cell r="B650" t="str">
            <v xml:space="preserve">seiscentos e quarenta e nove milhões, </v>
          </cell>
          <cell r="C650" t="str">
            <v xml:space="preserve">seiscentos e quarenta e nove mil, </v>
          </cell>
          <cell r="D650" t="str">
            <v>seiscentos e quarenta e nove</v>
          </cell>
          <cell r="E650" t="str">
            <v>seiscentos e quarenta e nove centavos</v>
          </cell>
        </row>
        <row r="651">
          <cell r="A651">
            <v>650</v>
          </cell>
          <cell r="B651" t="str">
            <v xml:space="preserve">seiscentos e cinquenta milhões, </v>
          </cell>
          <cell r="C651" t="str">
            <v xml:space="preserve">seiscentos e cinquenta mil, </v>
          </cell>
          <cell r="D651" t="str">
            <v>seiscentos e cinquenta</v>
          </cell>
          <cell r="E651" t="str">
            <v>seiscentos e cinquenta centavos</v>
          </cell>
        </row>
        <row r="652">
          <cell r="A652">
            <v>651</v>
          </cell>
          <cell r="B652" t="str">
            <v xml:space="preserve">seiscentos e cinquenta e um milhões, </v>
          </cell>
          <cell r="C652" t="str">
            <v xml:space="preserve">seiscentos e cinquenta e um mil, </v>
          </cell>
          <cell r="D652" t="str">
            <v>seiscentos e cinquenta e um</v>
          </cell>
          <cell r="E652" t="str">
            <v>seiscentos e cinquenta e um centavos</v>
          </cell>
        </row>
        <row r="653">
          <cell r="A653">
            <v>652</v>
          </cell>
          <cell r="B653" t="str">
            <v xml:space="preserve">seiscentos e cinquenta e dois milhões, </v>
          </cell>
          <cell r="C653" t="str">
            <v xml:space="preserve">seiscentos e cinquenta e dois mil, </v>
          </cell>
          <cell r="D653" t="str">
            <v>seiscentos e cinquenta e dois</v>
          </cell>
          <cell r="E653" t="str">
            <v>seiscentos e cinquenta e dois centavos</v>
          </cell>
        </row>
        <row r="654">
          <cell r="A654">
            <v>653</v>
          </cell>
          <cell r="B654" t="str">
            <v xml:space="preserve">seiscentos e cinquenta e tres milhões, </v>
          </cell>
          <cell r="C654" t="str">
            <v xml:space="preserve">seiscentos e cinquenta e tres mil, </v>
          </cell>
          <cell r="D654" t="str">
            <v>seiscentos e cinquenta e tres</v>
          </cell>
          <cell r="E654" t="str">
            <v>seiscentos e cinquenta e tres centavos</v>
          </cell>
        </row>
        <row r="655">
          <cell r="A655">
            <v>654</v>
          </cell>
          <cell r="B655" t="str">
            <v xml:space="preserve">seiscentos e cinquenta e quatro milhões, </v>
          </cell>
          <cell r="C655" t="str">
            <v xml:space="preserve">seiscentos e cinquenta e quatro mil, </v>
          </cell>
          <cell r="D655" t="str">
            <v>seiscentos e cinquenta e quatro</v>
          </cell>
          <cell r="E655" t="str">
            <v>seiscentos e cinquenta e quatro centavos</v>
          </cell>
        </row>
        <row r="656">
          <cell r="A656">
            <v>655</v>
          </cell>
          <cell r="B656" t="str">
            <v xml:space="preserve">seiscentos e cinquenta e cinco milhões, </v>
          </cell>
          <cell r="C656" t="str">
            <v xml:space="preserve">seiscentos e cinquenta e cinco mil, </v>
          </cell>
          <cell r="D656" t="str">
            <v>seiscentos e cinquenta e cinco</v>
          </cell>
          <cell r="E656" t="str">
            <v>seiscentos e cinquenta e cinco centavos</v>
          </cell>
        </row>
        <row r="657">
          <cell r="A657">
            <v>656</v>
          </cell>
          <cell r="B657" t="str">
            <v xml:space="preserve">seiscentos e cinquenta e seis milhões, </v>
          </cell>
          <cell r="C657" t="str">
            <v xml:space="preserve">seiscentos e cinquenta e seis mil, </v>
          </cell>
          <cell r="D657" t="str">
            <v>seiscentos e cinquenta e seis</v>
          </cell>
          <cell r="E657" t="str">
            <v>seiscentos e cinquenta e seis centavos</v>
          </cell>
        </row>
        <row r="658">
          <cell r="A658">
            <v>657</v>
          </cell>
          <cell r="B658" t="str">
            <v xml:space="preserve">seiscentos e cinquenta e sete milhões, </v>
          </cell>
          <cell r="C658" t="str">
            <v xml:space="preserve">seiscentos e cinquenta e sete mil, </v>
          </cell>
          <cell r="D658" t="str">
            <v>seiscentos e cinquenta e sete</v>
          </cell>
          <cell r="E658" t="str">
            <v>seiscentos e cinquenta e sete centavos</v>
          </cell>
        </row>
        <row r="659">
          <cell r="A659">
            <v>658</v>
          </cell>
          <cell r="B659" t="str">
            <v xml:space="preserve">seiscentos e cinquenta e oito milhões, </v>
          </cell>
          <cell r="C659" t="str">
            <v xml:space="preserve">seiscentos e cinquenta e oito mil, </v>
          </cell>
          <cell r="D659" t="str">
            <v>seiscentos e cinquenta e oito</v>
          </cell>
          <cell r="E659" t="str">
            <v>seiscentos e cinquenta e oito centavos</v>
          </cell>
        </row>
        <row r="660">
          <cell r="A660">
            <v>659</v>
          </cell>
          <cell r="B660" t="str">
            <v xml:space="preserve">seiscentos e cinquenta e nove milhões, </v>
          </cell>
          <cell r="C660" t="str">
            <v xml:space="preserve">seiscentos e cinquenta e nove mil, </v>
          </cell>
          <cell r="D660" t="str">
            <v>seiscentos e cinquenta e nove</v>
          </cell>
          <cell r="E660" t="str">
            <v>seiscentos e cinquenta e nove centavos</v>
          </cell>
        </row>
        <row r="661">
          <cell r="A661">
            <v>660</v>
          </cell>
          <cell r="B661" t="str">
            <v xml:space="preserve">seiscentos e sessenta milhões, </v>
          </cell>
          <cell r="C661" t="str">
            <v xml:space="preserve">seiscentos e sessenta mil, </v>
          </cell>
          <cell r="D661" t="str">
            <v>seiscentos e sessenta</v>
          </cell>
          <cell r="E661" t="str">
            <v>seiscentos e sessenta centavos</v>
          </cell>
        </row>
        <row r="662">
          <cell r="A662">
            <v>661</v>
          </cell>
          <cell r="B662" t="str">
            <v xml:space="preserve">seiscentos e sessenta e um milhões, </v>
          </cell>
          <cell r="C662" t="str">
            <v xml:space="preserve">seiscentos e sessenta e um mil, </v>
          </cell>
          <cell r="D662" t="str">
            <v>seiscentos e sessenta e um</v>
          </cell>
          <cell r="E662" t="str">
            <v>seiscentos e sessenta e um centavos</v>
          </cell>
        </row>
        <row r="663">
          <cell r="A663">
            <v>662</v>
          </cell>
          <cell r="B663" t="str">
            <v xml:space="preserve">seiscentos e sessenta e dois milhões, </v>
          </cell>
          <cell r="C663" t="str">
            <v xml:space="preserve">seiscentos e sessenta e dois mil, </v>
          </cell>
          <cell r="D663" t="str">
            <v>seiscentos e sessenta e dois</v>
          </cell>
          <cell r="E663" t="str">
            <v>seiscentos e sessenta e dois centavos</v>
          </cell>
        </row>
        <row r="664">
          <cell r="A664">
            <v>663</v>
          </cell>
          <cell r="B664" t="str">
            <v xml:space="preserve">seiscentos e sessenta e tres milhões, </v>
          </cell>
          <cell r="C664" t="str">
            <v xml:space="preserve">seiscentos e sessenta e tres mil, </v>
          </cell>
          <cell r="D664" t="str">
            <v>seiscentos e sessenta e tres</v>
          </cell>
          <cell r="E664" t="str">
            <v>seiscentos e sessenta e tres centavos</v>
          </cell>
        </row>
        <row r="665">
          <cell r="A665">
            <v>664</v>
          </cell>
          <cell r="B665" t="str">
            <v xml:space="preserve">seiscentos e sessenta e quatro milhões, </v>
          </cell>
          <cell r="C665" t="str">
            <v xml:space="preserve">seiscentos e sessenta e quatro mil, </v>
          </cell>
          <cell r="D665" t="str">
            <v>seiscentos e sessenta e quatro</v>
          </cell>
          <cell r="E665" t="str">
            <v>seiscentos e sessenta e quatro centavos</v>
          </cell>
        </row>
        <row r="666">
          <cell r="A666">
            <v>665</v>
          </cell>
          <cell r="B666" t="str">
            <v xml:space="preserve">seiscentos e sessenta e cinco milhões, </v>
          </cell>
          <cell r="C666" t="str">
            <v xml:space="preserve">seiscentos e sessenta e cinco mil, </v>
          </cell>
          <cell r="D666" t="str">
            <v>seiscentos e sessenta e cinco</v>
          </cell>
          <cell r="E666" t="str">
            <v>seiscentos e sessenta e cinco centavos</v>
          </cell>
        </row>
        <row r="667">
          <cell r="A667">
            <v>666</v>
          </cell>
          <cell r="B667" t="str">
            <v xml:space="preserve">seiscentos e sessenta e seis milhões, </v>
          </cell>
          <cell r="C667" t="str">
            <v xml:space="preserve">seiscentos e sessenta e seis mil, </v>
          </cell>
          <cell r="D667" t="str">
            <v>seiscentos e sessenta e seis</v>
          </cell>
          <cell r="E667" t="str">
            <v>seiscentos e sessenta e seis centavos</v>
          </cell>
        </row>
        <row r="668">
          <cell r="A668">
            <v>667</v>
          </cell>
          <cell r="B668" t="str">
            <v xml:space="preserve">seiscentos e sessenta e sete milhões, </v>
          </cell>
          <cell r="C668" t="str">
            <v xml:space="preserve">seiscentos e sessenta e sete mil, </v>
          </cell>
          <cell r="D668" t="str">
            <v>seiscentos e sessenta e sete</v>
          </cell>
          <cell r="E668" t="str">
            <v>seiscentos e sessenta e sete centavos</v>
          </cell>
        </row>
        <row r="669">
          <cell r="A669">
            <v>668</v>
          </cell>
          <cell r="B669" t="str">
            <v xml:space="preserve">seiscentos e sessenta e oito milhões, </v>
          </cell>
          <cell r="C669" t="str">
            <v xml:space="preserve">seiscentos e sessenta e oito mil, </v>
          </cell>
          <cell r="D669" t="str">
            <v>seiscentos e sessenta e oito</v>
          </cell>
          <cell r="E669" t="str">
            <v>seiscentos e sessenta e oito centavos</v>
          </cell>
        </row>
        <row r="670">
          <cell r="A670">
            <v>669</v>
          </cell>
          <cell r="B670" t="str">
            <v xml:space="preserve">seiscentos e sessenta e nove milhões, </v>
          </cell>
          <cell r="C670" t="str">
            <v xml:space="preserve">seiscentos e sessenta e nove mil, </v>
          </cell>
          <cell r="D670" t="str">
            <v>seiscentos e sessenta e nove</v>
          </cell>
          <cell r="E670" t="str">
            <v>seiscentos e sessenta e nove centavos</v>
          </cell>
        </row>
        <row r="671">
          <cell r="A671">
            <v>670</v>
          </cell>
          <cell r="B671" t="str">
            <v xml:space="preserve">seiscentos e setenta milhões, </v>
          </cell>
          <cell r="C671" t="str">
            <v xml:space="preserve">seiscentos e setenta mil, </v>
          </cell>
          <cell r="D671" t="str">
            <v>seiscentos e setenta</v>
          </cell>
          <cell r="E671" t="str">
            <v>seiscentos e setenta centavos</v>
          </cell>
        </row>
        <row r="672">
          <cell r="A672">
            <v>671</v>
          </cell>
          <cell r="B672" t="str">
            <v xml:space="preserve">seiscentos e setenta e um milhões, </v>
          </cell>
          <cell r="C672" t="str">
            <v xml:space="preserve">seiscentos e setenta e um mil, </v>
          </cell>
          <cell r="D672" t="str">
            <v>seiscentos e setenta e um</v>
          </cell>
          <cell r="E672" t="str">
            <v>seiscentos e setenta e um centavos</v>
          </cell>
        </row>
        <row r="673">
          <cell r="A673">
            <v>672</v>
          </cell>
          <cell r="B673" t="str">
            <v xml:space="preserve">seiscentos e setenta e dois milhões, </v>
          </cell>
          <cell r="C673" t="str">
            <v xml:space="preserve">seiscentos e setenta e dois mil, </v>
          </cell>
          <cell r="D673" t="str">
            <v>seiscentos e setenta e dois</v>
          </cell>
          <cell r="E673" t="str">
            <v>seiscentos e setenta e dois centavos</v>
          </cell>
        </row>
        <row r="674">
          <cell r="A674">
            <v>673</v>
          </cell>
          <cell r="B674" t="str">
            <v xml:space="preserve">seiscentos e setenta e tres milhões, </v>
          </cell>
          <cell r="C674" t="str">
            <v xml:space="preserve">seiscentos e setenta e tres mil, </v>
          </cell>
          <cell r="D674" t="str">
            <v>seiscentos e setenta e tres</v>
          </cell>
          <cell r="E674" t="str">
            <v>seiscentos e setenta e tres centavos</v>
          </cell>
        </row>
        <row r="675">
          <cell r="A675">
            <v>674</v>
          </cell>
          <cell r="B675" t="str">
            <v xml:space="preserve">seiscentos e setenta e quatro milhões, </v>
          </cell>
          <cell r="C675" t="str">
            <v xml:space="preserve">seiscentos e setenta e quatro mil, </v>
          </cell>
          <cell r="D675" t="str">
            <v>seiscentos e setenta e quatro</v>
          </cell>
          <cell r="E675" t="str">
            <v>seiscentos e setenta e quatro centavos</v>
          </cell>
        </row>
        <row r="676">
          <cell r="A676">
            <v>675</v>
          </cell>
          <cell r="B676" t="str">
            <v xml:space="preserve">seiscentos e setenta e cinco milhões, </v>
          </cell>
          <cell r="C676" t="str">
            <v xml:space="preserve">seiscentos e setenta e cinco mil, </v>
          </cell>
          <cell r="D676" t="str">
            <v>seiscentos e setenta e cinco</v>
          </cell>
          <cell r="E676" t="str">
            <v>seiscentos e setenta e cinco centavos</v>
          </cell>
        </row>
        <row r="677">
          <cell r="A677">
            <v>676</v>
          </cell>
          <cell r="B677" t="str">
            <v xml:space="preserve">seiscentos e setenta e seis milhões, </v>
          </cell>
          <cell r="C677" t="str">
            <v xml:space="preserve">seiscentos e setenta e seis mil, </v>
          </cell>
          <cell r="D677" t="str">
            <v>seiscentos e setenta e seis</v>
          </cell>
          <cell r="E677" t="str">
            <v>seiscentos e setenta e seis centavos</v>
          </cell>
        </row>
        <row r="678">
          <cell r="A678">
            <v>677</v>
          </cell>
          <cell r="B678" t="str">
            <v xml:space="preserve">seiscentos e setenta e sete milhões, </v>
          </cell>
          <cell r="C678" t="str">
            <v xml:space="preserve">seiscentos e setenta e sete mil, </v>
          </cell>
          <cell r="D678" t="str">
            <v>seiscentos e setenta e sete</v>
          </cell>
          <cell r="E678" t="str">
            <v>seiscentos e setenta e sete centavos</v>
          </cell>
        </row>
        <row r="679">
          <cell r="A679">
            <v>678</v>
          </cell>
          <cell r="B679" t="str">
            <v xml:space="preserve">seiscentos e setenta e oito milhões, </v>
          </cell>
          <cell r="C679" t="str">
            <v xml:space="preserve">seiscentos e setenta e oito mil, </v>
          </cell>
          <cell r="D679" t="str">
            <v>seiscentos e setenta e oito</v>
          </cell>
          <cell r="E679" t="str">
            <v>seiscentos e setenta e oito centavos</v>
          </cell>
        </row>
        <row r="680">
          <cell r="A680">
            <v>679</v>
          </cell>
          <cell r="B680" t="str">
            <v xml:space="preserve">seiscentos e setenta e nove milhões, </v>
          </cell>
          <cell r="C680" t="str">
            <v xml:space="preserve">seiscentos e setenta e nove mil, </v>
          </cell>
          <cell r="D680" t="str">
            <v>seiscentos e setenta e nove</v>
          </cell>
          <cell r="E680" t="str">
            <v>seiscentos e setenta e nove centavos</v>
          </cell>
        </row>
        <row r="681">
          <cell r="A681">
            <v>680</v>
          </cell>
          <cell r="B681" t="str">
            <v xml:space="preserve">seiscentos e oitenta milhões, </v>
          </cell>
          <cell r="C681" t="str">
            <v xml:space="preserve">seiscentos e oitenta mil, </v>
          </cell>
          <cell r="D681" t="str">
            <v>seiscentos e oitenta</v>
          </cell>
          <cell r="E681" t="str">
            <v>seiscentos e oitenta centavos</v>
          </cell>
        </row>
        <row r="682">
          <cell r="A682">
            <v>681</v>
          </cell>
          <cell r="B682" t="str">
            <v xml:space="preserve">seiscentos e oitenta e um milhões, </v>
          </cell>
          <cell r="C682" t="str">
            <v xml:space="preserve">seiscentos e oitenta e um mil, </v>
          </cell>
          <cell r="D682" t="str">
            <v>seiscentos e oitenta e um</v>
          </cell>
          <cell r="E682" t="str">
            <v>seiscentos e oitenta e um centavos</v>
          </cell>
        </row>
        <row r="683">
          <cell r="A683">
            <v>682</v>
          </cell>
          <cell r="B683" t="str">
            <v xml:space="preserve">seiscentos e oitenta e dois milhões, </v>
          </cell>
          <cell r="C683" t="str">
            <v xml:space="preserve">seiscentos e oitenta e dois mil, </v>
          </cell>
          <cell r="D683" t="str">
            <v>seiscentos e oitenta e dois</v>
          </cell>
          <cell r="E683" t="str">
            <v>seiscentos e oitenta e dois centavos</v>
          </cell>
        </row>
        <row r="684">
          <cell r="A684">
            <v>683</v>
          </cell>
          <cell r="B684" t="str">
            <v xml:space="preserve">seiscentos e oitenta e tres milhões, </v>
          </cell>
          <cell r="C684" t="str">
            <v xml:space="preserve">seiscentos e oitenta e tres mil, </v>
          </cell>
          <cell r="D684" t="str">
            <v>seiscentos e oitenta e tres</v>
          </cell>
          <cell r="E684" t="str">
            <v>seiscentos e oitenta e tres centavos</v>
          </cell>
        </row>
        <row r="685">
          <cell r="A685">
            <v>684</v>
          </cell>
          <cell r="B685" t="str">
            <v xml:space="preserve">seiscentos e oitenta e quatro milhões, </v>
          </cell>
          <cell r="C685" t="str">
            <v xml:space="preserve">seiscentos e oitenta e quatro mil, </v>
          </cell>
          <cell r="D685" t="str">
            <v>seiscentos e oitenta e quatro</v>
          </cell>
          <cell r="E685" t="str">
            <v>seiscentos e oitenta e quatro centavos</v>
          </cell>
        </row>
        <row r="686">
          <cell r="A686">
            <v>685</v>
          </cell>
          <cell r="B686" t="str">
            <v xml:space="preserve">seiscentos e oitenta e cinco milhões, </v>
          </cell>
          <cell r="C686" t="str">
            <v xml:space="preserve">seiscentos e oitenta e cinco mil, </v>
          </cell>
          <cell r="D686" t="str">
            <v>seiscentos e oitenta e cinco</v>
          </cell>
          <cell r="E686" t="str">
            <v>seiscentos e oitenta e cinco centavos</v>
          </cell>
        </row>
        <row r="687">
          <cell r="A687">
            <v>686</v>
          </cell>
          <cell r="B687" t="str">
            <v xml:space="preserve">seiscentos e oitenta e seis milhões, </v>
          </cell>
          <cell r="C687" t="str">
            <v xml:space="preserve">seiscentos e oitenta e seis mil, </v>
          </cell>
          <cell r="D687" t="str">
            <v>seiscentos e oitenta e seis</v>
          </cell>
          <cell r="E687" t="str">
            <v>seiscentos e oitenta e seis centavos</v>
          </cell>
        </row>
        <row r="688">
          <cell r="A688">
            <v>687</v>
          </cell>
          <cell r="B688" t="str">
            <v xml:space="preserve">seiscentos e oitenta e sete milhões, </v>
          </cell>
          <cell r="C688" t="str">
            <v xml:space="preserve">seiscentos e oitenta e sete mil, </v>
          </cell>
          <cell r="D688" t="str">
            <v>seiscentos e oitenta e sete</v>
          </cell>
          <cell r="E688" t="str">
            <v>seiscentos e oitenta e sete centavos</v>
          </cell>
        </row>
        <row r="689">
          <cell r="A689">
            <v>688</v>
          </cell>
          <cell r="B689" t="str">
            <v xml:space="preserve">seiscentos e oitenta e oito milhões, </v>
          </cell>
          <cell r="C689" t="str">
            <v xml:space="preserve">seiscentos e oitenta e oito mil, </v>
          </cell>
          <cell r="D689" t="str">
            <v>seiscentos e oitenta e oito</v>
          </cell>
          <cell r="E689" t="str">
            <v>seiscentos e oitenta e oito centavos</v>
          </cell>
        </row>
        <row r="690">
          <cell r="A690">
            <v>689</v>
          </cell>
          <cell r="B690" t="str">
            <v xml:space="preserve">seiscentos e oitenta e nove milhões, </v>
          </cell>
          <cell r="C690" t="str">
            <v xml:space="preserve">seiscentos e oitenta e nove mil, </v>
          </cell>
          <cell r="D690" t="str">
            <v>seiscentos e oitenta e nove</v>
          </cell>
          <cell r="E690" t="str">
            <v>seiscentos e oitenta e nove centavos</v>
          </cell>
        </row>
        <row r="691">
          <cell r="A691">
            <v>690</v>
          </cell>
          <cell r="B691" t="str">
            <v xml:space="preserve">seiscentos e noventa milhões, </v>
          </cell>
          <cell r="C691" t="str">
            <v xml:space="preserve">seiscentos e noventa mil, </v>
          </cell>
          <cell r="D691" t="str">
            <v>seiscentos e noventa</v>
          </cell>
          <cell r="E691" t="str">
            <v>seiscentos e noventa centavos</v>
          </cell>
        </row>
        <row r="692">
          <cell r="A692">
            <v>691</v>
          </cell>
          <cell r="B692" t="str">
            <v xml:space="preserve">seiscentos e noventa e um milhões, </v>
          </cell>
          <cell r="C692" t="str">
            <v xml:space="preserve">seiscentos e noventa e um mil, </v>
          </cell>
          <cell r="D692" t="str">
            <v>seiscentos e noventa e um</v>
          </cell>
          <cell r="E692" t="str">
            <v>seiscentos e noventa e um centavos</v>
          </cell>
        </row>
        <row r="693">
          <cell r="A693">
            <v>692</v>
          </cell>
          <cell r="B693" t="str">
            <v xml:space="preserve">seiscentos e noventa e dois milhões, </v>
          </cell>
          <cell r="C693" t="str">
            <v xml:space="preserve">seiscentos e noventa e dois mil, </v>
          </cell>
          <cell r="D693" t="str">
            <v>seiscentos e noventa e dois</v>
          </cell>
          <cell r="E693" t="str">
            <v>seiscentos e noventa e dois centavos</v>
          </cell>
        </row>
        <row r="694">
          <cell r="A694">
            <v>693</v>
          </cell>
          <cell r="B694" t="str">
            <v xml:space="preserve">seiscentos e noventa e tres milhões, </v>
          </cell>
          <cell r="C694" t="str">
            <v xml:space="preserve">seiscentos e noventa e tres mil, </v>
          </cell>
          <cell r="D694" t="str">
            <v>seiscentos e noventa e tres</v>
          </cell>
          <cell r="E694" t="str">
            <v>seiscentos e noventa e tres centavos</v>
          </cell>
        </row>
        <row r="695">
          <cell r="A695">
            <v>694</v>
          </cell>
          <cell r="B695" t="str">
            <v xml:space="preserve">seiscentos e noventa e quatro milhões, </v>
          </cell>
          <cell r="C695" t="str">
            <v xml:space="preserve">seiscentos e noventa e quatro mil, </v>
          </cell>
          <cell r="D695" t="str">
            <v>seiscentos e noventa e quatro</v>
          </cell>
          <cell r="E695" t="str">
            <v>seiscentos e noventa e quatro centavos</v>
          </cell>
        </row>
        <row r="696">
          <cell r="A696">
            <v>695</v>
          </cell>
          <cell r="B696" t="str">
            <v xml:space="preserve">seiscentos e noventa e cinco milhões, </v>
          </cell>
          <cell r="C696" t="str">
            <v xml:space="preserve">seiscentos e noventa e cinco mil, </v>
          </cell>
          <cell r="D696" t="str">
            <v>seiscentos e noventa e cinco</v>
          </cell>
          <cell r="E696" t="str">
            <v>seiscentos e noventa e cinco centavos</v>
          </cell>
        </row>
        <row r="697">
          <cell r="A697">
            <v>696</v>
          </cell>
          <cell r="B697" t="str">
            <v xml:space="preserve">seiscentos e noventa e seis milhões, </v>
          </cell>
          <cell r="C697" t="str">
            <v xml:space="preserve">seiscentos e noventa e seis mil, </v>
          </cell>
          <cell r="D697" t="str">
            <v>seiscentos e noventa e seis</v>
          </cell>
          <cell r="E697" t="str">
            <v>seiscentos e noventa e seis centavos</v>
          </cell>
        </row>
        <row r="698">
          <cell r="A698">
            <v>697</v>
          </cell>
          <cell r="B698" t="str">
            <v xml:space="preserve">seiscentos e noventa e sete milhões, </v>
          </cell>
          <cell r="C698" t="str">
            <v xml:space="preserve">seiscentos e noventa e sete mil, </v>
          </cell>
          <cell r="D698" t="str">
            <v>seiscentos e noventa e sete</v>
          </cell>
          <cell r="E698" t="str">
            <v>seiscentos e noventa e sete centavos</v>
          </cell>
        </row>
        <row r="699">
          <cell r="A699">
            <v>698</v>
          </cell>
          <cell r="B699" t="str">
            <v xml:space="preserve">seiscentos e noventa e oito milhões, </v>
          </cell>
          <cell r="C699" t="str">
            <v xml:space="preserve">seiscentos e noventa e oito mil, </v>
          </cell>
          <cell r="D699" t="str">
            <v>seiscentos e noventa e oito</v>
          </cell>
          <cell r="E699" t="str">
            <v>seiscentos e noventa e oito centavos</v>
          </cell>
        </row>
        <row r="700">
          <cell r="A700">
            <v>699</v>
          </cell>
          <cell r="B700" t="str">
            <v xml:space="preserve">seiscentos e noventa e nove milhões, </v>
          </cell>
          <cell r="C700" t="str">
            <v xml:space="preserve">seiscentos e noventa e nove mil, </v>
          </cell>
          <cell r="D700" t="str">
            <v>seiscentos e noventa e nove</v>
          </cell>
          <cell r="E700" t="str">
            <v>seiscentos e noventa e nove centavos</v>
          </cell>
        </row>
        <row r="701">
          <cell r="A701">
            <v>700</v>
          </cell>
          <cell r="B701" t="str">
            <v xml:space="preserve">setecentos milhões, </v>
          </cell>
          <cell r="C701" t="str">
            <v xml:space="preserve">setecentos mil, </v>
          </cell>
          <cell r="D701" t="str">
            <v>setecentos</v>
          </cell>
          <cell r="E701" t="str">
            <v>setecentos centavos</v>
          </cell>
        </row>
        <row r="702">
          <cell r="A702">
            <v>701</v>
          </cell>
          <cell r="B702" t="str">
            <v xml:space="preserve">setecentos e um milhões, </v>
          </cell>
          <cell r="C702" t="str">
            <v xml:space="preserve">setecentos e um mil, </v>
          </cell>
          <cell r="D702" t="str">
            <v>setecentos e um</v>
          </cell>
          <cell r="E702" t="str">
            <v>setecentos e um centavos</v>
          </cell>
        </row>
        <row r="703">
          <cell r="A703">
            <v>702</v>
          </cell>
          <cell r="B703" t="str">
            <v xml:space="preserve">setecentos e dois milhões, </v>
          </cell>
          <cell r="C703" t="str">
            <v xml:space="preserve">setecentos e dois mil, </v>
          </cell>
          <cell r="D703" t="str">
            <v>setecentos e dois</v>
          </cell>
          <cell r="E703" t="str">
            <v>setecentos e dois centavos</v>
          </cell>
        </row>
        <row r="704">
          <cell r="A704">
            <v>703</v>
          </cell>
          <cell r="B704" t="str">
            <v xml:space="preserve">setecentos e tres milhões, </v>
          </cell>
          <cell r="C704" t="str">
            <v xml:space="preserve">setecentos e tres mil, </v>
          </cell>
          <cell r="D704" t="str">
            <v>setecentos e tres</v>
          </cell>
          <cell r="E704" t="str">
            <v>setecentos e tres centavos</v>
          </cell>
        </row>
        <row r="705">
          <cell r="A705">
            <v>704</v>
          </cell>
          <cell r="B705" t="str">
            <v xml:space="preserve">setecentos e quatro milhões, </v>
          </cell>
          <cell r="C705" t="str">
            <v xml:space="preserve">setecentos e quatro mil, </v>
          </cell>
          <cell r="D705" t="str">
            <v>setecentos e quatro</v>
          </cell>
          <cell r="E705" t="str">
            <v>setecentos e quatro centavos</v>
          </cell>
        </row>
        <row r="706">
          <cell r="A706">
            <v>705</v>
          </cell>
          <cell r="B706" t="str">
            <v xml:space="preserve">setecentos e cinco milhões, </v>
          </cell>
          <cell r="C706" t="str">
            <v xml:space="preserve">setecentos e cinco mil, </v>
          </cell>
          <cell r="D706" t="str">
            <v>setecentos e cinco</v>
          </cell>
          <cell r="E706" t="str">
            <v>setecentos e cinco centavos</v>
          </cell>
        </row>
        <row r="707">
          <cell r="A707">
            <v>706</v>
          </cell>
          <cell r="B707" t="str">
            <v xml:space="preserve">setecentos e seis milhões, </v>
          </cell>
          <cell r="C707" t="str">
            <v xml:space="preserve">setecentos e seis mil, </v>
          </cell>
          <cell r="D707" t="str">
            <v>setecentos e seis</v>
          </cell>
          <cell r="E707" t="str">
            <v>setecentos e seis centavos</v>
          </cell>
        </row>
        <row r="708">
          <cell r="A708">
            <v>707</v>
          </cell>
          <cell r="B708" t="str">
            <v xml:space="preserve">setecentos e sete milhões, </v>
          </cell>
          <cell r="C708" t="str">
            <v xml:space="preserve">setecentos e sete mil, </v>
          </cell>
          <cell r="D708" t="str">
            <v>setecentos e sete</v>
          </cell>
          <cell r="E708" t="str">
            <v>setecentos e sete centavos</v>
          </cell>
        </row>
        <row r="709">
          <cell r="A709">
            <v>708</v>
          </cell>
          <cell r="B709" t="str">
            <v xml:space="preserve">setecentos e oito milhões, </v>
          </cell>
          <cell r="C709" t="str">
            <v xml:space="preserve">setecentos e oito mil, </v>
          </cell>
          <cell r="D709" t="str">
            <v>setecentos e oito</v>
          </cell>
          <cell r="E709" t="str">
            <v>setecentos e oito centavos</v>
          </cell>
        </row>
        <row r="710">
          <cell r="A710">
            <v>709</v>
          </cell>
          <cell r="B710" t="str">
            <v xml:space="preserve">setecentos e nove milhões, </v>
          </cell>
          <cell r="C710" t="str">
            <v xml:space="preserve">setecentos e nove mil, </v>
          </cell>
          <cell r="D710" t="str">
            <v>setecentos e nove</v>
          </cell>
          <cell r="E710" t="str">
            <v>setecentos e nove centavos</v>
          </cell>
        </row>
        <row r="711">
          <cell r="A711">
            <v>710</v>
          </cell>
          <cell r="B711" t="str">
            <v xml:space="preserve">setecentos e dez milhões, </v>
          </cell>
          <cell r="C711" t="str">
            <v xml:space="preserve">setecentos e dez mil, </v>
          </cell>
          <cell r="D711" t="str">
            <v>setecentos e dez</v>
          </cell>
          <cell r="E711" t="str">
            <v>setecentos e dez centavos</v>
          </cell>
        </row>
        <row r="712">
          <cell r="A712">
            <v>711</v>
          </cell>
          <cell r="B712" t="str">
            <v xml:space="preserve">setecentos e onze milhões, </v>
          </cell>
          <cell r="C712" t="str">
            <v xml:space="preserve">setecentos e onze mil, </v>
          </cell>
          <cell r="D712" t="str">
            <v>setecentos e onze</v>
          </cell>
          <cell r="E712" t="str">
            <v>setecentos e onze centavos</v>
          </cell>
        </row>
        <row r="713">
          <cell r="A713">
            <v>712</v>
          </cell>
          <cell r="B713" t="str">
            <v xml:space="preserve">setecentos e doze milhões, </v>
          </cell>
          <cell r="C713" t="str">
            <v xml:space="preserve">setecentos e doze mil, </v>
          </cell>
          <cell r="D713" t="str">
            <v>setecentos e doze</v>
          </cell>
          <cell r="E713" t="str">
            <v>setecentos e doze centavos</v>
          </cell>
        </row>
        <row r="714">
          <cell r="A714">
            <v>713</v>
          </cell>
          <cell r="B714" t="str">
            <v xml:space="preserve">setecentos e treze milhões, </v>
          </cell>
          <cell r="C714" t="str">
            <v xml:space="preserve">setecentos e treze mil, </v>
          </cell>
          <cell r="D714" t="str">
            <v>setecentos e treze</v>
          </cell>
          <cell r="E714" t="str">
            <v>setecentos e treze centavos</v>
          </cell>
        </row>
        <row r="715">
          <cell r="A715">
            <v>714</v>
          </cell>
          <cell r="B715" t="str">
            <v xml:space="preserve">setecentos e quatorze milhões, </v>
          </cell>
          <cell r="C715" t="str">
            <v xml:space="preserve">setecentos e quatorze mil, </v>
          </cell>
          <cell r="D715" t="str">
            <v>setecentos e quatorze</v>
          </cell>
          <cell r="E715" t="str">
            <v>setecentos e quatorze centavos</v>
          </cell>
        </row>
        <row r="716">
          <cell r="A716">
            <v>715</v>
          </cell>
          <cell r="B716" t="str">
            <v xml:space="preserve">setecentos e quinze milhões, </v>
          </cell>
          <cell r="C716" t="str">
            <v xml:space="preserve">setecentos e quinze mil, </v>
          </cell>
          <cell r="D716" t="str">
            <v>setecentos e quinze</v>
          </cell>
          <cell r="E716" t="str">
            <v>setecentos e quinze centavos</v>
          </cell>
        </row>
        <row r="717">
          <cell r="A717">
            <v>716</v>
          </cell>
          <cell r="B717" t="str">
            <v xml:space="preserve">setecentos e dezesseis milhões, </v>
          </cell>
          <cell r="C717" t="str">
            <v xml:space="preserve">setecentos e dezesseis mil, </v>
          </cell>
          <cell r="D717" t="str">
            <v>setecentos e dezesseis</v>
          </cell>
          <cell r="E717" t="str">
            <v>setecentos e dezesseis centavos</v>
          </cell>
        </row>
        <row r="718">
          <cell r="A718">
            <v>717</v>
          </cell>
          <cell r="B718" t="str">
            <v xml:space="preserve">setecentos e dezessete milhões, </v>
          </cell>
          <cell r="C718" t="str">
            <v xml:space="preserve">setecentos e dezessete mil, </v>
          </cell>
          <cell r="D718" t="str">
            <v>setecentos e dezessete</v>
          </cell>
          <cell r="E718" t="str">
            <v>setecentos e dezessete centavos</v>
          </cell>
        </row>
        <row r="719">
          <cell r="A719">
            <v>718</v>
          </cell>
          <cell r="B719" t="str">
            <v xml:space="preserve">setecentos e dezoito milhões, </v>
          </cell>
          <cell r="C719" t="str">
            <v xml:space="preserve">setecentos e dezoito mil, </v>
          </cell>
          <cell r="D719" t="str">
            <v>setecentos e dezoito</v>
          </cell>
          <cell r="E719" t="str">
            <v>setecentos e dezoito centavos</v>
          </cell>
        </row>
        <row r="720">
          <cell r="A720">
            <v>719</v>
          </cell>
          <cell r="B720" t="str">
            <v xml:space="preserve">setecentos e dezenove milhões, </v>
          </cell>
          <cell r="C720" t="str">
            <v xml:space="preserve">setecentos e dezenove mil, </v>
          </cell>
          <cell r="D720" t="str">
            <v>setecentos e dezenove</v>
          </cell>
          <cell r="E720" t="str">
            <v>setecentos e dezenove centavos</v>
          </cell>
        </row>
        <row r="721">
          <cell r="A721">
            <v>720</v>
          </cell>
          <cell r="B721" t="str">
            <v xml:space="preserve">setecentos e vinte milhões, </v>
          </cell>
          <cell r="C721" t="str">
            <v xml:space="preserve">setecentos e vinte mil, </v>
          </cell>
          <cell r="D721" t="str">
            <v>setecentos e vinte</v>
          </cell>
          <cell r="E721" t="str">
            <v>setecentos e vinte centavos</v>
          </cell>
        </row>
        <row r="722">
          <cell r="A722">
            <v>721</v>
          </cell>
          <cell r="B722" t="str">
            <v xml:space="preserve">setecentos e vinte e um milhões, </v>
          </cell>
          <cell r="C722" t="str">
            <v xml:space="preserve">setecentos e vinte e um mil, </v>
          </cell>
          <cell r="D722" t="str">
            <v>setecentos e vinte e um</v>
          </cell>
          <cell r="E722" t="str">
            <v>setecentos e vinte e um centavos</v>
          </cell>
        </row>
        <row r="723">
          <cell r="A723">
            <v>722</v>
          </cell>
          <cell r="B723" t="str">
            <v xml:space="preserve">setecentos e vinte e dois milhões, </v>
          </cell>
          <cell r="C723" t="str">
            <v xml:space="preserve">setecentos e vinte e dois mil, </v>
          </cell>
          <cell r="D723" t="str">
            <v>setecentos e vinte e dois</v>
          </cell>
          <cell r="E723" t="str">
            <v>setecentos e vinte e dois centavos</v>
          </cell>
        </row>
        <row r="724">
          <cell r="A724">
            <v>723</v>
          </cell>
          <cell r="B724" t="str">
            <v xml:space="preserve">setecentos e vinte e tres milhões, </v>
          </cell>
          <cell r="C724" t="str">
            <v xml:space="preserve">setecentos e vinte e tres mil, </v>
          </cell>
          <cell r="D724" t="str">
            <v>setecentos e vinte e tres</v>
          </cell>
          <cell r="E724" t="str">
            <v>setecentos e vinte e tres centavos</v>
          </cell>
        </row>
        <row r="725">
          <cell r="A725">
            <v>724</v>
          </cell>
          <cell r="B725" t="str">
            <v xml:space="preserve">setecentos e vinte e quatro milhões, </v>
          </cell>
          <cell r="C725" t="str">
            <v xml:space="preserve">setecentos e vinte e quatro mil, </v>
          </cell>
          <cell r="D725" t="str">
            <v>setecentos e vinte e quatro</v>
          </cell>
          <cell r="E725" t="str">
            <v>setecentos e vinte e quatro centavos</v>
          </cell>
        </row>
        <row r="726">
          <cell r="A726">
            <v>725</v>
          </cell>
          <cell r="B726" t="str">
            <v xml:space="preserve">setecentos e vinte e cinco milhões, </v>
          </cell>
          <cell r="C726" t="str">
            <v xml:space="preserve">setecentos e vinte e cinco mil, </v>
          </cell>
          <cell r="D726" t="str">
            <v>setecentos e vinte e cinco</v>
          </cell>
          <cell r="E726" t="str">
            <v>setecentos e vinte e cinco centavos</v>
          </cell>
        </row>
        <row r="727">
          <cell r="A727">
            <v>726</v>
          </cell>
          <cell r="B727" t="str">
            <v xml:space="preserve">setecentos e vinte e seis milhões, </v>
          </cell>
          <cell r="C727" t="str">
            <v xml:space="preserve">setecentos e vinte e seis mil, </v>
          </cell>
          <cell r="D727" t="str">
            <v>setecentos e vinte e seis</v>
          </cell>
          <cell r="E727" t="str">
            <v>setecentos e vinte e seis centavos</v>
          </cell>
        </row>
        <row r="728">
          <cell r="A728">
            <v>727</v>
          </cell>
          <cell r="B728" t="str">
            <v xml:space="preserve">setecentos e vinte e sete milhões, </v>
          </cell>
          <cell r="C728" t="str">
            <v xml:space="preserve">setecentos e vinte e sete mil, </v>
          </cell>
          <cell r="D728" t="str">
            <v>setecentos e vinte e sete</v>
          </cell>
          <cell r="E728" t="str">
            <v>setecentos e vinte e sete centavos</v>
          </cell>
        </row>
        <row r="729">
          <cell r="A729">
            <v>728</v>
          </cell>
          <cell r="B729" t="str">
            <v xml:space="preserve">setecentos e vinte e oito milhões, </v>
          </cell>
          <cell r="C729" t="str">
            <v xml:space="preserve">setecentos e vinte e oito mil, </v>
          </cell>
          <cell r="D729" t="str">
            <v>setecentos e vinte e oito</v>
          </cell>
          <cell r="E729" t="str">
            <v>setecentos e vinte e oito centavos</v>
          </cell>
        </row>
        <row r="730">
          <cell r="A730">
            <v>729</v>
          </cell>
          <cell r="B730" t="str">
            <v xml:space="preserve">setecentos e vinte e nove milhões, </v>
          </cell>
          <cell r="C730" t="str">
            <v xml:space="preserve">setecentos e vinte e nove mil, </v>
          </cell>
          <cell r="D730" t="str">
            <v>setecentos e vinte e nove</v>
          </cell>
          <cell r="E730" t="str">
            <v>setecentos e vinte e nove centavos</v>
          </cell>
        </row>
        <row r="731">
          <cell r="A731">
            <v>730</v>
          </cell>
          <cell r="B731" t="str">
            <v xml:space="preserve">setecentos e trinta milhões, </v>
          </cell>
          <cell r="C731" t="str">
            <v xml:space="preserve">setecentos e trinta mil, </v>
          </cell>
          <cell r="D731" t="str">
            <v>setecentos e trinta</v>
          </cell>
          <cell r="E731" t="str">
            <v>setecentos e trinta centavos</v>
          </cell>
        </row>
        <row r="732">
          <cell r="A732">
            <v>731</v>
          </cell>
          <cell r="B732" t="str">
            <v xml:space="preserve">setecentos e trinta e um milhões, </v>
          </cell>
          <cell r="C732" t="str">
            <v xml:space="preserve">setecentos e trinta e um mil, </v>
          </cell>
          <cell r="D732" t="str">
            <v>setecentos e trinta e um</v>
          </cell>
          <cell r="E732" t="str">
            <v>setecentos e trinta e um centavos</v>
          </cell>
        </row>
        <row r="733">
          <cell r="A733">
            <v>732</v>
          </cell>
          <cell r="B733" t="str">
            <v xml:space="preserve">setecentos e trinta e dois milhões, </v>
          </cell>
          <cell r="C733" t="str">
            <v xml:space="preserve">setecentos e trinta e dois mil, </v>
          </cell>
          <cell r="D733" t="str">
            <v>setecentos e trinta e dois</v>
          </cell>
          <cell r="E733" t="str">
            <v>setecentos e trinta e dois centavos</v>
          </cell>
        </row>
        <row r="734">
          <cell r="A734">
            <v>733</v>
          </cell>
          <cell r="B734" t="str">
            <v xml:space="preserve">setecentos e trinta e tres milhões, </v>
          </cell>
          <cell r="C734" t="str">
            <v xml:space="preserve">setecentos e trinta e tres mil, </v>
          </cell>
          <cell r="D734" t="str">
            <v>setecentos e trinta e tres</v>
          </cell>
          <cell r="E734" t="str">
            <v>setecentos e trinta e tres centavos</v>
          </cell>
        </row>
        <row r="735">
          <cell r="A735">
            <v>734</v>
          </cell>
          <cell r="B735" t="str">
            <v xml:space="preserve">setecentos e trinta e quatro milhões, </v>
          </cell>
          <cell r="C735" t="str">
            <v xml:space="preserve">setecentos e trinta e quatro mil, </v>
          </cell>
          <cell r="D735" t="str">
            <v>setecentos e trinta e quatro</v>
          </cell>
          <cell r="E735" t="str">
            <v>setecentos e trinta e quatro centavos</v>
          </cell>
        </row>
        <row r="736">
          <cell r="A736">
            <v>735</v>
          </cell>
          <cell r="B736" t="str">
            <v xml:space="preserve">setecentos e trinta e cinco milhões, </v>
          </cell>
          <cell r="C736" t="str">
            <v xml:space="preserve">setecentos e trinta e cinco mil, </v>
          </cell>
          <cell r="D736" t="str">
            <v>setecentos e trinta e cinco</v>
          </cell>
          <cell r="E736" t="str">
            <v>setecentos e trinta e cinco centavos</v>
          </cell>
        </row>
        <row r="737">
          <cell r="A737">
            <v>736</v>
          </cell>
          <cell r="B737" t="str">
            <v xml:space="preserve">setecentos e trinta e seis milhões, </v>
          </cell>
          <cell r="C737" t="str">
            <v xml:space="preserve">setecentos e trinta e seis mil, </v>
          </cell>
          <cell r="D737" t="str">
            <v>setecentos e trinta e seis</v>
          </cell>
          <cell r="E737" t="str">
            <v>setecentos e trinta e seis centavos</v>
          </cell>
        </row>
        <row r="738">
          <cell r="A738">
            <v>737</v>
          </cell>
          <cell r="B738" t="str">
            <v xml:space="preserve">setecentos e trinta e sete milhões, </v>
          </cell>
          <cell r="C738" t="str">
            <v xml:space="preserve">setecentos e trinta e sete mil, </v>
          </cell>
          <cell r="D738" t="str">
            <v>setecentos e trinta e sete</v>
          </cell>
          <cell r="E738" t="str">
            <v>setecentos e trinta e sete centavos</v>
          </cell>
        </row>
        <row r="739">
          <cell r="A739">
            <v>738</v>
          </cell>
          <cell r="B739" t="str">
            <v xml:space="preserve">setecentos e trinta e oito milhões, </v>
          </cell>
          <cell r="C739" t="str">
            <v xml:space="preserve">setecentos e trinta e oito mil, </v>
          </cell>
          <cell r="D739" t="str">
            <v>setecentos e trinta e oito</v>
          </cell>
          <cell r="E739" t="str">
            <v>setecentos e trinta e oito centavos</v>
          </cell>
        </row>
        <row r="740">
          <cell r="A740">
            <v>739</v>
          </cell>
          <cell r="B740" t="str">
            <v xml:space="preserve">setecentos e trinta e nove milhões, </v>
          </cell>
          <cell r="C740" t="str">
            <v xml:space="preserve">setecentos e trinta e nove mil, </v>
          </cell>
          <cell r="D740" t="str">
            <v>setecentos e trinta e nove</v>
          </cell>
          <cell r="E740" t="str">
            <v>setecentos e trinta e nove centavos</v>
          </cell>
        </row>
        <row r="741">
          <cell r="A741">
            <v>740</v>
          </cell>
          <cell r="B741" t="str">
            <v xml:space="preserve">setecentos e quarenta milhões, </v>
          </cell>
          <cell r="C741" t="str">
            <v xml:space="preserve">setecentos e quarenta mil, </v>
          </cell>
          <cell r="D741" t="str">
            <v>setecentos e quarenta</v>
          </cell>
          <cell r="E741" t="str">
            <v>setecentos e quarenta centavos</v>
          </cell>
        </row>
        <row r="742">
          <cell r="A742">
            <v>741</v>
          </cell>
          <cell r="B742" t="str">
            <v xml:space="preserve">setecentos e quarenta e um milhões, </v>
          </cell>
          <cell r="C742" t="str">
            <v xml:space="preserve">setecentos e quarenta e um mil, </v>
          </cell>
          <cell r="D742" t="str">
            <v>setecentos e quarenta e um</v>
          </cell>
          <cell r="E742" t="str">
            <v>setecentos e quarenta e um centavos</v>
          </cell>
        </row>
        <row r="743">
          <cell r="A743">
            <v>742</v>
          </cell>
          <cell r="B743" t="str">
            <v xml:space="preserve">setecentos e quarenta e dois milhões, </v>
          </cell>
          <cell r="C743" t="str">
            <v xml:space="preserve">setecentos e quarenta e dois mil, </v>
          </cell>
          <cell r="D743" t="str">
            <v>setecentos e quarenta e dois</v>
          </cell>
          <cell r="E743" t="str">
            <v>setecentos e quarenta e dois centavos</v>
          </cell>
        </row>
        <row r="744">
          <cell r="A744">
            <v>743</v>
          </cell>
          <cell r="B744" t="str">
            <v xml:space="preserve">setecentos e quarenta e tres milhões, </v>
          </cell>
          <cell r="C744" t="str">
            <v xml:space="preserve">setecentos e quarenta e tres mil, </v>
          </cell>
          <cell r="D744" t="str">
            <v>setecentos e quarenta e tres</v>
          </cell>
          <cell r="E744" t="str">
            <v>setecentos e quarenta e tres centavos</v>
          </cell>
        </row>
        <row r="745">
          <cell r="A745">
            <v>744</v>
          </cell>
          <cell r="B745" t="str">
            <v xml:space="preserve">setecentos e quarenta e quatro milhões, </v>
          </cell>
          <cell r="C745" t="str">
            <v xml:space="preserve">setecentos e quarenta e quatro mil, </v>
          </cell>
          <cell r="D745" t="str">
            <v>setecentos e quarenta e quatro</v>
          </cell>
          <cell r="E745" t="str">
            <v>setecentos e quarenta e quatro centavos</v>
          </cell>
        </row>
        <row r="746">
          <cell r="A746">
            <v>745</v>
          </cell>
          <cell r="B746" t="str">
            <v xml:space="preserve">setecentos e quarenta e cinco milhões, </v>
          </cell>
          <cell r="C746" t="str">
            <v xml:space="preserve">setecentos e quarenta e cinco mil, </v>
          </cell>
          <cell r="D746" t="str">
            <v>setecentos e quarenta e cinco</v>
          </cell>
          <cell r="E746" t="str">
            <v>setecentos e quarenta e cinco centavos</v>
          </cell>
        </row>
        <row r="747">
          <cell r="A747">
            <v>746</v>
          </cell>
          <cell r="B747" t="str">
            <v xml:space="preserve">setecentos e quarenta e seis milhões, </v>
          </cell>
          <cell r="C747" t="str">
            <v xml:space="preserve">setecentos e quarenta e seis mil, </v>
          </cell>
          <cell r="D747" t="str">
            <v>setecentos e quarenta e seis</v>
          </cell>
          <cell r="E747" t="str">
            <v>setecentos e quarenta e seis centavos</v>
          </cell>
        </row>
        <row r="748">
          <cell r="A748">
            <v>747</v>
          </cell>
          <cell r="B748" t="str">
            <v xml:space="preserve">setecentos e quarenta e sete milhões, </v>
          </cell>
          <cell r="C748" t="str">
            <v xml:space="preserve">setecentos e quarenta e sete mil, </v>
          </cell>
          <cell r="D748" t="str">
            <v>setecentos e quarenta e sete</v>
          </cell>
          <cell r="E748" t="str">
            <v>setecentos e quarenta e sete centavos</v>
          </cell>
        </row>
        <row r="749">
          <cell r="A749">
            <v>748</v>
          </cell>
          <cell r="B749" t="str">
            <v xml:space="preserve">setecentos e quarenta e oito milhões, </v>
          </cell>
          <cell r="C749" t="str">
            <v xml:space="preserve">setecentos e quarenta e oito mil, </v>
          </cell>
          <cell r="D749" t="str">
            <v>setecentos e quarenta e oito</v>
          </cell>
          <cell r="E749" t="str">
            <v>setecentos e quarenta e oito centavos</v>
          </cell>
        </row>
        <row r="750">
          <cell r="A750">
            <v>749</v>
          </cell>
          <cell r="B750" t="str">
            <v xml:space="preserve">setecentos e quarenta e nove milhões, </v>
          </cell>
          <cell r="C750" t="str">
            <v xml:space="preserve">setecentos e quarenta e nove mil, </v>
          </cell>
          <cell r="D750" t="str">
            <v>setecentos e quarenta e nove</v>
          </cell>
          <cell r="E750" t="str">
            <v>setecentos e quarenta e nove centavos</v>
          </cell>
        </row>
        <row r="751">
          <cell r="A751">
            <v>750</v>
          </cell>
          <cell r="B751" t="str">
            <v xml:space="preserve">setecentos e cinquenta milhões, </v>
          </cell>
          <cell r="C751" t="str">
            <v xml:space="preserve">setecentos e cinquenta mil, </v>
          </cell>
          <cell r="D751" t="str">
            <v>setecentos e cinquenta</v>
          </cell>
          <cell r="E751" t="str">
            <v>setecentos e cinquenta centavos</v>
          </cell>
        </row>
        <row r="752">
          <cell r="A752">
            <v>751</v>
          </cell>
          <cell r="B752" t="str">
            <v xml:space="preserve">setecentos e cinquenta e um milhões, </v>
          </cell>
          <cell r="C752" t="str">
            <v xml:space="preserve">setecentos e cinquenta e um mil, </v>
          </cell>
          <cell r="D752" t="str">
            <v>setecentos e cinquenta e um</v>
          </cell>
          <cell r="E752" t="str">
            <v>setecentos e cinquenta e um centavos</v>
          </cell>
        </row>
        <row r="753">
          <cell r="A753">
            <v>752</v>
          </cell>
          <cell r="B753" t="str">
            <v xml:space="preserve">setecentos e cinquenta e dois milhões, </v>
          </cell>
          <cell r="C753" t="str">
            <v xml:space="preserve">setecentos e cinquenta e dois mil, </v>
          </cell>
          <cell r="D753" t="str">
            <v>setecentos e cinquenta e dois</v>
          </cell>
          <cell r="E753" t="str">
            <v>setecentos e cinquenta e dois centavos</v>
          </cell>
        </row>
        <row r="754">
          <cell r="A754">
            <v>753</v>
          </cell>
          <cell r="B754" t="str">
            <v xml:space="preserve">setecentos e cinquenta e tres milhões, </v>
          </cell>
          <cell r="C754" t="str">
            <v xml:space="preserve">setecentos e cinquenta e tres mil, </v>
          </cell>
          <cell r="D754" t="str">
            <v>setecentos e cinquenta e tres</v>
          </cell>
          <cell r="E754" t="str">
            <v>setecentos e cinquenta e tres centavos</v>
          </cell>
        </row>
        <row r="755">
          <cell r="A755">
            <v>754</v>
          </cell>
          <cell r="B755" t="str">
            <v xml:space="preserve">setecentos e cinquenta e quatro milhões, </v>
          </cell>
          <cell r="C755" t="str">
            <v xml:space="preserve">setecentos e cinquenta e quatro mil, </v>
          </cell>
          <cell r="D755" t="str">
            <v>setecentos e cinquenta e quatro</v>
          </cell>
          <cell r="E755" t="str">
            <v>setecentos e cinquenta e quatro centavos</v>
          </cell>
        </row>
        <row r="756">
          <cell r="A756">
            <v>755</v>
          </cell>
          <cell r="B756" t="str">
            <v xml:space="preserve">setecentos e cinquenta e cinco milhões, </v>
          </cell>
          <cell r="C756" t="str">
            <v xml:space="preserve">setecentos e cinquenta e cinco mil, </v>
          </cell>
          <cell r="D756" t="str">
            <v>setecentos e cinquenta e cinco</v>
          </cell>
          <cell r="E756" t="str">
            <v>setecentos e cinquenta e cinco centavos</v>
          </cell>
        </row>
        <row r="757">
          <cell r="A757">
            <v>756</v>
          </cell>
          <cell r="B757" t="str">
            <v xml:space="preserve">setecentos e cinquenta e seis milhões, </v>
          </cell>
          <cell r="C757" t="str">
            <v xml:space="preserve">setecentos e cinquenta e seis mil, </v>
          </cell>
          <cell r="D757" t="str">
            <v>setecentos e cinquenta e seis</v>
          </cell>
          <cell r="E757" t="str">
            <v>setecentos e cinquenta e seis centavos</v>
          </cell>
        </row>
        <row r="758">
          <cell r="A758">
            <v>757</v>
          </cell>
          <cell r="B758" t="str">
            <v xml:space="preserve">setecentos e cinquenta e sete milhões, </v>
          </cell>
          <cell r="C758" t="str">
            <v xml:space="preserve">setecentos e cinquenta e sete mil, </v>
          </cell>
          <cell r="D758" t="str">
            <v>setecentos e cinquenta e sete</v>
          </cell>
          <cell r="E758" t="str">
            <v>setecentos e cinquenta e sete centavos</v>
          </cell>
        </row>
        <row r="759">
          <cell r="A759">
            <v>758</v>
          </cell>
          <cell r="B759" t="str">
            <v xml:space="preserve">setecentos e cinquenta e oito milhões, </v>
          </cell>
          <cell r="C759" t="str">
            <v xml:space="preserve">setecentos e cinquenta e oito mil, </v>
          </cell>
          <cell r="D759" t="str">
            <v>setecentos e cinquenta e oito</v>
          </cell>
          <cell r="E759" t="str">
            <v>setecentos e cinquenta e oito centavos</v>
          </cell>
        </row>
        <row r="760">
          <cell r="A760">
            <v>759</v>
          </cell>
          <cell r="B760" t="str">
            <v xml:space="preserve">setecentos e cinquenta e nove milhões, </v>
          </cell>
          <cell r="C760" t="str">
            <v xml:space="preserve">setecentos e cinquenta e nove mil, </v>
          </cell>
          <cell r="D760" t="str">
            <v>setecentos e cinquenta e nove</v>
          </cell>
          <cell r="E760" t="str">
            <v>setecentos e cinquenta e nove centavos</v>
          </cell>
        </row>
        <row r="761">
          <cell r="A761">
            <v>760</v>
          </cell>
          <cell r="B761" t="str">
            <v xml:space="preserve">setecentos e sessenta milhões, </v>
          </cell>
          <cell r="C761" t="str">
            <v xml:space="preserve">setecentos e sessenta mil, </v>
          </cell>
          <cell r="D761" t="str">
            <v>setecentos e sessenta</v>
          </cell>
          <cell r="E761" t="str">
            <v>setecentos e sessenta centavos</v>
          </cell>
        </row>
        <row r="762">
          <cell r="A762">
            <v>761</v>
          </cell>
          <cell r="B762" t="str">
            <v xml:space="preserve">setecentos e sessenta e um milhões, </v>
          </cell>
          <cell r="C762" t="str">
            <v xml:space="preserve">setecentos e sessenta e um mil, </v>
          </cell>
          <cell r="D762" t="str">
            <v>setecentos e sessenta e um</v>
          </cell>
          <cell r="E762" t="str">
            <v>setecentos e sessenta e um centavos</v>
          </cell>
        </row>
        <row r="763">
          <cell r="A763">
            <v>762</v>
          </cell>
          <cell r="B763" t="str">
            <v xml:space="preserve">setecentos e sessenta e dois milhões, </v>
          </cell>
          <cell r="C763" t="str">
            <v xml:space="preserve">setecentos e sessenta e dois mil, </v>
          </cell>
          <cell r="D763" t="str">
            <v>setecentos e sessenta e dois</v>
          </cell>
          <cell r="E763" t="str">
            <v>setecentos e sessenta e dois centavos</v>
          </cell>
        </row>
        <row r="764">
          <cell r="A764">
            <v>763</v>
          </cell>
          <cell r="B764" t="str">
            <v xml:space="preserve">setecentos e sessenta e tres milhões, </v>
          </cell>
          <cell r="C764" t="str">
            <v xml:space="preserve">setecentos e sessenta e tres mil, </v>
          </cell>
          <cell r="D764" t="str">
            <v>setecentos e sessenta e tres</v>
          </cell>
          <cell r="E764" t="str">
            <v>setecentos e sessenta e tres centavos</v>
          </cell>
        </row>
        <row r="765">
          <cell r="A765">
            <v>764</v>
          </cell>
          <cell r="B765" t="str">
            <v xml:space="preserve">setecentos e sessenta e quatro milhões, </v>
          </cell>
          <cell r="C765" t="str">
            <v xml:space="preserve">setecentos e sessenta e quatro mil, </v>
          </cell>
          <cell r="D765" t="str">
            <v>setecentos e sessenta e quatro</v>
          </cell>
          <cell r="E765" t="str">
            <v>setecentos e sessenta e quatro centavos</v>
          </cell>
        </row>
        <row r="766">
          <cell r="A766">
            <v>765</v>
          </cell>
          <cell r="B766" t="str">
            <v xml:space="preserve">setecentos e sessenta e cinco milhões, </v>
          </cell>
          <cell r="C766" t="str">
            <v xml:space="preserve">setecentos e sessenta e cinco mil, </v>
          </cell>
          <cell r="D766" t="str">
            <v>setecentos e sessenta e cinco</v>
          </cell>
          <cell r="E766" t="str">
            <v>setecentos e sessenta e cinco centavos</v>
          </cell>
        </row>
        <row r="767">
          <cell r="A767">
            <v>766</v>
          </cell>
          <cell r="B767" t="str">
            <v xml:space="preserve">setecentos e sessenta e seis milhões, </v>
          </cell>
          <cell r="C767" t="str">
            <v xml:space="preserve">setecentos e sessenta e seis mil, </v>
          </cell>
          <cell r="D767" t="str">
            <v>setecentos e sessenta e seis</v>
          </cell>
          <cell r="E767" t="str">
            <v>setecentos e sessenta e seis centavos</v>
          </cell>
        </row>
        <row r="768">
          <cell r="A768">
            <v>767</v>
          </cell>
          <cell r="B768" t="str">
            <v xml:space="preserve">setecentos e sessenta e sete milhões, </v>
          </cell>
          <cell r="C768" t="str">
            <v xml:space="preserve">setecentos e sessenta e sete mil, </v>
          </cell>
          <cell r="D768" t="str">
            <v>setecentos e sessenta e sete</v>
          </cell>
          <cell r="E768" t="str">
            <v>setecentos e sessenta e sete centavos</v>
          </cell>
        </row>
        <row r="769">
          <cell r="A769">
            <v>768</v>
          </cell>
          <cell r="B769" t="str">
            <v xml:space="preserve">setecentos e sessenta e oito milhões, </v>
          </cell>
          <cell r="C769" t="str">
            <v xml:space="preserve">setecentos e sessenta e oito mil, </v>
          </cell>
          <cell r="D769" t="str">
            <v>setecentos e sessenta e oito</v>
          </cell>
          <cell r="E769" t="str">
            <v>setecentos e sessenta e oito centavos</v>
          </cell>
        </row>
        <row r="770">
          <cell r="A770">
            <v>769</v>
          </cell>
          <cell r="B770" t="str">
            <v xml:space="preserve">setecentos e sessenta e nove milhões, </v>
          </cell>
          <cell r="C770" t="str">
            <v xml:space="preserve">setecentos e sessenta e nove mil, </v>
          </cell>
          <cell r="D770" t="str">
            <v>setecentos e sessenta e nove</v>
          </cell>
          <cell r="E770" t="str">
            <v>setecentos e sessenta e nove centavos</v>
          </cell>
        </row>
        <row r="771">
          <cell r="A771">
            <v>770</v>
          </cell>
          <cell r="B771" t="str">
            <v xml:space="preserve">setecentos e setenta milhões, </v>
          </cell>
          <cell r="C771" t="str">
            <v xml:space="preserve">setecentos e setenta mil, </v>
          </cell>
          <cell r="D771" t="str">
            <v>setecentos e setenta</v>
          </cell>
          <cell r="E771" t="str">
            <v>setecentos e setenta centavos</v>
          </cell>
        </row>
        <row r="772">
          <cell r="A772">
            <v>771</v>
          </cell>
          <cell r="B772" t="str">
            <v xml:space="preserve">setecentos e setenta e um milhões, </v>
          </cell>
          <cell r="C772" t="str">
            <v xml:space="preserve">setecentos e setenta e um mil, </v>
          </cell>
          <cell r="D772" t="str">
            <v>setecentos e setenta e um</v>
          </cell>
          <cell r="E772" t="str">
            <v>setecentos e setenta e um centavos</v>
          </cell>
        </row>
        <row r="773">
          <cell r="A773">
            <v>772</v>
          </cell>
          <cell r="B773" t="str">
            <v xml:space="preserve">setecentos e setenta e dois milhões, </v>
          </cell>
          <cell r="C773" t="str">
            <v xml:space="preserve">setecentos e setenta e dois mil, </v>
          </cell>
          <cell r="D773" t="str">
            <v>setecentos e setenta e dois</v>
          </cell>
          <cell r="E773" t="str">
            <v>setecentos e setenta e dois centavos</v>
          </cell>
        </row>
        <row r="774">
          <cell r="A774">
            <v>773</v>
          </cell>
          <cell r="B774" t="str">
            <v xml:space="preserve">setecentos e setenta e tres milhões, </v>
          </cell>
          <cell r="C774" t="str">
            <v xml:space="preserve">setecentos e setenta e tres mil, </v>
          </cell>
          <cell r="D774" t="str">
            <v>setecentos e setenta e tres</v>
          </cell>
          <cell r="E774" t="str">
            <v>setecentos e setenta e tres centavos</v>
          </cell>
        </row>
        <row r="775">
          <cell r="A775">
            <v>774</v>
          </cell>
          <cell r="B775" t="str">
            <v xml:space="preserve">setecentos e setenta e quatro milhões, </v>
          </cell>
          <cell r="C775" t="str">
            <v xml:space="preserve">setecentos e setenta e quatro mil, </v>
          </cell>
          <cell r="D775" t="str">
            <v>setecentos e setenta e quatro</v>
          </cell>
          <cell r="E775" t="str">
            <v>setecentos e setenta e quatro centavos</v>
          </cell>
        </row>
        <row r="776">
          <cell r="A776">
            <v>775</v>
          </cell>
          <cell r="B776" t="str">
            <v xml:space="preserve">setecentos e setenta e cinco milhões, </v>
          </cell>
          <cell r="C776" t="str">
            <v xml:space="preserve">setecentos e setenta e cinco mil, </v>
          </cell>
          <cell r="D776" t="str">
            <v>setecentos e setenta e cinco</v>
          </cell>
          <cell r="E776" t="str">
            <v>setecentos e setenta e cinco centavos</v>
          </cell>
        </row>
        <row r="777">
          <cell r="A777">
            <v>776</v>
          </cell>
          <cell r="B777" t="str">
            <v xml:space="preserve">setecentos e setenta e seis milhões, </v>
          </cell>
          <cell r="C777" t="str">
            <v xml:space="preserve">setecentos e setenta e seis mil, </v>
          </cell>
          <cell r="D777" t="str">
            <v>setecentos e setenta e seis</v>
          </cell>
          <cell r="E777" t="str">
            <v>setecentos e setenta e seis centavos</v>
          </cell>
        </row>
        <row r="778">
          <cell r="A778">
            <v>777</v>
          </cell>
          <cell r="B778" t="str">
            <v xml:space="preserve">setecentos e setenta e sete milhões, </v>
          </cell>
          <cell r="C778" t="str">
            <v xml:space="preserve">setecentos e setenta e sete mil, </v>
          </cell>
          <cell r="D778" t="str">
            <v>setecentos e setenta e sete</v>
          </cell>
          <cell r="E778" t="str">
            <v>setecentos e setenta e sete centavos</v>
          </cell>
        </row>
        <row r="779">
          <cell r="A779">
            <v>778</v>
          </cell>
          <cell r="B779" t="str">
            <v xml:space="preserve">setecentos e setenta e oito milhões, </v>
          </cell>
          <cell r="C779" t="str">
            <v xml:space="preserve">setecentos e setenta e oito mil, </v>
          </cell>
          <cell r="D779" t="str">
            <v>setecentos e setenta e oito</v>
          </cell>
          <cell r="E779" t="str">
            <v>setecentos e setenta e oito centavos</v>
          </cell>
        </row>
        <row r="780">
          <cell r="A780">
            <v>779</v>
          </cell>
          <cell r="B780" t="str">
            <v xml:space="preserve">setecentos e setenta e nove milhões, </v>
          </cell>
          <cell r="C780" t="str">
            <v xml:space="preserve">setecentos e setenta e nove mil, </v>
          </cell>
          <cell r="D780" t="str">
            <v>setecentos e setenta e nove</v>
          </cell>
          <cell r="E780" t="str">
            <v>setecentos e setenta e nove centavos</v>
          </cell>
        </row>
        <row r="781">
          <cell r="A781">
            <v>780</v>
          </cell>
          <cell r="B781" t="str">
            <v xml:space="preserve">setecentos e oitenta milhões, </v>
          </cell>
          <cell r="C781" t="str">
            <v xml:space="preserve">setecentos e oitenta mil, </v>
          </cell>
          <cell r="D781" t="str">
            <v>setecentos e oitenta</v>
          </cell>
          <cell r="E781" t="str">
            <v>setecentos e oitenta centavos</v>
          </cell>
        </row>
        <row r="782">
          <cell r="A782">
            <v>781</v>
          </cell>
          <cell r="B782" t="str">
            <v xml:space="preserve">setecentos e oitenta e um milhões, </v>
          </cell>
          <cell r="C782" t="str">
            <v xml:space="preserve">setecentos e oitenta e um mil, </v>
          </cell>
          <cell r="D782" t="str">
            <v>setecentos e oitenta e um</v>
          </cell>
          <cell r="E782" t="str">
            <v>setecentos e oitenta e um centavos</v>
          </cell>
        </row>
        <row r="783">
          <cell r="A783">
            <v>782</v>
          </cell>
          <cell r="B783" t="str">
            <v xml:space="preserve">setecentos e oitenta e dois milhões, </v>
          </cell>
          <cell r="C783" t="str">
            <v xml:space="preserve">setecentos e oitenta e dois mil, </v>
          </cell>
          <cell r="D783" t="str">
            <v>setecentos e oitenta e dois</v>
          </cell>
          <cell r="E783" t="str">
            <v>setecentos e oitenta e dois centavos</v>
          </cell>
        </row>
        <row r="784">
          <cell r="A784">
            <v>783</v>
          </cell>
          <cell r="B784" t="str">
            <v xml:space="preserve">setecentos e oitenta e tres milhões, </v>
          </cell>
          <cell r="C784" t="str">
            <v xml:space="preserve">setecentos e oitenta e tres mil, </v>
          </cell>
          <cell r="D784" t="str">
            <v>setecentos e oitenta e tres</v>
          </cell>
          <cell r="E784" t="str">
            <v>setecentos e oitenta e tres centavos</v>
          </cell>
        </row>
        <row r="785">
          <cell r="A785">
            <v>784</v>
          </cell>
          <cell r="B785" t="str">
            <v xml:space="preserve">setecentos e oitenta e quatro milhões, </v>
          </cell>
          <cell r="C785" t="str">
            <v xml:space="preserve">setecentos e oitenta e quatro mil, </v>
          </cell>
          <cell r="D785" t="str">
            <v>setecentos e oitenta e quatro</v>
          </cell>
          <cell r="E785" t="str">
            <v>setecentos e oitenta e quatro centavos</v>
          </cell>
        </row>
        <row r="786">
          <cell r="A786">
            <v>785</v>
          </cell>
          <cell r="B786" t="str">
            <v xml:space="preserve">setecentos e oitenta e cinco milhões, </v>
          </cell>
          <cell r="C786" t="str">
            <v xml:space="preserve">setecentos e oitenta e cinco mil, </v>
          </cell>
          <cell r="D786" t="str">
            <v>setecentos e oitenta e cinco</v>
          </cell>
          <cell r="E786" t="str">
            <v>setecentos e oitenta e cinco centavos</v>
          </cell>
        </row>
        <row r="787">
          <cell r="A787">
            <v>786</v>
          </cell>
          <cell r="B787" t="str">
            <v xml:space="preserve">setecentos e oitenta e seis milhões, </v>
          </cell>
          <cell r="C787" t="str">
            <v xml:space="preserve">setecentos e oitenta e seis mil, </v>
          </cell>
          <cell r="D787" t="str">
            <v>setecentos e oitenta e seis</v>
          </cell>
          <cell r="E787" t="str">
            <v>setecentos e oitenta e seis centavos</v>
          </cell>
        </row>
        <row r="788">
          <cell r="A788">
            <v>787</v>
          </cell>
          <cell r="B788" t="str">
            <v xml:space="preserve">setecentos e oitenta e sete milhões, </v>
          </cell>
          <cell r="C788" t="str">
            <v xml:space="preserve">setecentos e oitenta e sete mil, </v>
          </cell>
          <cell r="D788" t="str">
            <v>setecentos e oitenta e sete</v>
          </cell>
          <cell r="E788" t="str">
            <v>setecentos e oitenta e sete centavos</v>
          </cell>
        </row>
        <row r="789">
          <cell r="A789">
            <v>788</v>
          </cell>
          <cell r="B789" t="str">
            <v xml:space="preserve">setecentos e oitenta e oito milhões, </v>
          </cell>
          <cell r="C789" t="str">
            <v xml:space="preserve">setecentos e oitenta e oito mil, </v>
          </cell>
          <cell r="D789" t="str">
            <v>setecentos e oitenta e oito</v>
          </cell>
          <cell r="E789" t="str">
            <v>setecentos e oitenta e oito centavos</v>
          </cell>
        </row>
        <row r="790">
          <cell r="A790">
            <v>789</v>
          </cell>
          <cell r="B790" t="str">
            <v xml:space="preserve">setecentos e oitenta e nove milhões, </v>
          </cell>
          <cell r="C790" t="str">
            <v xml:space="preserve">setecentos e oitenta e nove mil, </v>
          </cell>
          <cell r="D790" t="str">
            <v>setecentos e oitenta e nove</v>
          </cell>
          <cell r="E790" t="str">
            <v>setecentos e oitenta e nove centavos</v>
          </cell>
        </row>
        <row r="791">
          <cell r="A791">
            <v>790</v>
          </cell>
          <cell r="B791" t="str">
            <v xml:space="preserve">setecentos e noventa milhões, </v>
          </cell>
          <cell r="C791" t="str">
            <v xml:space="preserve">setecentos e noventa mil, </v>
          </cell>
          <cell r="D791" t="str">
            <v>setecentos e noventa</v>
          </cell>
          <cell r="E791" t="str">
            <v>setecentos e noventa centavos</v>
          </cell>
        </row>
        <row r="792">
          <cell r="A792">
            <v>791</v>
          </cell>
          <cell r="B792" t="str">
            <v xml:space="preserve">setecentos e noventa e um milhões, </v>
          </cell>
          <cell r="C792" t="str">
            <v xml:space="preserve">setecentos e noventa e um mil, </v>
          </cell>
          <cell r="D792" t="str">
            <v>setecentos e noventa e um</v>
          </cell>
          <cell r="E792" t="str">
            <v>setecentos e noventa e um centavos</v>
          </cell>
        </row>
        <row r="793">
          <cell r="A793">
            <v>792</v>
          </cell>
          <cell r="B793" t="str">
            <v xml:space="preserve">setecentos e noventa e dois milhões, </v>
          </cell>
          <cell r="C793" t="str">
            <v xml:space="preserve">setecentos e noventa e dois mil, </v>
          </cell>
          <cell r="D793" t="str">
            <v>setecentos e noventa e dois</v>
          </cell>
          <cell r="E793" t="str">
            <v>setecentos e noventa e dois centavos</v>
          </cell>
        </row>
        <row r="794">
          <cell r="A794">
            <v>793</v>
          </cell>
          <cell r="B794" t="str">
            <v xml:space="preserve">setecentos e noventa e tres milhões, </v>
          </cell>
          <cell r="C794" t="str">
            <v xml:space="preserve">setecentos e noventa e tres mil, </v>
          </cell>
          <cell r="D794" t="str">
            <v>setecentos e noventa e tres</v>
          </cell>
          <cell r="E794" t="str">
            <v>setecentos e noventa e tres centavos</v>
          </cell>
        </row>
        <row r="795">
          <cell r="A795">
            <v>794</v>
          </cell>
          <cell r="B795" t="str">
            <v xml:space="preserve">setecentos e noventa e quatro milhões, </v>
          </cell>
          <cell r="C795" t="str">
            <v xml:space="preserve">setecentos e noventa e quatro mil, </v>
          </cell>
          <cell r="D795" t="str">
            <v>setecentos e noventa e quatro</v>
          </cell>
          <cell r="E795" t="str">
            <v>setecentos e noventa e quatro centavos</v>
          </cell>
        </row>
        <row r="796">
          <cell r="A796">
            <v>795</v>
          </cell>
          <cell r="B796" t="str">
            <v xml:space="preserve">setecentos e noventa e cinco milhões, </v>
          </cell>
          <cell r="C796" t="str">
            <v xml:space="preserve">setecentos e noventa e cinco mil, </v>
          </cell>
          <cell r="D796" t="str">
            <v>setecentos e noventa e cinco</v>
          </cell>
          <cell r="E796" t="str">
            <v>setecentos e noventa e cinco centavos</v>
          </cell>
        </row>
        <row r="797">
          <cell r="A797">
            <v>796</v>
          </cell>
          <cell r="B797" t="str">
            <v xml:space="preserve">setecentos e noventa e seis milhões, </v>
          </cell>
          <cell r="C797" t="str">
            <v xml:space="preserve">setecentos e noventa e seis mil, </v>
          </cell>
          <cell r="D797" t="str">
            <v>setecentos e noventa e seis</v>
          </cell>
          <cell r="E797" t="str">
            <v>setecentos e noventa e seis centavos</v>
          </cell>
        </row>
        <row r="798">
          <cell r="A798">
            <v>797</v>
          </cell>
          <cell r="B798" t="str">
            <v xml:space="preserve">setecentos e noventa e sete milhões, </v>
          </cell>
          <cell r="C798" t="str">
            <v xml:space="preserve">setecentos e noventa e sete mil, </v>
          </cell>
          <cell r="D798" t="str">
            <v>setecentos e noventa e sete</v>
          </cell>
          <cell r="E798" t="str">
            <v>setecentos e noventa e sete centavos</v>
          </cell>
        </row>
        <row r="799">
          <cell r="A799">
            <v>798</v>
          </cell>
          <cell r="B799" t="str">
            <v xml:space="preserve">setecentos e noventa e oito milhões, </v>
          </cell>
          <cell r="C799" t="str">
            <v xml:space="preserve">setecentos e noventa e oito mil, </v>
          </cell>
          <cell r="D799" t="str">
            <v>setecentos e noventa e oito</v>
          </cell>
          <cell r="E799" t="str">
            <v>setecentos e noventa e oito centavos</v>
          </cell>
        </row>
        <row r="800">
          <cell r="A800">
            <v>799</v>
          </cell>
          <cell r="B800" t="str">
            <v xml:space="preserve">setecentos e noventa e nove milhões, </v>
          </cell>
          <cell r="C800" t="str">
            <v xml:space="preserve">setecentos e noventa e nove mil, </v>
          </cell>
          <cell r="D800" t="str">
            <v>setecentos e noventa e nove</v>
          </cell>
          <cell r="E800" t="str">
            <v>setecentos e noventa e nove centavos</v>
          </cell>
        </row>
        <row r="801">
          <cell r="A801">
            <v>800</v>
          </cell>
          <cell r="B801" t="str">
            <v xml:space="preserve">oitocentos milhões, </v>
          </cell>
          <cell r="C801" t="str">
            <v xml:space="preserve">oitocentos mil, </v>
          </cell>
          <cell r="D801" t="str">
            <v>oitocentos</v>
          </cell>
          <cell r="E801" t="str">
            <v>oitocentos centavos</v>
          </cell>
        </row>
        <row r="802">
          <cell r="A802">
            <v>801</v>
          </cell>
          <cell r="B802" t="str">
            <v xml:space="preserve">oitocentos e um milhões, </v>
          </cell>
          <cell r="C802" t="str">
            <v xml:space="preserve">oitocentos e um mil, </v>
          </cell>
          <cell r="D802" t="str">
            <v>oitocentos e um</v>
          </cell>
          <cell r="E802" t="str">
            <v>oitocentos e um centavos</v>
          </cell>
        </row>
        <row r="803">
          <cell r="A803">
            <v>802</v>
          </cell>
          <cell r="B803" t="str">
            <v xml:space="preserve">oitocentos e dois milhões, </v>
          </cell>
          <cell r="C803" t="str">
            <v xml:space="preserve">oitocentos e dois mil, </v>
          </cell>
          <cell r="D803" t="str">
            <v>oitocentos e dois</v>
          </cell>
          <cell r="E803" t="str">
            <v>oitocentos e dois centavos</v>
          </cell>
        </row>
        <row r="804">
          <cell r="A804">
            <v>803</v>
          </cell>
          <cell r="B804" t="str">
            <v xml:space="preserve">oitocentos e tres milhões, </v>
          </cell>
          <cell r="C804" t="str">
            <v xml:space="preserve">oitocentos e tres mil, </v>
          </cell>
          <cell r="D804" t="str">
            <v>oitocentos e tres</v>
          </cell>
          <cell r="E804" t="str">
            <v>oitocentos e tres centavos</v>
          </cell>
        </row>
        <row r="805">
          <cell r="A805">
            <v>804</v>
          </cell>
          <cell r="B805" t="str">
            <v xml:space="preserve">oitocentos e quatro milhões, </v>
          </cell>
          <cell r="C805" t="str">
            <v xml:space="preserve">oitocentos e quatro mil, </v>
          </cell>
          <cell r="D805" t="str">
            <v>oitocentos e quatro</v>
          </cell>
          <cell r="E805" t="str">
            <v>oitocentos e quatro centavos</v>
          </cell>
        </row>
        <row r="806">
          <cell r="A806">
            <v>805</v>
          </cell>
          <cell r="B806" t="str">
            <v xml:space="preserve">oitocentos e cinco milhões, </v>
          </cell>
          <cell r="C806" t="str">
            <v xml:space="preserve">oitocentos e cinco mil, </v>
          </cell>
          <cell r="D806" t="str">
            <v>oitocentos e cinco</v>
          </cell>
          <cell r="E806" t="str">
            <v>oitocentos e cinco centavos</v>
          </cell>
        </row>
        <row r="807">
          <cell r="A807">
            <v>806</v>
          </cell>
          <cell r="B807" t="str">
            <v xml:space="preserve">oitocentos e seis milhões, </v>
          </cell>
          <cell r="C807" t="str">
            <v xml:space="preserve">oitocentos e seis mil, </v>
          </cell>
          <cell r="D807" t="str">
            <v>oitocentos e seis</v>
          </cell>
          <cell r="E807" t="str">
            <v>oitocentos e seis centavos</v>
          </cell>
        </row>
        <row r="808">
          <cell r="A808">
            <v>807</v>
          </cell>
          <cell r="B808" t="str">
            <v xml:space="preserve">oitocentos e sete milhões, </v>
          </cell>
          <cell r="C808" t="str">
            <v xml:space="preserve">oitocentos e sete mil, </v>
          </cell>
          <cell r="D808" t="str">
            <v>oitocentos e sete</v>
          </cell>
          <cell r="E808" t="str">
            <v>oitocentos e sete centavos</v>
          </cell>
        </row>
        <row r="809">
          <cell r="A809">
            <v>808</v>
          </cell>
          <cell r="B809" t="str">
            <v xml:space="preserve">oitocentos e oito milhões, </v>
          </cell>
          <cell r="C809" t="str">
            <v xml:space="preserve">oitocentos e oito mil, </v>
          </cell>
          <cell r="D809" t="str">
            <v>oitocentos e oito</v>
          </cell>
          <cell r="E809" t="str">
            <v>oitocentos e oito centavos</v>
          </cell>
        </row>
        <row r="810">
          <cell r="A810">
            <v>809</v>
          </cell>
          <cell r="B810" t="str">
            <v xml:space="preserve">oitocentos e nove milhões, </v>
          </cell>
          <cell r="C810" t="str">
            <v xml:space="preserve">oitocentos e nove mil, </v>
          </cell>
          <cell r="D810" t="str">
            <v>oitocentos e nove</v>
          </cell>
          <cell r="E810" t="str">
            <v>oitocentos e nove centavos</v>
          </cell>
        </row>
        <row r="811">
          <cell r="A811">
            <v>810</v>
          </cell>
          <cell r="B811" t="str">
            <v xml:space="preserve">oitocentos e dez milhões, </v>
          </cell>
          <cell r="C811" t="str">
            <v xml:space="preserve">oitocentos e dez mil, </v>
          </cell>
          <cell r="D811" t="str">
            <v>oitocentos e dez</v>
          </cell>
          <cell r="E811" t="str">
            <v>oitocentos e dez centavos</v>
          </cell>
        </row>
        <row r="812">
          <cell r="A812">
            <v>811</v>
          </cell>
          <cell r="B812" t="str">
            <v xml:space="preserve">oitocentos e onze milhões, </v>
          </cell>
          <cell r="C812" t="str">
            <v xml:space="preserve">oitocentos e onze mil, </v>
          </cell>
          <cell r="D812" t="str">
            <v>oitocentos e onze</v>
          </cell>
          <cell r="E812" t="str">
            <v>oitocentos e onze centavos</v>
          </cell>
        </row>
        <row r="813">
          <cell r="A813">
            <v>812</v>
          </cell>
          <cell r="B813" t="str">
            <v xml:space="preserve">oitocentos e doze milhões, </v>
          </cell>
          <cell r="C813" t="str">
            <v xml:space="preserve">oitocentos e doze mil, </v>
          </cell>
          <cell r="D813" t="str">
            <v>oitocentos e doze</v>
          </cell>
          <cell r="E813" t="str">
            <v>oitocentos e doze centavos</v>
          </cell>
        </row>
        <row r="814">
          <cell r="A814">
            <v>813</v>
          </cell>
          <cell r="B814" t="str">
            <v xml:space="preserve">oitocentos e treze milhões, </v>
          </cell>
          <cell r="C814" t="str">
            <v xml:space="preserve">oitocentos e treze mil, </v>
          </cell>
          <cell r="D814" t="str">
            <v>oitocentos e treze</v>
          </cell>
          <cell r="E814" t="str">
            <v>oitocentos e treze centavos</v>
          </cell>
        </row>
        <row r="815">
          <cell r="A815">
            <v>814</v>
          </cell>
          <cell r="B815" t="str">
            <v xml:space="preserve">oitocentos e quatorze milhões, </v>
          </cell>
          <cell r="C815" t="str">
            <v xml:space="preserve">oitocentos e quatorze mil, </v>
          </cell>
          <cell r="D815" t="str">
            <v>oitocentos e quatorze</v>
          </cell>
          <cell r="E815" t="str">
            <v>oitocentos e quatorze centavos</v>
          </cell>
        </row>
        <row r="816">
          <cell r="A816">
            <v>815</v>
          </cell>
          <cell r="B816" t="str">
            <v xml:space="preserve">oitocentos e quinze milhões, </v>
          </cell>
          <cell r="C816" t="str">
            <v xml:space="preserve">oitocentos e quinze mil, </v>
          </cell>
          <cell r="D816" t="str">
            <v>oitocentos e quinze</v>
          </cell>
          <cell r="E816" t="str">
            <v>oitocentos e quinze centavos</v>
          </cell>
        </row>
        <row r="817">
          <cell r="A817">
            <v>816</v>
          </cell>
          <cell r="B817" t="str">
            <v xml:space="preserve">oitocentos e dezesseis milhões, </v>
          </cell>
          <cell r="C817" t="str">
            <v xml:space="preserve">oitocentos e dezesseis mil, </v>
          </cell>
          <cell r="D817" t="str">
            <v>oitocentos e dezesseis</v>
          </cell>
          <cell r="E817" t="str">
            <v>oitocentos e dezesseis centavos</v>
          </cell>
        </row>
        <row r="818">
          <cell r="A818">
            <v>817</v>
          </cell>
          <cell r="B818" t="str">
            <v xml:space="preserve">oitocentos e dezessete milhões, </v>
          </cell>
          <cell r="C818" t="str">
            <v xml:space="preserve">oitocentos e dezessete mil, </v>
          </cell>
          <cell r="D818" t="str">
            <v>oitocentos e dezessete</v>
          </cell>
          <cell r="E818" t="str">
            <v>oitocentos e dezessete centavos</v>
          </cell>
        </row>
        <row r="819">
          <cell r="A819">
            <v>818</v>
          </cell>
          <cell r="B819" t="str">
            <v xml:space="preserve">oitocentos e dezoito milhões, </v>
          </cell>
          <cell r="C819" t="str">
            <v xml:space="preserve">oitocentos e dezoito mil, </v>
          </cell>
          <cell r="D819" t="str">
            <v>oitocentos e dezoito</v>
          </cell>
          <cell r="E819" t="str">
            <v>oitocentos e dezoito centavos</v>
          </cell>
        </row>
        <row r="820">
          <cell r="A820">
            <v>819</v>
          </cell>
          <cell r="B820" t="str">
            <v xml:space="preserve">oitocentos e dezenove milhões, </v>
          </cell>
          <cell r="C820" t="str">
            <v xml:space="preserve">oitocentos e dezenove mil, </v>
          </cell>
          <cell r="D820" t="str">
            <v>oitocentos e dezenove</v>
          </cell>
          <cell r="E820" t="str">
            <v>oitocentos e dezenove centavos</v>
          </cell>
        </row>
        <row r="821">
          <cell r="A821">
            <v>820</v>
          </cell>
          <cell r="B821" t="str">
            <v xml:space="preserve">oitocentos e vinte milhões, </v>
          </cell>
          <cell r="C821" t="str">
            <v xml:space="preserve">oitocentos e vinte mil, </v>
          </cell>
          <cell r="D821" t="str">
            <v>oitocentos e vinte</v>
          </cell>
          <cell r="E821" t="str">
            <v>oitocentos e vinte centavos</v>
          </cell>
        </row>
        <row r="822">
          <cell r="A822">
            <v>821</v>
          </cell>
          <cell r="B822" t="str">
            <v xml:space="preserve">oitocentos e vinte e um milhões, </v>
          </cell>
          <cell r="C822" t="str">
            <v xml:space="preserve">oitocentos e vinte e um mil, </v>
          </cell>
          <cell r="D822" t="str">
            <v>oitocentos e vinte e um</v>
          </cell>
          <cell r="E822" t="str">
            <v>oitocentos e vinte e um centavos</v>
          </cell>
        </row>
        <row r="823">
          <cell r="A823">
            <v>822</v>
          </cell>
          <cell r="B823" t="str">
            <v xml:space="preserve">oitocentos e vinte e dois milhões, </v>
          </cell>
          <cell r="C823" t="str">
            <v xml:space="preserve">oitocentos e vinte e dois mil, </v>
          </cell>
          <cell r="D823" t="str">
            <v>oitocentos e vinte e dois</v>
          </cell>
          <cell r="E823" t="str">
            <v>oitocentos e vinte e dois centavos</v>
          </cell>
        </row>
        <row r="824">
          <cell r="A824">
            <v>823</v>
          </cell>
          <cell r="B824" t="str">
            <v xml:space="preserve">oitocentos e vinte e tres milhões, </v>
          </cell>
          <cell r="C824" t="str">
            <v xml:space="preserve">oitocentos e vinte e tres mil, </v>
          </cell>
          <cell r="D824" t="str">
            <v>oitocentos e vinte e tres</v>
          </cell>
          <cell r="E824" t="str">
            <v>oitocentos e vinte e tres centavos</v>
          </cell>
        </row>
        <row r="825">
          <cell r="A825">
            <v>824</v>
          </cell>
          <cell r="B825" t="str">
            <v xml:space="preserve">oitocentos e vinte e quatro milhões, </v>
          </cell>
          <cell r="C825" t="str">
            <v xml:space="preserve">oitocentos e vinte e quatro mil, </v>
          </cell>
          <cell r="D825" t="str">
            <v>oitocentos e vinte e quatro</v>
          </cell>
          <cell r="E825" t="str">
            <v>oitocentos e vinte e quatro centavos</v>
          </cell>
        </row>
        <row r="826">
          <cell r="A826">
            <v>825</v>
          </cell>
          <cell r="B826" t="str">
            <v xml:space="preserve">oitocentos e vinte e cinco milhões, </v>
          </cell>
          <cell r="C826" t="str">
            <v xml:space="preserve">oitocentos e vinte e cinco mil, </v>
          </cell>
          <cell r="D826" t="str">
            <v>oitocentos e vinte e cinco</v>
          </cell>
          <cell r="E826" t="str">
            <v>oitocentos e vinte e cinco centavos</v>
          </cell>
        </row>
        <row r="827">
          <cell r="A827">
            <v>826</v>
          </cell>
          <cell r="B827" t="str">
            <v xml:space="preserve">oitocentos e vinte e seis milhões, </v>
          </cell>
          <cell r="C827" t="str">
            <v xml:space="preserve">oitocentos e vinte e seis mil, </v>
          </cell>
          <cell r="D827" t="str">
            <v>oitocentos e vinte e seis</v>
          </cell>
          <cell r="E827" t="str">
            <v>oitocentos e vinte e seis centavos</v>
          </cell>
        </row>
        <row r="828">
          <cell r="A828">
            <v>827</v>
          </cell>
          <cell r="B828" t="str">
            <v xml:space="preserve">oitocentos e vinte e sete milhões, </v>
          </cell>
          <cell r="C828" t="str">
            <v xml:space="preserve">oitocentos e vinte e sete mil, </v>
          </cell>
          <cell r="D828" t="str">
            <v>oitocentos e vinte e sete</v>
          </cell>
          <cell r="E828" t="str">
            <v>oitocentos e vinte e sete centavos</v>
          </cell>
        </row>
        <row r="829">
          <cell r="A829">
            <v>828</v>
          </cell>
          <cell r="B829" t="str">
            <v xml:space="preserve">oitocentos e vinte e oito milhões, </v>
          </cell>
          <cell r="C829" t="str">
            <v xml:space="preserve">oitocentos e vinte e oito mil, </v>
          </cell>
          <cell r="D829" t="str">
            <v>oitocentos e vinte e oito</v>
          </cell>
          <cell r="E829" t="str">
            <v>oitocentos e vinte e oito centavos</v>
          </cell>
        </row>
        <row r="830">
          <cell r="A830">
            <v>829</v>
          </cell>
          <cell r="B830" t="str">
            <v xml:space="preserve">oitocentos e vinte e nove milhões, </v>
          </cell>
          <cell r="C830" t="str">
            <v xml:space="preserve">oitocentos e vinte e nove mil, </v>
          </cell>
          <cell r="D830" t="str">
            <v>oitocentos e vinte e nove</v>
          </cell>
          <cell r="E830" t="str">
            <v>oitocentos e vinte e nove centavos</v>
          </cell>
        </row>
        <row r="831">
          <cell r="A831">
            <v>830</v>
          </cell>
          <cell r="B831" t="str">
            <v xml:space="preserve">oitocentos e trinta milhões, </v>
          </cell>
          <cell r="C831" t="str">
            <v xml:space="preserve">oitocentos e trinta mil, </v>
          </cell>
          <cell r="D831" t="str">
            <v>oitocentos e trinta</v>
          </cell>
          <cell r="E831" t="str">
            <v>oitocentos e trinta centavos</v>
          </cell>
        </row>
        <row r="832">
          <cell r="A832">
            <v>831</v>
          </cell>
          <cell r="B832" t="str">
            <v xml:space="preserve">oitocentos e trinta e um milhões, </v>
          </cell>
          <cell r="C832" t="str">
            <v xml:space="preserve">oitocentos e trinta e um mil, </v>
          </cell>
          <cell r="D832" t="str">
            <v>oitocentos e trinta e um</v>
          </cell>
          <cell r="E832" t="str">
            <v>oitocentos e trinta e um centavos</v>
          </cell>
        </row>
        <row r="833">
          <cell r="A833">
            <v>832</v>
          </cell>
          <cell r="B833" t="str">
            <v xml:space="preserve">oitocentos e trinta e dois milhões, </v>
          </cell>
          <cell r="C833" t="str">
            <v xml:space="preserve">oitocentos e trinta e dois mil, </v>
          </cell>
          <cell r="D833" t="str">
            <v>oitocentos e trinta e dois</v>
          </cell>
          <cell r="E833" t="str">
            <v>oitocentos e trinta e dois centavos</v>
          </cell>
        </row>
        <row r="834">
          <cell r="A834">
            <v>833</v>
          </cell>
          <cell r="B834" t="str">
            <v xml:space="preserve">oitocentos e trinta e tres milhões, </v>
          </cell>
          <cell r="C834" t="str">
            <v xml:space="preserve">oitocentos e trinta e tres mil, </v>
          </cell>
          <cell r="D834" t="str">
            <v>oitocentos e trinta e tres</v>
          </cell>
          <cell r="E834" t="str">
            <v>oitocentos e trinta e tres centavos</v>
          </cell>
        </row>
        <row r="835">
          <cell r="A835">
            <v>834</v>
          </cell>
          <cell r="B835" t="str">
            <v xml:space="preserve">oitocentos e trinta e quatro milhões, </v>
          </cell>
          <cell r="C835" t="str">
            <v xml:space="preserve">oitocentos e trinta e quatro mil, </v>
          </cell>
          <cell r="D835" t="str">
            <v>oitocentos e trinta e quatro</v>
          </cell>
          <cell r="E835" t="str">
            <v>oitocentos e trinta e quatro centavos</v>
          </cell>
        </row>
        <row r="836">
          <cell r="A836">
            <v>835</v>
          </cell>
          <cell r="B836" t="str">
            <v xml:space="preserve">oitocentos e trinta e cinco milhões, </v>
          </cell>
          <cell r="C836" t="str">
            <v xml:space="preserve">oitocentos e trinta e cinco mil, </v>
          </cell>
          <cell r="D836" t="str">
            <v>oitocentos e trinta e cinco</v>
          </cell>
          <cell r="E836" t="str">
            <v>oitocentos e trinta e cinco centavos</v>
          </cell>
        </row>
        <row r="837">
          <cell r="A837">
            <v>836</v>
          </cell>
          <cell r="B837" t="str">
            <v xml:space="preserve">oitocentos e trinta e seis milhões, </v>
          </cell>
          <cell r="C837" t="str">
            <v xml:space="preserve">oitocentos e trinta e seis mil, </v>
          </cell>
          <cell r="D837" t="str">
            <v>oitocentos e trinta e seis</v>
          </cell>
          <cell r="E837" t="str">
            <v>oitocentos e trinta e seis centavos</v>
          </cell>
        </row>
        <row r="838">
          <cell r="A838">
            <v>837</v>
          </cell>
          <cell r="B838" t="str">
            <v xml:space="preserve">oitocentos e trinta e sete milhões, </v>
          </cell>
          <cell r="C838" t="str">
            <v xml:space="preserve">oitocentos e trinta e sete mil, </v>
          </cell>
          <cell r="D838" t="str">
            <v>oitocentos e trinta e sete</v>
          </cell>
          <cell r="E838" t="str">
            <v>oitocentos e trinta e sete centavos</v>
          </cell>
        </row>
        <row r="839">
          <cell r="A839">
            <v>838</v>
          </cell>
          <cell r="B839" t="str">
            <v xml:space="preserve">oitocentos e trinta e oito milhões, </v>
          </cell>
          <cell r="C839" t="str">
            <v xml:space="preserve">oitocentos e trinta e oito mil, </v>
          </cell>
          <cell r="D839" t="str">
            <v>oitocentos e trinta e oito</v>
          </cell>
          <cell r="E839" t="str">
            <v>oitocentos e trinta e oito centavos</v>
          </cell>
        </row>
        <row r="840">
          <cell r="A840">
            <v>839</v>
          </cell>
          <cell r="B840" t="str">
            <v xml:space="preserve">oitocentos e trinta e nove milhões, </v>
          </cell>
          <cell r="C840" t="str">
            <v xml:space="preserve">oitocentos e trinta e nove mil, </v>
          </cell>
          <cell r="D840" t="str">
            <v>oitocentos e trinta e nove</v>
          </cell>
          <cell r="E840" t="str">
            <v>oitocentos e trinta e nove centavos</v>
          </cell>
        </row>
        <row r="841">
          <cell r="A841">
            <v>840</v>
          </cell>
          <cell r="B841" t="str">
            <v xml:space="preserve">oitocentos e quarenta milhões, </v>
          </cell>
          <cell r="C841" t="str">
            <v xml:space="preserve">oitocentos e quarenta mil, </v>
          </cell>
          <cell r="D841" t="str">
            <v>oitocentos e quarenta</v>
          </cell>
          <cell r="E841" t="str">
            <v>oitocentos e quarenta centavos</v>
          </cell>
        </row>
        <row r="842">
          <cell r="A842">
            <v>841</v>
          </cell>
          <cell r="B842" t="str">
            <v xml:space="preserve">oitocentos e quarenta e um milhões, </v>
          </cell>
          <cell r="C842" t="str">
            <v xml:space="preserve">oitocentos e quarenta e um mil, </v>
          </cell>
          <cell r="D842" t="str">
            <v>oitocentos e quarenta e um</v>
          </cell>
          <cell r="E842" t="str">
            <v>oitocentos e quarenta e um centavos</v>
          </cell>
        </row>
        <row r="843">
          <cell r="A843">
            <v>842</v>
          </cell>
          <cell r="B843" t="str">
            <v xml:space="preserve">oitocentos e quarenta e dois milhões, </v>
          </cell>
          <cell r="C843" t="str">
            <v xml:space="preserve">oitocentos e quarenta e dois mil, </v>
          </cell>
          <cell r="D843" t="str">
            <v>oitocentos e quarenta e dois</v>
          </cell>
          <cell r="E843" t="str">
            <v>oitocentos e quarenta e dois centavos</v>
          </cell>
        </row>
        <row r="844">
          <cell r="A844">
            <v>843</v>
          </cell>
          <cell r="B844" t="str">
            <v xml:space="preserve">oitocentos e quarenta e tres milhões, </v>
          </cell>
          <cell r="C844" t="str">
            <v xml:space="preserve">oitocentos e quarenta e tres mil, </v>
          </cell>
          <cell r="D844" t="str">
            <v>oitocentos e quarenta e tres</v>
          </cell>
          <cell r="E844" t="str">
            <v>oitocentos e quarenta e tres centavos</v>
          </cell>
        </row>
        <row r="845">
          <cell r="A845">
            <v>844</v>
          </cell>
          <cell r="B845" t="str">
            <v xml:space="preserve">oitocentos e quarenta e quatro milhões, </v>
          </cell>
          <cell r="C845" t="str">
            <v xml:space="preserve">oitocentos e quarenta e quatro mil, </v>
          </cell>
          <cell r="D845" t="str">
            <v>oitocentos e quarenta e quatro</v>
          </cell>
          <cell r="E845" t="str">
            <v>oitocentos e quarenta e quatro centavos</v>
          </cell>
        </row>
        <row r="846">
          <cell r="A846">
            <v>845</v>
          </cell>
          <cell r="B846" t="str">
            <v xml:space="preserve">oitocentos e quarenta e cinco milhões, </v>
          </cell>
          <cell r="C846" t="str">
            <v xml:space="preserve">oitocentos e quarenta e cinco mil, </v>
          </cell>
          <cell r="D846" t="str">
            <v>oitocentos e quarenta e cinco</v>
          </cell>
          <cell r="E846" t="str">
            <v>oitocentos e quarenta e cinco centavos</v>
          </cell>
        </row>
        <row r="847">
          <cell r="A847">
            <v>846</v>
          </cell>
          <cell r="B847" t="str">
            <v xml:space="preserve">oitocentos e quarenta e seis milhões, </v>
          </cell>
          <cell r="C847" t="str">
            <v xml:space="preserve">oitocentos e quarenta e seis mil, </v>
          </cell>
          <cell r="D847" t="str">
            <v>oitocentos e quarenta e seis</v>
          </cell>
          <cell r="E847" t="str">
            <v>oitocentos e quarenta e seis centavos</v>
          </cell>
        </row>
        <row r="848">
          <cell r="A848">
            <v>847</v>
          </cell>
          <cell r="B848" t="str">
            <v xml:space="preserve">oitocentos e quarenta e sete milhões, </v>
          </cell>
          <cell r="C848" t="str">
            <v xml:space="preserve">oitocentos e quarenta e sete mil, </v>
          </cell>
          <cell r="D848" t="str">
            <v>oitocentos e quarenta e sete</v>
          </cell>
          <cell r="E848" t="str">
            <v>oitocentos e quarenta e sete centavos</v>
          </cell>
        </row>
        <row r="849">
          <cell r="A849">
            <v>848</v>
          </cell>
          <cell r="B849" t="str">
            <v xml:space="preserve">oitocentos e quarenta e oito milhões, </v>
          </cell>
          <cell r="C849" t="str">
            <v xml:space="preserve">oitocentos e quarenta e oito mil, </v>
          </cell>
          <cell r="D849" t="str">
            <v>oitocentos e quarenta e oito</v>
          </cell>
          <cell r="E849" t="str">
            <v>oitocentos e quarenta e oito centavos</v>
          </cell>
        </row>
        <row r="850">
          <cell r="A850">
            <v>849</v>
          </cell>
          <cell r="B850" t="str">
            <v xml:space="preserve">oitocentos e quarenta e nove milhões, </v>
          </cell>
          <cell r="C850" t="str">
            <v xml:space="preserve">oitocentos e quarenta e nove mil, </v>
          </cell>
          <cell r="D850" t="str">
            <v>oitocentos e quarenta e nove</v>
          </cell>
          <cell r="E850" t="str">
            <v>oitocentos e quarenta e nove centavos</v>
          </cell>
        </row>
        <row r="851">
          <cell r="A851">
            <v>850</v>
          </cell>
          <cell r="B851" t="str">
            <v xml:space="preserve">oitocentos e cinquenta milhões, </v>
          </cell>
          <cell r="C851" t="str">
            <v xml:space="preserve">oitocentos e cinquenta mil, </v>
          </cell>
          <cell r="D851" t="str">
            <v>oitocentos e cinquenta</v>
          </cell>
          <cell r="E851" t="str">
            <v>oitocentos e cinquenta centavos</v>
          </cell>
        </row>
        <row r="852">
          <cell r="A852">
            <v>851</v>
          </cell>
          <cell r="B852" t="str">
            <v xml:space="preserve">oitocentos e cinquenta e um milhões, </v>
          </cell>
          <cell r="C852" t="str">
            <v xml:space="preserve">oitocentos e cinquenta e um mil, </v>
          </cell>
          <cell r="D852" t="str">
            <v>oitocentos e cinquenta e um</v>
          </cell>
          <cell r="E852" t="str">
            <v>oitocentos e cinquenta e um centavos</v>
          </cell>
        </row>
        <row r="853">
          <cell r="A853">
            <v>852</v>
          </cell>
          <cell r="B853" t="str">
            <v xml:space="preserve">oitocentos e cinquenta e dois milhões, </v>
          </cell>
          <cell r="C853" t="str">
            <v xml:space="preserve">oitocentos e cinquenta e dois mil, </v>
          </cell>
          <cell r="D853" t="str">
            <v>oitocentos e cinquenta e dois</v>
          </cell>
          <cell r="E853" t="str">
            <v>oitocentos e cinquenta e dois centavos</v>
          </cell>
        </row>
        <row r="854">
          <cell r="A854">
            <v>853</v>
          </cell>
          <cell r="B854" t="str">
            <v xml:space="preserve">oitocentos e cinquenta e tres milhões, </v>
          </cell>
          <cell r="C854" t="str">
            <v xml:space="preserve">oitocentos e cinquenta e tres mil, </v>
          </cell>
          <cell r="D854" t="str">
            <v>oitocentos e cinquenta e tres</v>
          </cell>
          <cell r="E854" t="str">
            <v>oitocentos e cinquenta e tres centavos</v>
          </cell>
        </row>
        <row r="855">
          <cell r="A855">
            <v>854</v>
          </cell>
          <cell r="B855" t="str">
            <v xml:space="preserve">oitocentos e cinquenta e quatro milhões, </v>
          </cell>
          <cell r="C855" t="str">
            <v xml:space="preserve">oitocentos e cinquenta e quatro mil, </v>
          </cell>
          <cell r="D855" t="str">
            <v>oitocentos e cinquenta e quatro</v>
          </cell>
          <cell r="E855" t="str">
            <v>oitocentos e cinquenta e quatro centavos</v>
          </cell>
        </row>
        <row r="856">
          <cell r="A856">
            <v>855</v>
          </cell>
          <cell r="B856" t="str">
            <v xml:space="preserve">oitocentos e cinquenta e cinco milhões, </v>
          </cell>
          <cell r="C856" t="str">
            <v xml:space="preserve">oitocentos e cinquenta e cinco mil, </v>
          </cell>
          <cell r="D856" t="str">
            <v>oitocentos e cinquenta e cinco</v>
          </cell>
          <cell r="E856" t="str">
            <v>oitocentos e cinquenta e cinco centavos</v>
          </cell>
        </row>
        <row r="857">
          <cell r="A857">
            <v>856</v>
          </cell>
          <cell r="B857" t="str">
            <v xml:space="preserve">oitocentos e cinquenta e seis milhões, </v>
          </cell>
          <cell r="C857" t="str">
            <v xml:space="preserve">oitocentos e cinquenta e seis mil, </v>
          </cell>
          <cell r="D857" t="str">
            <v>oitocentos e cinquenta e seis</v>
          </cell>
          <cell r="E857" t="str">
            <v>oitocentos e cinquenta e seis centavos</v>
          </cell>
        </row>
        <row r="858">
          <cell r="A858">
            <v>857</v>
          </cell>
          <cell r="B858" t="str">
            <v xml:space="preserve">oitocentos e cinquenta e sete milhões, </v>
          </cell>
          <cell r="C858" t="str">
            <v xml:space="preserve">oitocentos e cinquenta e sete mil, </v>
          </cell>
          <cell r="D858" t="str">
            <v>oitocentos e cinquenta e sete</v>
          </cell>
          <cell r="E858" t="str">
            <v>oitocentos e cinquenta e sete centavos</v>
          </cell>
        </row>
        <row r="859">
          <cell r="A859">
            <v>858</v>
          </cell>
          <cell r="B859" t="str">
            <v xml:space="preserve">oitocentos e cinquenta e oito milhões, </v>
          </cell>
          <cell r="C859" t="str">
            <v xml:space="preserve">oitocentos e cinquenta e oito mil, </v>
          </cell>
          <cell r="D859" t="str">
            <v>oitocentos e cinquenta e oito</v>
          </cell>
          <cell r="E859" t="str">
            <v>oitocentos e cinquenta e oito centavos</v>
          </cell>
        </row>
        <row r="860">
          <cell r="A860">
            <v>859</v>
          </cell>
          <cell r="B860" t="str">
            <v xml:space="preserve">oitocentos e cinquenta e nove milhões, </v>
          </cell>
          <cell r="C860" t="str">
            <v xml:space="preserve">oitocentos e cinquenta e nove mil, </v>
          </cell>
          <cell r="D860" t="str">
            <v>oitocentos e cinquenta e nove</v>
          </cell>
          <cell r="E860" t="str">
            <v>oitocentos e cinquenta e nove centavos</v>
          </cell>
        </row>
        <row r="861">
          <cell r="A861">
            <v>860</v>
          </cell>
          <cell r="B861" t="str">
            <v xml:space="preserve">oitocentos e sessenta milhões, </v>
          </cell>
          <cell r="C861" t="str">
            <v xml:space="preserve">oitocentos e sessenta mil, </v>
          </cell>
          <cell r="D861" t="str">
            <v>oitocentos e sessenta</v>
          </cell>
          <cell r="E861" t="str">
            <v>oitocentos e sessenta centavos</v>
          </cell>
        </row>
        <row r="862">
          <cell r="A862">
            <v>861</v>
          </cell>
          <cell r="B862" t="str">
            <v xml:space="preserve">oitocentos e sessenta e um milhões, </v>
          </cell>
          <cell r="C862" t="str">
            <v xml:space="preserve">oitocentos e sessenta e um mil, </v>
          </cell>
          <cell r="D862" t="str">
            <v>oitocentos e sessenta e um</v>
          </cell>
          <cell r="E862" t="str">
            <v>oitocentos e sessenta e um centavos</v>
          </cell>
        </row>
        <row r="863">
          <cell r="A863">
            <v>862</v>
          </cell>
          <cell r="B863" t="str">
            <v xml:space="preserve">oitocentos e sessenta e dois milhões, </v>
          </cell>
          <cell r="C863" t="str">
            <v xml:space="preserve">oitocentos e sessenta e dois mil, </v>
          </cell>
          <cell r="D863" t="str">
            <v>oitocentos e sessenta e dois</v>
          </cell>
          <cell r="E863" t="str">
            <v>oitocentos e sessenta e dois centavos</v>
          </cell>
        </row>
        <row r="864">
          <cell r="A864">
            <v>863</v>
          </cell>
          <cell r="B864" t="str">
            <v xml:space="preserve">oitocentos e sessenta e tres milhões, </v>
          </cell>
          <cell r="C864" t="str">
            <v xml:space="preserve">oitocentos e sessenta e tres mil, </v>
          </cell>
          <cell r="D864" t="str">
            <v>oitocentos e sessenta e tres</v>
          </cell>
          <cell r="E864" t="str">
            <v>oitocentos e sessenta e tres centavos</v>
          </cell>
        </row>
        <row r="865">
          <cell r="A865">
            <v>864</v>
          </cell>
          <cell r="B865" t="str">
            <v xml:space="preserve">oitocentos e sessenta e quatro milhões, </v>
          </cell>
          <cell r="C865" t="str">
            <v xml:space="preserve">oitocentos e sessenta e quatro mil, </v>
          </cell>
          <cell r="D865" t="str">
            <v>oitocentos e sessenta e quatro</v>
          </cell>
          <cell r="E865" t="str">
            <v>oitocentos e sessenta e quatro centavos</v>
          </cell>
        </row>
        <row r="866">
          <cell r="A866">
            <v>865</v>
          </cell>
          <cell r="B866" t="str">
            <v xml:space="preserve">oitocentos e sessenta e cinco milhões, </v>
          </cell>
          <cell r="C866" t="str">
            <v xml:space="preserve">oitocentos e sessenta e cinco mil, </v>
          </cell>
          <cell r="D866" t="str">
            <v>oitocentos e sessenta e cinco</v>
          </cell>
          <cell r="E866" t="str">
            <v>oitocentos e sessenta e cinco centavos</v>
          </cell>
        </row>
        <row r="867">
          <cell r="A867">
            <v>866</v>
          </cell>
          <cell r="B867" t="str">
            <v xml:space="preserve">oitocentos e sessenta e seis milhões, </v>
          </cell>
          <cell r="C867" t="str">
            <v xml:space="preserve">oitocentos e sessenta e seis mil, </v>
          </cell>
          <cell r="D867" t="str">
            <v>oitocentos e sessenta e seis</v>
          </cell>
          <cell r="E867" t="str">
            <v>oitocentos e sessenta e seis centavos</v>
          </cell>
        </row>
        <row r="868">
          <cell r="A868">
            <v>867</v>
          </cell>
          <cell r="B868" t="str">
            <v xml:space="preserve">oitocentos e sessenta e sete milhões, </v>
          </cell>
          <cell r="C868" t="str">
            <v xml:space="preserve">oitocentos e sessenta e sete mil, </v>
          </cell>
          <cell r="D868" t="str">
            <v>oitocentos e sessenta e sete</v>
          </cell>
          <cell r="E868" t="str">
            <v>oitocentos e sessenta e sete centavos</v>
          </cell>
        </row>
        <row r="869">
          <cell r="A869">
            <v>868</v>
          </cell>
          <cell r="B869" t="str">
            <v xml:space="preserve">oitocentos e sessenta e oito milhões, </v>
          </cell>
          <cell r="C869" t="str">
            <v xml:space="preserve">oitocentos e sessenta e oito mil, </v>
          </cell>
          <cell r="D869" t="str">
            <v>oitocentos e sessenta e oito</v>
          </cell>
          <cell r="E869" t="str">
            <v>oitocentos e sessenta e oito centavos</v>
          </cell>
        </row>
        <row r="870">
          <cell r="A870">
            <v>869</v>
          </cell>
          <cell r="B870" t="str">
            <v xml:space="preserve">oitocentos e sessenta e nove milhões, </v>
          </cell>
          <cell r="C870" t="str">
            <v xml:space="preserve">oitocentos e sessenta e nove mil, </v>
          </cell>
          <cell r="D870" t="str">
            <v>oitocentos e sessenta e nove</v>
          </cell>
          <cell r="E870" t="str">
            <v>oitocentos e sessenta e nove centavos</v>
          </cell>
        </row>
        <row r="871">
          <cell r="A871">
            <v>870</v>
          </cell>
          <cell r="B871" t="str">
            <v xml:space="preserve">oitocentos e setenta milhões, </v>
          </cell>
          <cell r="C871" t="str">
            <v xml:space="preserve">oitocentos e setenta mil, </v>
          </cell>
          <cell r="D871" t="str">
            <v>oitocentos e setenta</v>
          </cell>
          <cell r="E871" t="str">
            <v>oitocentos e setenta centavos</v>
          </cell>
        </row>
        <row r="872">
          <cell r="A872">
            <v>871</v>
          </cell>
          <cell r="B872" t="str">
            <v xml:space="preserve">oitocentos e setenta e um milhões, </v>
          </cell>
          <cell r="C872" t="str">
            <v xml:space="preserve">oitocentos e setenta e um mil, </v>
          </cell>
          <cell r="D872" t="str">
            <v>oitocentos e setenta e um</v>
          </cell>
          <cell r="E872" t="str">
            <v>oitocentos e setenta e um centavos</v>
          </cell>
        </row>
        <row r="873">
          <cell r="A873">
            <v>872</v>
          </cell>
          <cell r="B873" t="str">
            <v xml:space="preserve">oitocentos e setenta e dois milhões, </v>
          </cell>
          <cell r="C873" t="str">
            <v xml:space="preserve">oitocentos e setenta e dois mil, </v>
          </cell>
          <cell r="D873" t="str">
            <v>oitocentos e setenta e dois</v>
          </cell>
          <cell r="E873" t="str">
            <v>oitocentos e setenta e dois centavos</v>
          </cell>
        </row>
        <row r="874">
          <cell r="A874">
            <v>873</v>
          </cell>
          <cell r="B874" t="str">
            <v xml:space="preserve">oitocentos e setenta e tres milhões, </v>
          </cell>
          <cell r="C874" t="str">
            <v xml:space="preserve">oitocentos e setenta e tres mil, </v>
          </cell>
          <cell r="D874" t="str">
            <v>oitocentos e setenta e tres</v>
          </cell>
          <cell r="E874" t="str">
            <v>oitocentos e setenta e tres centavos</v>
          </cell>
        </row>
        <row r="875">
          <cell r="A875">
            <v>874</v>
          </cell>
          <cell r="B875" t="str">
            <v xml:space="preserve">oitocentos e setenta e quatro milhões, </v>
          </cell>
          <cell r="C875" t="str">
            <v xml:space="preserve">oitocentos e setenta e quatro mil, </v>
          </cell>
          <cell r="D875" t="str">
            <v>oitocentos e setenta e quatro</v>
          </cell>
          <cell r="E875" t="str">
            <v>oitocentos e setenta e quatro centavos</v>
          </cell>
        </row>
        <row r="876">
          <cell r="A876">
            <v>875</v>
          </cell>
          <cell r="B876" t="str">
            <v xml:space="preserve">oitocentos e setenta e cinco milhões, </v>
          </cell>
          <cell r="C876" t="str">
            <v xml:space="preserve">oitocentos e setenta e cinco mil, </v>
          </cell>
          <cell r="D876" t="str">
            <v>oitocentos e setenta e cinco</v>
          </cell>
          <cell r="E876" t="str">
            <v>oitocentos e setenta e cinco centavos</v>
          </cell>
        </row>
        <row r="877">
          <cell r="A877">
            <v>876</v>
          </cell>
          <cell r="B877" t="str">
            <v xml:space="preserve">oitocentos e setenta e seis milhões, </v>
          </cell>
          <cell r="C877" t="str">
            <v xml:space="preserve">oitocentos e setenta e seis mil, </v>
          </cell>
          <cell r="D877" t="str">
            <v>oitocentos e setenta e seis</v>
          </cell>
          <cell r="E877" t="str">
            <v>oitocentos e setenta e seis centavos</v>
          </cell>
        </row>
        <row r="878">
          <cell r="A878">
            <v>877</v>
          </cell>
          <cell r="B878" t="str">
            <v xml:space="preserve">oitocentos e setenta e sete milhões, </v>
          </cell>
          <cell r="C878" t="str">
            <v xml:space="preserve">oitocentos e setenta e sete mil, </v>
          </cell>
          <cell r="D878" t="str">
            <v>oitocentos e setenta e sete</v>
          </cell>
          <cell r="E878" t="str">
            <v>oitocentos e setenta e sete centavos</v>
          </cell>
        </row>
        <row r="879">
          <cell r="A879">
            <v>878</v>
          </cell>
          <cell r="B879" t="str">
            <v xml:space="preserve">oitocentos e setenta e oito milhões, </v>
          </cell>
          <cell r="C879" t="str">
            <v xml:space="preserve">oitocentos e setenta e oito mil, </v>
          </cell>
          <cell r="D879" t="str">
            <v>oitocentos e setenta e oito</v>
          </cell>
          <cell r="E879" t="str">
            <v>oitocentos e setenta e oito centavos</v>
          </cell>
        </row>
        <row r="880">
          <cell r="A880">
            <v>879</v>
          </cell>
          <cell r="B880" t="str">
            <v xml:space="preserve">oitocentos e setenta e nove milhões, </v>
          </cell>
          <cell r="C880" t="str">
            <v xml:space="preserve">oitocentos e setenta e nove mil, </v>
          </cell>
          <cell r="D880" t="str">
            <v>oitocentos e setenta e nove</v>
          </cell>
          <cell r="E880" t="str">
            <v>oitocentos e setenta e nove centavos</v>
          </cell>
        </row>
        <row r="881">
          <cell r="A881">
            <v>880</v>
          </cell>
          <cell r="B881" t="str">
            <v xml:space="preserve">oitocentos e oitenta milhões, </v>
          </cell>
          <cell r="C881" t="str">
            <v xml:space="preserve">oitocentos e oitenta mil, </v>
          </cell>
          <cell r="D881" t="str">
            <v>oitocentos e oitenta</v>
          </cell>
          <cell r="E881" t="str">
            <v>oitocentos e oitenta centavos</v>
          </cell>
        </row>
        <row r="882">
          <cell r="A882">
            <v>881</v>
          </cell>
          <cell r="B882" t="str">
            <v xml:space="preserve">oitocentos e oitenta e um milhões, </v>
          </cell>
          <cell r="C882" t="str">
            <v xml:space="preserve">oitocentos e oitenta e um mil, </v>
          </cell>
          <cell r="D882" t="str">
            <v>oitocentos e oitenta e um</v>
          </cell>
          <cell r="E882" t="str">
            <v>oitocentos e oitenta e um centavos</v>
          </cell>
        </row>
        <row r="883">
          <cell r="A883">
            <v>882</v>
          </cell>
          <cell r="B883" t="str">
            <v xml:space="preserve">oitocentos e oitenta e dois milhões, </v>
          </cell>
          <cell r="C883" t="str">
            <v xml:space="preserve">oitocentos e oitenta e dois mil, </v>
          </cell>
          <cell r="D883" t="str">
            <v>oitocentos e oitenta e dois</v>
          </cell>
          <cell r="E883" t="str">
            <v>oitocentos e oitenta e dois centavos</v>
          </cell>
        </row>
        <row r="884">
          <cell r="A884">
            <v>883</v>
          </cell>
          <cell r="B884" t="str">
            <v xml:space="preserve">oitocentos e oitenta e tres milhões, </v>
          </cell>
          <cell r="C884" t="str">
            <v xml:space="preserve">oitocentos e oitenta e tres mil, </v>
          </cell>
          <cell r="D884" t="str">
            <v>oitocentos e oitenta e tres</v>
          </cell>
          <cell r="E884" t="str">
            <v>oitocentos e oitenta e tres centavos</v>
          </cell>
        </row>
        <row r="885">
          <cell r="A885">
            <v>884</v>
          </cell>
          <cell r="B885" t="str">
            <v xml:space="preserve">oitocentos e oitenta e quatro milhões, </v>
          </cell>
          <cell r="C885" t="str">
            <v xml:space="preserve">oitocentos e oitenta e quatro mil, </v>
          </cell>
          <cell r="D885" t="str">
            <v>oitocentos e oitenta e quatro</v>
          </cell>
          <cell r="E885" t="str">
            <v>oitocentos e oitenta e quatro centavos</v>
          </cell>
        </row>
        <row r="886">
          <cell r="A886">
            <v>885</v>
          </cell>
          <cell r="B886" t="str">
            <v xml:space="preserve">oitocentos e oitenta e cinco milhões, </v>
          </cell>
          <cell r="C886" t="str">
            <v xml:space="preserve">oitocentos e oitenta e cinco mil, </v>
          </cell>
          <cell r="D886" t="str">
            <v>oitocentos e oitenta e cinco</v>
          </cell>
          <cell r="E886" t="str">
            <v>oitocentos e oitenta e cinco centavos</v>
          </cell>
        </row>
        <row r="887">
          <cell r="A887">
            <v>886</v>
          </cell>
          <cell r="B887" t="str">
            <v xml:space="preserve">oitocentos e oitenta e seis milhões, </v>
          </cell>
          <cell r="C887" t="str">
            <v xml:space="preserve">oitocentos e oitenta e seis mil, </v>
          </cell>
          <cell r="D887" t="str">
            <v>oitocentos e oitenta e seis</v>
          </cell>
          <cell r="E887" t="str">
            <v>oitocentos e oitenta e seis centavos</v>
          </cell>
        </row>
        <row r="888">
          <cell r="A888">
            <v>887</v>
          </cell>
          <cell r="B888" t="str">
            <v xml:space="preserve">oitocentos e oitenta e sete milhões, </v>
          </cell>
          <cell r="C888" t="str">
            <v xml:space="preserve">oitocentos e oitenta e sete mil, </v>
          </cell>
          <cell r="D888" t="str">
            <v>oitocentos e oitenta e sete</v>
          </cell>
          <cell r="E888" t="str">
            <v>oitocentos e oitenta e sete centavos</v>
          </cell>
        </row>
        <row r="889">
          <cell r="A889">
            <v>888</v>
          </cell>
          <cell r="B889" t="str">
            <v xml:space="preserve">oitocentos e oitenta e oito milhões, </v>
          </cell>
          <cell r="C889" t="str">
            <v xml:space="preserve">oitocentos e oitenta e oito mil, </v>
          </cell>
          <cell r="D889" t="str">
            <v>oitocentos e oitenta e oito</v>
          </cell>
          <cell r="E889" t="str">
            <v>oitocentos e oitenta e oito centavos</v>
          </cell>
        </row>
        <row r="890">
          <cell r="A890">
            <v>889</v>
          </cell>
          <cell r="B890" t="str">
            <v xml:space="preserve">oitocentos e oitenta e nove milhões, </v>
          </cell>
          <cell r="C890" t="str">
            <v xml:space="preserve">oitocentos e oitenta e nove mil, </v>
          </cell>
          <cell r="D890" t="str">
            <v>oitocentos e oitenta e nove</v>
          </cell>
          <cell r="E890" t="str">
            <v>oitocentos e oitenta e nove centavos</v>
          </cell>
        </row>
        <row r="891">
          <cell r="A891">
            <v>890</v>
          </cell>
          <cell r="B891" t="str">
            <v xml:space="preserve">oitocentos e noventa milhões, </v>
          </cell>
          <cell r="C891" t="str">
            <v xml:space="preserve">oitocentos e noventa mil, </v>
          </cell>
          <cell r="D891" t="str">
            <v>oitocentos e noventa</v>
          </cell>
          <cell r="E891" t="str">
            <v>oitocentos e noventa centavos</v>
          </cell>
        </row>
        <row r="892">
          <cell r="A892">
            <v>891</v>
          </cell>
          <cell r="B892" t="str">
            <v xml:space="preserve">oitocentos e noventa e um milhões, </v>
          </cell>
          <cell r="C892" t="str">
            <v xml:space="preserve">oitocentos e noventa e um mil, </v>
          </cell>
          <cell r="D892" t="str">
            <v>oitocentos e noventa e um</v>
          </cell>
          <cell r="E892" t="str">
            <v>oitocentos e noventa e um centavos</v>
          </cell>
        </row>
        <row r="893">
          <cell r="A893">
            <v>892</v>
          </cell>
          <cell r="B893" t="str">
            <v xml:space="preserve">oitocentos e noventa e dois milhões, </v>
          </cell>
          <cell r="C893" t="str">
            <v xml:space="preserve">oitocentos e noventa e dois mil, </v>
          </cell>
          <cell r="D893" t="str">
            <v>oitocentos e noventa e dois</v>
          </cell>
          <cell r="E893" t="str">
            <v>oitocentos e noventa e dois centavos</v>
          </cell>
        </row>
        <row r="894">
          <cell r="A894">
            <v>893</v>
          </cell>
          <cell r="B894" t="str">
            <v xml:space="preserve">oitocentos e noventa e tres milhões, </v>
          </cell>
          <cell r="C894" t="str">
            <v xml:space="preserve">oitocentos e noventa e tres mil, </v>
          </cell>
          <cell r="D894" t="str">
            <v>oitocentos e noventa e tres</v>
          </cell>
          <cell r="E894" t="str">
            <v>oitocentos e noventa e tres centavos</v>
          </cell>
        </row>
        <row r="895">
          <cell r="A895">
            <v>894</v>
          </cell>
          <cell r="B895" t="str">
            <v xml:space="preserve">oitocentos e noventa e quatro milhões, </v>
          </cell>
          <cell r="C895" t="str">
            <v xml:space="preserve">oitocentos e noventa e quatro mil, </v>
          </cell>
          <cell r="D895" t="str">
            <v>oitocentos e noventa e quatro</v>
          </cell>
          <cell r="E895" t="str">
            <v>oitocentos e noventa e quatro centavos</v>
          </cell>
        </row>
        <row r="896">
          <cell r="A896">
            <v>895</v>
          </cell>
          <cell r="B896" t="str">
            <v xml:space="preserve">oitocentos e noventa e cinco milhões, </v>
          </cell>
          <cell r="C896" t="str">
            <v xml:space="preserve">oitocentos e noventa e cinco mil, </v>
          </cell>
          <cell r="D896" t="str">
            <v>oitocentos e noventa e cinco</v>
          </cell>
          <cell r="E896" t="str">
            <v>oitocentos e noventa e cinco centavos</v>
          </cell>
        </row>
        <row r="897">
          <cell r="A897">
            <v>896</v>
          </cell>
          <cell r="B897" t="str">
            <v xml:space="preserve">oitocentos e noventa e seis milhões, </v>
          </cell>
          <cell r="C897" t="str">
            <v xml:space="preserve">oitocentos e noventa e seis mil, </v>
          </cell>
          <cell r="D897" t="str">
            <v>oitocentos e noventa e seis</v>
          </cell>
          <cell r="E897" t="str">
            <v>oitocentos e noventa e seis centavos</v>
          </cell>
        </row>
        <row r="898">
          <cell r="A898">
            <v>897</v>
          </cell>
          <cell r="B898" t="str">
            <v xml:space="preserve">oitocentos e noventa e sete milhões, </v>
          </cell>
          <cell r="C898" t="str">
            <v xml:space="preserve">oitocentos e noventa e sete mil, </v>
          </cell>
          <cell r="D898" t="str">
            <v>oitocentos e noventa e sete</v>
          </cell>
          <cell r="E898" t="str">
            <v>oitocentos e noventa e sete centavos</v>
          </cell>
        </row>
        <row r="899">
          <cell r="A899">
            <v>898</v>
          </cell>
          <cell r="B899" t="str">
            <v xml:space="preserve">oitocentos e noventa e oito milhões, </v>
          </cell>
          <cell r="C899" t="str">
            <v xml:space="preserve">oitocentos e noventa e oito mil, </v>
          </cell>
          <cell r="D899" t="str">
            <v>oitocentos e noventa e oito</v>
          </cell>
          <cell r="E899" t="str">
            <v>oitocentos e noventa e oito centavos</v>
          </cell>
        </row>
        <row r="900">
          <cell r="A900">
            <v>899</v>
          </cell>
          <cell r="B900" t="str">
            <v xml:space="preserve">oitocentos e noventa e nove milhões, </v>
          </cell>
          <cell r="C900" t="str">
            <v xml:space="preserve">oitocentos e noventa e nove mil, </v>
          </cell>
          <cell r="D900" t="str">
            <v>oitocentos e noventa e nove</v>
          </cell>
          <cell r="E900" t="str">
            <v>oitocentos e noventa e nove centavos</v>
          </cell>
        </row>
        <row r="901">
          <cell r="A901">
            <v>900</v>
          </cell>
          <cell r="B901" t="str">
            <v xml:space="preserve">novecentos milhões, </v>
          </cell>
          <cell r="C901" t="str">
            <v xml:space="preserve">novecentos mil, </v>
          </cell>
          <cell r="D901" t="str">
            <v>novecentos</v>
          </cell>
          <cell r="E901" t="str">
            <v>novecentos centavos</v>
          </cell>
        </row>
        <row r="902">
          <cell r="A902">
            <v>901</v>
          </cell>
          <cell r="B902" t="str">
            <v xml:space="preserve">novecentos e um milhões, </v>
          </cell>
          <cell r="C902" t="str">
            <v xml:space="preserve">novecentos e um mil, </v>
          </cell>
          <cell r="D902" t="str">
            <v>novecentos e um</v>
          </cell>
          <cell r="E902" t="str">
            <v>novecentos e um centavos</v>
          </cell>
        </row>
        <row r="903">
          <cell r="A903">
            <v>902</v>
          </cell>
          <cell r="B903" t="str">
            <v xml:space="preserve">novecentos e dois milhões, </v>
          </cell>
          <cell r="C903" t="str">
            <v xml:space="preserve">novecentos e dois mil, </v>
          </cell>
          <cell r="D903" t="str">
            <v>novecentos e dois</v>
          </cell>
          <cell r="E903" t="str">
            <v>novecentos e dois centavos</v>
          </cell>
        </row>
        <row r="904">
          <cell r="A904">
            <v>903</v>
          </cell>
          <cell r="B904" t="str">
            <v xml:space="preserve">novecentos e tres milhões, </v>
          </cell>
          <cell r="C904" t="str">
            <v xml:space="preserve">novecentos e tres mil, </v>
          </cell>
          <cell r="D904" t="str">
            <v>novecentos e tres</v>
          </cell>
          <cell r="E904" t="str">
            <v>novecentos e tres centavos</v>
          </cell>
        </row>
        <row r="905">
          <cell r="A905">
            <v>904</v>
          </cell>
          <cell r="B905" t="str">
            <v xml:space="preserve">novecentos e quatro milhões, </v>
          </cell>
          <cell r="C905" t="str">
            <v xml:space="preserve">novecentos e quatro mil, </v>
          </cell>
          <cell r="D905" t="str">
            <v>novecentos e quatro</v>
          </cell>
          <cell r="E905" t="str">
            <v>novecentos e quatro centavos</v>
          </cell>
        </row>
        <row r="906">
          <cell r="A906">
            <v>905</v>
          </cell>
          <cell r="B906" t="str">
            <v xml:space="preserve">novecentos e cinco milhões, </v>
          </cell>
          <cell r="C906" t="str">
            <v xml:space="preserve">novecentos e cinco mil, </v>
          </cell>
          <cell r="D906" t="str">
            <v>novecentos e cinco</v>
          </cell>
          <cell r="E906" t="str">
            <v>novecentos e cinco centavos</v>
          </cell>
        </row>
        <row r="907">
          <cell r="A907">
            <v>906</v>
          </cell>
          <cell r="B907" t="str">
            <v xml:space="preserve">novecentos e seis milhões, </v>
          </cell>
          <cell r="C907" t="str">
            <v xml:space="preserve">novecentos e seis mil, </v>
          </cell>
          <cell r="D907" t="str">
            <v>novecentos e seis</v>
          </cell>
          <cell r="E907" t="str">
            <v>novecentos e seis centavos</v>
          </cell>
        </row>
        <row r="908">
          <cell r="A908">
            <v>907</v>
          </cell>
          <cell r="B908" t="str">
            <v xml:space="preserve">novecentos e sete milhões, </v>
          </cell>
          <cell r="C908" t="str">
            <v xml:space="preserve">novecentos e sete mil, </v>
          </cell>
          <cell r="D908" t="str">
            <v>novecentos e sete</v>
          </cell>
          <cell r="E908" t="str">
            <v>novecentos e sete centavos</v>
          </cell>
        </row>
        <row r="909">
          <cell r="A909">
            <v>908</v>
          </cell>
          <cell r="B909" t="str">
            <v xml:space="preserve">novecentos e oito milhões, </v>
          </cell>
          <cell r="C909" t="str">
            <v xml:space="preserve">novecentos e oito mil, </v>
          </cell>
          <cell r="D909" t="str">
            <v>novecentos e oito</v>
          </cell>
          <cell r="E909" t="str">
            <v>novecentos e oito centavos</v>
          </cell>
        </row>
        <row r="910">
          <cell r="A910">
            <v>909</v>
          </cell>
          <cell r="B910" t="str">
            <v xml:space="preserve">novecentos e nove milhões, </v>
          </cell>
          <cell r="C910" t="str">
            <v xml:space="preserve">novecentos e nove mil, </v>
          </cell>
          <cell r="D910" t="str">
            <v>novecentos e nove</v>
          </cell>
          <cell r="E910" t="str">
            <v>novecentos e nove centavos</v>
          </cell>
        </row>
        <row r="911">
          <cell r="A911">
            <v>910</v>
          </cell>
          <cell r="B911" t="str">
            <v xml:space="preserve">novecentos e dez milhões, </v>
          </cell>
          <cell r="C911" t="str">
            <v xml:space="preserve">novecentos e dez mil, </v>
          </cell>
          <cell r="D911" t="str">
            <v>novecentos e dez</v>
          </cell>
          <cell r="E911" t="str">
            <v>novecentos e dez centavos</v>
          </cell>
        </row>
        <row r="912">
          <cell r="A912">
            <v>911</v>
          </cell>
          <cell r="B912" t="str">
            <v xml:space="preserve">novecentos e onze milhões, </v>
          </cell>
          <cell r="C912" t="str">
            <v xml:space="preserve">novecentos e onze mil, </v>
          </cell>
          <cell r="D912" t="str">
            <v>novecentos e onze</v>
          </cell>
          <cell r="E912" t="str">
            <v>novecentos e onze centavos</v>
          </cell>
        </row>
        <row r="913">
          <cell r="A913">
            <v>912</v>
          </cell>
          <cell r="B913" t="str">
            <v xml:space="preserve">novecentos e doze milhões, </v>
          </cell>
          <cell r="C913" t="str">
            <v xml:space="preserve">novecentos e doze mil, </v>
          </cell>
          <cell r="D913" t="str">
            <v>novecentos e doze</v>
          </cell>
          <cell r="E913" t="str">
            <v>novecentos e doze centavos</v>
          </cell>
        </row>
        <row r="914">
          <cell r="A914">
            <v>913</v>
          </cell>
          <cell r="B914" t="str">
            <v xml:space="preserve">novecentos e treze milhões, </v>
          </cell>
          <cell r="C914" t="str">
            <v xml:space="preserve">novecentos e treze mil, </v>
          </cell>
          <cell r="D914" t="str">
            <v>novecentos e treze</v>
          </cell>
          <cell r="E914" t="str">
            <v>novecentos e treze centavos</v>
          </cell>
        </row>
        <row r="915">
          <cell r="A915">
            <v>914</v>
          </cell>
          <cell r="B915" t="str">
            <v xml:space="preserve">novecentos e quatorze milhões, </v>
          </cell>
          <cell r="C915" t="str">
            <v xml:space="preserve">novecentos e quatorze mil, </v>
          </cell>
          <cell r="D915" t="str">
            <v>novecentos e quatorze</v>
          </cell>
          <cell r="E915" t="str">
            <v>novecentos e quatorze centavos</v>
          </cell>
        </row>
        <row r="916">
          <cell r="A916">
            <v>915</v>
          </cell>
          <cell r="B916" t="str">
            <v xml:space="preserve">novecentos e quinze milhões, </v>
          </cell>
          <cell r="C916" t="str">
            <v xml:space="preserve">novecentos e quinze mil, </v>
          </cell>
          <cell r="D916" t="str">
            <v>novecentos e quinze</v>
          </cell>
          <cell r="E916" t="str">
            <v>novecentos e quinze centavos</v>
          </cell>
        </row>
        <row r="917">
          <cell r="A917">
            <v>916</v>
          </cell>
          <cell r="B917" t="str">
            <v xml:space="preserve">novecentos e dezesseis milhões, </v>
          </cell>
          <cell r="C917" t="str">
            <v xml:space="preserve">novecentos e dezesseis mil, </v>
          </cell>
          <cell r="D917" t="str">
            <v>novecentos e dezesseis</v>
          </cell>
          <cell r="E917" t="str">
            <v>novecentos e dezesseis centavos</v>
          </cell>
        </row>
        <row r="918">
          <cell r="A918">
            <v>917</v>
          </cell>
          <cell r="B918" t="str">
            <v xml:space="preserve">novecentos e dezessete milhões, </v>
          </cell>
          <cell r="C918" t="str">
            <v xml:space="preserve">novecentos e dezessete mil, </v>
          </cell>
          <cell r="D918" t="str">
            <v>novecentos e dezessete</v>
          </cell>
          <cell r="E918" t="str">
            <v>novecentos e dezessete centavos</v>
          </cell>
        </row>
        <row r="919">
          <cell r="A919">
            <v>918</v>
          </cell>
          <cell r="B919" t="str">
            <v xml:space="preserve">novecentos e dezoito milhões, </v>
          </cell>
          <cell r="C919" t="str">
            <v xml:space="preserve">novecentos e dezoito mil, </v>
          </cell>
          <cell r="D919" t="str">
            <v>novecentos e dezoito</v>
          </cell>
          <cell r="E919" t="str">
            <v>novecentos e dezoito centavos</v>
          </cell>
        </row>
        <row r="920">
          <cell r="A920">
            <v>919</v>
          </cell>
          <cell r="B920" t="str">
            <v xml:space="preserve">novecentos e dezenove milhões, </v>
          </cell>
          <cell r="C920" t="str">
            <v xml:space="preserve">novecentos e dezenove mil, </v>
          </cell>
          <cell r="D920" t="str">
            <v>novecentos e dezenove</v>
          </cell>
          <cell r="E920" t="str">
            <v>novecentos e dezenove centavos</v>
          </cell>
        </row>
        <row r="921">
          <cell r="A921">
            <v>920</v>
          </cell>
          <cell r="B921" t="str">
            <v xml:space="preserve">novecentos e vinte milhões, </v>
          </cell>
          <cell r="C921" t="str">
            <v xml:space="preserve">novecentos e vinte mil, </v>
          </cell>
          <cell r="D921" t="str">
            <v>novecentos e vinte</v>
          </cell>
          <cell r="E921" t="str">
            <v>novecentos e vinte centavos</v>
          </cell>
        </row>
        <row r="922">
          <cell r="A922">
            <v>921</v>
          </cell>
          <cell r="B922" t="str">
            <v xml:space="preserve">novecentos e vinte e um milhões, </v>
          </cell>
          <cell r="C922" t="str">
            <v xml:space="preserve">novecentos e vinte e um mil, </v>
          </cell>
          <cell r="D922" t="str">
            <v>novecentos e vinte e um</v>
          </cell>
          <cell r="E922" t="str">
            <v>novecentos e vinte e um centavos</v>
          </cell>
        </row>
        <row r="923">
          <cell r="A923">
            <v>922</v>
          </cell>
          <cell r="B923" t="str">
            <v xml:space="preserve">novecentos e vinte e dois milhões, </v>
          </cell>
          <cell r="C923" t="str">
            <v xml:space="preserve">novecentos e vinte e dois mil, </v>
          </cell>
          <cell r="D923" t="str">
            <v>novecentos e vinte e dois</v>
          </cell>
          <cell r="E923" t="str">
            <v>novecentos e vinte e dois centavos</v>
          </cell>
        </row>
        <row r="924">
          <cell r="A924">
            <v>923</v>
          </cell>
          <cell r="B924" t="str">
            <v xml:space="preserve">novecentos e vinte e tres milhões, </v>
          </cell>
          <cell r="C924" t="str">
            <v xml:space="preserve">novecentos e vinte e tres mil, </v>
          </cell>
          <cell r="D924" t="str">
            <v>novecentos e vinte e tres</v>
          </cell>
          <cell r="E924" t="str">
            <v>novecentos e vinte e tres centavos</v>
          </cell>
        </row>
        <row r="925">
          <cell r="A925">
            <v>924</v>
          </cell>
          <cell r="B925" t="str">
            <v xml:space="preserve">novecentos e vinte e quatro milhões, </v>
          </cell>
          <cell r="C925" t="str">
            <v xml:space="preserve">novecentos e vinte e quatro mil, </v>
          </cell>
          <cell r="D925" t="str">
            <v>novecentos e vinte e quatro</v>
          </cell>
          <cell r="E925" t="str">
            <v>novecentos e vinte e quatro centavos</v>
          </cell>
        </row>
        <row r="926">
          <cell r="A926">
            <v>925</v>
          </cell>
          <cell r="B926" t="str">
            <v xml:space="preserve">novecentos e vinte e cinco milhões, </v>
          </cell>
          <cell r="C926" t="str">
            <v xml:space="preserve">novecentos e vinte e cinco mil, </v>
          </cell>
          <cell r="D926" t="str">
            <v>novecentos e vinte e cinco</v>
          </cell>
          <cell r="E926" t="str">
            <v>novecentos e vinte e cinco centavos</v>
          </cell>
        </row>
        <row r="927">
          <cell r="A927">
            <v>926</v>
          </cell>
          <cell r="B927" t="str">
            <v xml:space="preserve">novecentos e vinte e seis milhões, </v>
          </cell>
          <cell r="C927" t="str">
            <v xml:space="preserve">novecentos e vinte e seis mil, </v>
          </cell>
          <cell r="D927" t="str">
            <v>novecentos e vinte e seis</v>
          </cell>
          <cell r="E927" t="str">
            <v>novecentos e vinte e seis centavos</v>
          </cell>
        </row>
        <row r="928">
          <cell r="A928">
            <v>927</v>
          </cell>
          <cell r="B928" t="str">
            <v xml:space="preserve">novecentos e vinte e sete milhões, </v>
          </cell>
          <cell r="C928" t="str">
            <v xml:space="preserve">novecentos e vinte e sete mil, </v>
          </cell>
          <cell r="D928" t="str">
            <v>novecentos e vinte e sete</v>
          </cell>
          <cell r="E928" t="str">
            <v>novecentos e vinte e sete centavos</v>
          </cell>
        </row>
        <row r="929">
          <cell r="A929">
            <v>928</v>
          </cell>
          <cell r="B929" t="str">
            <v xml:space="preserve">novecentos e vinte e oito milhões, </v>
          </cell>
          <cell r="C929" t="str">
            <v xml:space="preserve">novecentos e vinte e oito mil, </v>
          </cell>
          <cell r="D929" t="str">
            <v>novecentos e vinte e oito</v>
          </cell>
          <cell r="E929" t="str">
            <v>novecentos e vinte e oito centavos</v>
          </cell>
        </row>
        <row r="930">
          <cell r="A930">
            <v>929</v>
          </cell>
          <cell r="B930" t="str">
            <v xml:space="preserve">novecentos e vinte e nove milhões, </v>
          </cell>
          <cell r="C930" t="str">
            <v xml:space="preserve">novecentos e vinte e nove mil, </v>
          </cell>
          <cell r="D930" t="str">
            <v>novecentos e vinte e nove</v>
          </cell>
          <cell r="E930" t="str">
            <v>novecentos e vinte e nove centavos</v>
          </cell>
        </row>
        <row r="931">
          <cell r="A931">
            <v>930</v>
          </cell>
          <cell r="B931" t="str">
            <v xml:space="preserve">novecentos e trinta milhões, </v>
          </cell>
          <cell r="C931" t="str">
            <v xml:space="preserve">novecentos e trinta mil, </v>
          </cell>
          <cell r="D931" t="str">
            <v>novecentos e trinta</v>
          </cell>
          <cell r="E931" t="str">
            <v>novecentos e trinta centavos</v>
          </cell>
        </row>
        <row r="932">
          <cell r="A932">
            <v>931</v>
          </cell>
          <cell r="B932" t="str">
            <v xml:space="preserve">novecentos e trinta e um milhões, </v>
          </cell>
          <cell r="C932" t="str">
            <v xml:space="preserve">novecentos e trinta e um mil, </v>
          </cell>
          <cell r="D932" t="str">
            <v>novecentos e trinta e um</v>
          </cell>
          <cell r="E932" t="str">
            <v>novecentos e trinta e um centavos</v>
          </cell>
        </row>
        <row r="933">
          <cell r="A933">
            <v>932</v>
          </cell>
          <cell r="B933" t="str">
            <v xml:space="preserve">novecentos e trinta e dois milhões, </v>
          </cell>
          <cell r="C933" t="str">
            <v xml:space="preserve">novecentos e trinta e dois mil, </v>
          </cell>
          <cell r="D933" t="str">
            <v>novecentos e trinta e dois</v>
          </cell>
          <cell r="E933" t="str">
            <v>novecentos e trinta e dois centavos</v>
          </cell>
        </row>
        <row r="934">
          <cell r="A934">
            <v>933</v>
          </cell>
          <cell r="B934" t="str">
            <v xml:space="preserve">novecentos e trinta e tres milhões, </v>
          </cell>
          <cell r="C934" t="str">
            <v xml:space="preserve">novecentos e trinta e tres mil, </v>
          </cell>
          <cell r="D934" t="str">
            <v>novecentos e trinta e tres</v>
          </cell>
          <cell r="E934" t="str">
            <v>novecentos e trinta e tres centavos</v>
          </cell>
        </row>
        <row r="935">
          <cell r="A935">
            <v>934</v>
          </cell>
          <cell r="B935" t="str">
            <v xml:space="preserve">novecentos e trinta e quatro milhões, </v>
          </cell>
          <cell r="C935" t="str">
            <v xml:space="preserve">novecentos e trinta e quatro mil, </v>
          </cell>
          <cell r="D935" t="str">
            <v>novecentos e trinta e quatro</v>
          </cell>
          <cell r="E935" t="str">
            <v>novecentos e trinta e quatro centavos</v>
          </cell>
        </row>
        <row r="936">
          <cell r="A936">
            <v>935</v>
          </cell>
          <cell r="B936" t="str">
            <v xml:space="preserve">novecentos e trinta e cinco milhões, </v>
          </cell>
          <cell r="C936" t="str">
            <v xml:space="preserve">novecentos e trinta e cinco mil, </v>
          </cell>
          <cell r="D936" t="str">
            <v>novecentos e trinta e cinco</v>
          </cell>
          <cell r="E936" t="str">
            <v>novecentos e trinta e cinco centavos</v>
          </cell>
        </row>
        <row r="937">
          <cell r="A937">
            <v>936</v>
          </cell>
          <cell r="B937" t="str">
            <v xml:space="preserve">novecentos e trinta e seis milhões, </v>
          </cell>
          <cell r="C937" t="str">
            <v xml:space="preserve">novecentos e trinta e seis mil, </v>
          </cell>
          <cell r="D937" t="str">
            <v>novecentos e trinta e seis</v>
          </cell>
          <cell r="E937" t="str">
            <v>novecentos e trinta e seis centavos</v>
          </cell>
        </row>
        <row r="938">
          <cell r="A938">
            <v>937</v>
          </cell>
          <cell r="B938" t="str">
            <v xml:space="preserve">novecentos e trinta e sete milhões, </v>
          </cell>
          <cell r="C938" t="str">
            <v xml:space="preserve">novecentos e trinta e sete mil, </v>
          </cell>
          <cell r="D938" t="str">
            <v>novecentos e trinta e sete</v>
          </cell>
          <cell r="E938" t="str">
            <v>novecentos e trinta e sete centavos</v>
          </cell>
        </row>
        <row r="939">
          <cell r="A939">
            <v>938</v>
          </cell>
          <cell r="B939" t="str">
            <v xml:space="preserve">novecentos e trinta e oito milhões, </v>
          </cell>
          <cell r="C939" t="str">
            <v xml:space="preserve">novecentos e trinta e oito mil, </v>
          </cell>
          <cell r="D939" t="str">
            <v>novecentos e trinta e oito</v>
          </cell>
          <cell r="E939" t="str">
            <v>novecentos e trinta e oito centavos</v>
          </cell>
        </row>
        <row r="940">
          <cell r="A940">
            <v>939</v>
          </cell>
          <cell r="B940" t="str">
            <v xml:space="preserve">novecentos e trinta e nove milhões, </v>
          </cell>
          <cell r="C940" t="str">
            <v xml:space="preserve">novecentos e trinta e nove mil, </v>
          </cell>
          <cell r="D940" t="str">
            <v>novecentos e trinta e nove</v>
          </cell>
          <cell r="E940" t="str">
            <v>novecentos e trinta e nove centavos</v>
          </cell>
        </row>
        <row r="941">
          <cell r="A941">
            <v>940</v>
          </cell>
          <cell r="B941" t="str">
            <v xml:space="preserve">novecentos e quarenta milhões, </v>
          </cell>
          <cell r="C941" t="str">
            <v xml:space="preserve">novecentos e quarenta mil, </v>
          </cell>
          <cell r="D941" t="str">
            <v>novecentos e quarenta</v>
          </cell>
          <cell r="E941" t="str">
            <v>novecentos e quarenta centavos</v>
          </cell>
        </row>
        <row r="942">
          <cell r="A942">
            <v>941</v>
          </cell>
          <cell r="B942" t="str">
            <v xml:space="preserve">novecentos e quarenta e um milhões, </v>
          </cell>
          <cell r="C942" t="str">
            <v xml:space="preserve">novecentos e quarenta e um mil, </v>
          </cell>
          <cell r="D942" t="str">
            <v>novecentos e quarenta e um</v>
          </cell>
          <cell r="E942" t="str">
            <v>novecentos e quarenta e um centavos</v>
          </cell>
        </row>
        <row r="943">
          <cell r="A943">
            <v>942</v>
          </cell>
          <cell r="B943" t="str">
            <v xml:space="preserve">novecentos e quarenta e dois milhões, </v>
          </cell>
          <cell r="C943" t="str">
            <v xml:space="preserve">novecentos e quarenta e dois mil, </v>
          </cell>
          <cell r="D943" t="str">
            <v>novecentos e quarenta e dois</v>
          </cell>
          <cell r="E943" t="str">
            <v>novecentos e quarenta e dois centavos</v>
          </cell>
        </row>
        <row r="944">
          <cell r="A944">
            <v>943</v>
          </cell>
          <cell r="B944" t="str">
            <v xml:space="preserve">novecentos e quarenta e tres milhões, </v>
          </cell>
          <cell r="C944" t="str">
            <v xml:space="preserve">novecentos e quarenta e tres mil, </v>
          </cell>
          <cell r="D944" t="str">
            <v>novecentos e quarenta e tres</v>
          </cell>
          <cell r="E944" t="str">
            <v>novecentos e quarenta e tres centavos</v>
          </cell>
        </row>
        <row r="945">
          <cell r="A945">
            <v>944</v>
          </cell>
          <cell r="B945" t="str">
            <v xml:space="preserve">novecentos e quarenta e quatro milhões, </v>
          </cell>
          <cell r="C945" t="str">
            <v xml:space="preserve">novecentos e quarenta e quatro mil, </v>
          </cell>
          <cell r="D945" t="str">
            <v>novecentos e quarenta e quatro</v>
          </cell>
          <cell r="E945" t="str">
            <v>novecentos e quarenta e quatro centavos</v>
          </cell>
        </row>
        <row r="946">
          <cell r="A946">
            <v>945</v>
          </cell>
          <cell r="B946" t="str">
            <v xml:space="preserve">novecentos e quarenta e cinco milhões, </v>
          </cell>
          <cell r="C946" t="str">
            <v xml:space="preserve">novecentos e quarenta e cinco mil, </v>
          </cell>
          <cell r="D946" t="str">
            <v>novecentos e quarenta e cinco</v>
          </cell>
          <cell r="E946" t="str">
            <v>novecentos e quarenta e cinco centavos</v>
          </cell>
        </row>
        <row r="947">
          <cell r="A947">
            <v>946</v>
          </cell>
          <cell r="B947" t="str">
            <v xml:space="preserve">novecentos e quarenta e seis milhões, </v>
          </cell>
          <cell r="C947" t="str">
            <v xml:space="preserve">novecentos e quarenta e seis mil, </v>
          </cell>
          <cell r="D947" t="str">
            <v>novecentos e quarenta e seis</v>
          </cell>
          <cell r="E947" t="str">
            <v>novecentos e quarenta e seis centavos</v>
          </cell>
        </row>
        <row r="948">
          <cell r="A948">
            <v>947</v>
          </cell>
          <cell r="B948" t="str">
            <v xml:space="preserve">novecentos e quarenta e sete milhões, </v>
          </cell>
          <cell r="C948" t="str">
            <v xml:space="preserve">novecentos e quarenta e sete mil, </v>
          </cell>
          <cell r="D948" t="str">
            <v>novecentos e quarenta e sete</v>
          </cell>
          <cell r="E948" t="str">
            <v>novecentos e quarenta e sete centavos</v>
          </cell>
        </row>
        <row r="949">
          <cell r="A949">
            <v>948</v>
          </cell>
          <cell r="B949" t="str">
            <v xml:space="preserve">novecentos e quarenta e oito milhões, </v>
          </cell>
          <cell r="C949" t="str">
            <v xml:space="preserve">novecentos e quarenta e oito mil, </v>
          </cell>
          <cell r="D949" t="str">
            <v>novecentos e quarenta e oito</v>
          </cell>
          <cell r="E949" t="str">
            <v>novecentos e quarenta e oito centavos</v>
          </cell>
        </row>
        <row r="950">
          <cell r="A950">
            <v>949</v>
          </cell>
          <cell r="B950" t="str">
            <v xml:space="preserve">novecentos e quarenta e nove milhões, </v>
          </cell>
          <cell r="C950" t="str">
            <v xml:space="preserve">novecentos e quarenta e nove mil, </v>
          </cell>
          <cell r="D950" t="str">
            <v>novecentos e quarenta e nove</v>
          </cell>
          <cell r="E950" t="str">
            <v>novecentos e quarenta e nove centavos</v>
          </cell>
        </row>
        <row r="951">
          <cell r="A951">
            <v>950</v>
          </cell>
          <cell r="B951" t="str">
            <v xml:space="preserve">novecentos e cinquenta milhões, </v>
          </cell>
          <cell r="C951" t="str">
            <v xml:space="preserve">novecentos e cinquenta mil, </v>
          </cell>
          <cell r="D951" t="str">
            <v>novecentos e cinquenta</v>
          </cell>
          <cell r="E951" t="str">
            <v>novecentos e cinquenta centavos</v>
          </cell>
        </row>
        <row r="952">
          <cell r="A952">
            <v>951</v>
          </cell>
          <cell r="B952" t="str">
            <v xml:space="preserve">novecentos e cinquenta e um milhões, </v>
          </cell>
          <cell r="C952" t="str">
            <v xml:space="preserve">novecentos e cinquenta e um mil, </v>
          </cell>
          <cell r="D952" t="str">
            <v>novecentos e cinquenta e um</v>
          </cell>
          <cell r="E952" t="str">
            <v>novecentos e cinquenta e um centavos</v>
          </cell>
        </row>
        <row r="953">
          <cell r="A953">
            <v>952</v>
          </cell>
          <cell r="B953" t="str">
            <v xml:space="preserve">novecentos e cinquenta e dois milhões, </v>
          </cell>
          <cell r="C953" t="str">
            <v xml:space="preserve">novecentos e cinquenta e dois mil, </v>
          </cell>
          <cell r="D953" t="str">
            <v>novecentos e cinquenta e dois</v>
          </cell>
          <cell r="E953" t="str">
            <v>novecentos e cinquenta e dois centavos</v>
          </cell>
        </row>
        <row r="954">
          <cell r="A954">
            <v>953</v>
          </cell>
          <cell r="B954" t="str">
            <v xml:space="preserve">novecentos e cinquenta e tres milhões, </v>
          </cell>
          <cell r="C954" t="str">
            <v xml:space="preserve">novecentos e cinquenta e tres mil, </v>
          </cell>
          <cell r="D954" t="str">
            <v>novecentos e cinquenta e tres</v>
          </cell>
          <cell r="E954" t="str">
            <v>novecentos e cinquenta e tres centavos</v>
          </cell>
        </row>
        <row r="955">
          <cell r="A955">
            <v>954</v>
          </cell>
          <cell r="B955" t="str">
            <v xml:space="preserve">novecentos e cinquenta e quatro milhões, </v>
          </cell>
          <cell r="C955" t="str">
            <v xml:space="preserve">novecentos e cinquenta e quatro mil, </v>
          </cell>
          <cell r="D955" t="str">
            <v>novecentos e cinquenta e quatro</v>
          </cell>
          <cell r="E955" t="str">
            <v>novecentos e cinquenta e quatro centavos</v>
          </cell>
        </row>
        <row r="956">
          <cell r="A956">
            <v>955</v>
          </cell>
          <cell r="B956" t="str">
            <v xml:space="preserve">novecentos e cinquenta e cinco milhões, </v>
          </cell>
          <cell r="C956" t="str">
            <v xml:space="preserve">novecentos e cinquenta e cinco mil, </v>
          </cell>
          <cell r="D956" t="str">
            <v>novecentos e cinquenta e cinco</v>
          </cell>
          <cell r="E956" t="str">
            <v>novecentos e cinquenta e cinco centavos</v>
          </cell>
        </row>
        <row r="957">
          <cell r="A957">
            <v>956</v>
          </cell>
          <cell r="B957" t="str">
            <v xml:space="preserve">novecentos e cinquenta e seis milhões, </v>
          </cell>
          <cell r="C957" t="str">
            <v xml:space="preserve">novecentos e cinquenta e seis mil, </v>
          </cell>
          <cell r="D957" t="str">
            <v>novecentos e cinquenta e seis</v>
          </cell>
          <cell r="E957" t="str">
            <v>novecentos e cinquenta e seis centavos</v>
          </cell>
        </row>
        <row r="958">
          <cell r="A958">
            <v>957</v>
          </cell>
          <cell r="B958" t="str">
            <v xml:space="preserve">novecentos e cinquenta e sete milhões, </v>
          </cell>
          <cell r="C958" t="str">
            <v xml:space="preserve">novecentos e cinquenta e sete mil, </v>
          </cell>
          <cell r="D958" t="str">
            <v>novecentos e cinquenta e sete</v>
          </cell>
          <cell r="E958" t="str">
            <v>novecentos e cinquenta e sete centavos</v>
          </cell>
        </row>
        <row r="959">
          <cell r="A959">
            <v>958</v>
          </cell>
          <cell r="B959" t="str">
            <v xml:space="preserve">novecentos e cinquenta e oito milhões, </v>
          </cell>
          <cell r="C959" t="str">
            <v xml:space="preserve">novecentos e cinquenta e oito mil, </v>
          </cell>
          <cell r="D959" t="str">
            <v>novecentos e cinquenta e oito</v>
          </cell>
          <cell r="E959" t="str">
            <v>novecentos e cinquenta e oito centavos</v>
          </cell>
        </row>
        <row r="960">
          <cell r="A960">
            <v>959</v>
          </cell>
          <cell r="B960" t="str">
            <v xml:space="preserve">novecentos e cinquenta e nove milhões, </v>
          </cell>
          <cell r="C960" t="str">
            <v xml:space="preserve">novecentos e cinquenta e nove mil, </v>
          </cell>
          <cell r="D960" t="str">
            <v>novecentos e cinquenta e nove</v>
          </cell>
          <cell r="E960" t="str">
            <v>novecentos e cinquenta e nove centavos</v>
          </cell>
        </row>
        <row r="961">
          <cell r="A961">
            <v>960</v>
          </cell>
          <cell r="B961" t="str">
            <v xml:space="preserve">novecentos e sessenta milhões, </v>
          </cell>
          <cell r="C961" t="str">
            <v xml:space="preserve">novecentos e sessenta mil, </v>
          </cell>
          <cell r="D961" t="str">
            <v>novecentos e sessenta</v>
          </cell>
          <cell r="E961" t="str">
            <v>novecentos e sessenta centavos</v>
          </cell>
        </row>
        <row r="962">
          <cell r="A962">
            <v>961</v>
          </cell>
          <cell r="B962" t="str">
            <v xml:space="preserve">novecentos e sessenta e um milhões, </v>
          </cell>
          <cell r="C962" t="str">
            <v xml:space="preserve">novecentos e sessenta e um mil, </v>
          </cell>
          <cell r="D962" t="str">
            <v>novecentos e sessenta e um</v>
          </cell>
          <cell r="E962" t="str">
            <v>novecentos e sessenta e um centavos</v>
          </cell>
        </row>
        <row r="963">
          <cell r="A963">
            <v>962</v>
          </cell>
          <cell r="B963" t="str">
            <v xml:space="preserve">novecentos e sessenta e dois milhões, </v>
          </cell>
          <cell r="C963" t="str">
            <v xml:space="preserve">novecentos e sessenta e dois mil, </v>
          </cell>
          <cell r="D963" t="str">
            <v>novecentos e sessenta e dois</v>
          </cell>
          <cell r="E963" t="str">
            <v>novecentos e sessenta e dois centavos</v>
          </cell>
        </row>
        <row r="964">
          <cell r="A964">
            <v>963</v>
          </cell>
          <cell r="B964" t="str">
            <v xml:space="preserve">novecentos e sessenta e tres milhões, </v>
          </cell>
          <cell r="C964" t="str">
            <v xml:space="preserve">novecentos e sessenta e tres mil, </v>
          </cell>
          <cell r="D964" t="str">
            <v>novecentos e sessenta e tres</v>
          </cell>
          <cell r="E964" t="str">
            <v>novecentos e sessenta e tres centavos</v>
          </cell>
        </row>
        <row r="965">
          <cell r="A965">
            <v>964</v>
          </cell>
          <cell r="B965" t="str">
            <v xml:space="preserve">novecentos e sessenta e quatro milhões, </v>
          </cell>
          <cell r="C965" t="str">
            <v xml:space="preserve">novecentos e sessenta e quatro mil, </v>
          </cell>
          <cell r="D965" t="str">
            <v>novecentos e sessenta e quatro</v>
          </cell>
          <cell r="E965" t="str">
            <v>novecentos e sessenta e quatro centavos</v>
          </cell>
        </row>
        <row r="966">
          <cell r="A966">
            <v>965</v>
          </cell>
          <cell r="B966" t="str">
            <v xml:space="preserve">novecentos e sessenta e cinco milhões, </v>
          </cell>
          <cell r="C966" t="str">
            <v xml:space="preserve">novecentos e sessenta e cinco mil, </v>
          </cell>
          <cell r="D966" t="str">
            <v>novecentos e sessenta e cinco</v>
          </cell>
          <cell r="E966" t="str">
            <v>novecentos e sessenta e cinco centavos</v>
          </cell>
        </row>
        <row r="967">
          <cell r="A967">
            <v>966</v>
          </cell>
          <cell r="B967" t="str">
            <v xml:space="preserve">novecentos e sessenta e seis milhões, </v>
          </cell>
          <cell r="C967" t="str">
            <v xml:space="preserve">novecentos e sessenta e seis mil, </v>
          </cell>
          <cell r="D967" t="str">
            <v>novecentos e sessenta e seis</v>
          </cell>
          <cell r="E967" t="str">
            <v>novecentos e sessenta e seis centavos</v>
          </cell>
        </row>
        <row r="968">
          <cell r="A968">
            <v>967</v>
          </cell>
          <cell r="B968" t="str">
            <v xml:space="preserve">novecentos e sessenta e sete milhões, </v>
          </cell>
          <cell r="C968" t="str">
            <v xml:space="preserve">novecentos e sessenta e sete mil, </v>
          </cell>
          <cell r="D968" t="str">
            <v>novecentos e sessenta e sete</v>
          </cell>
          <cell r="E968" t="str">
            <v>novecentos e sessenta e sete centavos</v>
          </cell>
        </row>
        <row r="969">
          <cell r="A969">
            <v>968</v>
          </cell>
          <cell r="B969" t="str">
            <v xml:space="preserve">novecentos e sessenta e oito milhões, </v>
          </cell>
          <cell r="C969" t="str">
            <v xml:space="preserve">novecentos e sessenta e oito mil, </v>
          </cell>
          <cell r="D969" t="str">
            <v>novecentos e sessenta e oito</v>
          </cell>
          <cell r="E969" t="str">
            <v>novecentos e sessenta e oito centavos</v>
          </cell>
        </row>
        <row r="970">
          <cell r="A970">
            <v>969</v>
          </cell>
          <cell r="B970" t="str">
            <v xml:space="preserve">novecentos e sessenta e nove milhões, </v>
          </cell>
          <cell r="C970" t="str">
            <v xml:space="preserve">novecentos e sessenta e nove mil, </v>
          </cell>
          <cell r="D970" t="str">
            <v>novecentos e sessenta e nove</v>
          </cell>
          <cell r="E970" t="str">
            <v>novecentos e sessenta e nove centavos</v>
          </cell>
        </row>
        <row r="971">
          <cell r="A971">
            <v>970</v>
          </cell>
          <cell r="B971" t="str">
            <v xml:space="preserve">novecentos e setenta milhões, </v>
          </cell>
          <cell r="C971" t="str">
            <v xml:space="preserve">novecentos e setenta mil, </v>
          </cell>
          <cell r="D971" t="str">
            <v>novecentos e setenta</v>
          </cell>
          <cell r="E971" t="str">
            <v>novecentos e setenta centavos</v>
          </cell>
        </row>
        <row r="972">
          <cell r="A972">
            <v>971</v>
          </cell>
          <cell r="B972" t="str">
            <v xml:space="preserve">novecentos e setenta e um milhões, </v>
          </cell>
          <cell r="C972" t="str">
            <v xml:space="preserve">novecentos e setenta e um mil, </v>
          </cell>
          <cell r="D972" t="str">
            <v>novecentos e setenta e um</v>
          </cell>
          <cell r="E972" t="str">
            <v>novecentos e setenta e um centavos</v>
          </cell>
        </row>
        <row r="973">
          <cell r="A973">
            <v>972</v>
          </cell>
          <cell r="B973" t="str">
            <v xml:space="preserve">novecentos e setenta e dois milhões, </v>
          </cell>
          <cell r="C973" t="str">
            <v xml:space="preserve">novecentos e setenta e dois mil, </v>
          </cell>
          <cell r="D973" t="str">
            <v>novecentos e setenta e dois</v>
          </cell>
          <cell r="E973" t="str">
            <v>novecentos e setenta e dois centavos</v>
          </cell>
        </row>
        <row r="974">
          <cell r="A974">
            <v>973</v>
          </cell>
          <cell r="B974" t="str">
            <v xml:space="preserve">novecentos e setenta e tres milhões, </v>
          </cell>
          <cell r="C974" t="str">
            <v xml:space="preserve">novecentos e setenta e tres mil, </v>
          </cell>
          <cell r="D974" t="str">
            <v>novecentos e setenta e tres</v>
          </cell>
          <cell r="E974" t="str">
            <v>novecentos e setenta e tres centavos</v>
          </cell>
        </row>
        <row r="975">
          <cell r="A975">
            <v>974</v>
          </cell>
          <cell r="B975" t="str">
            <v xml:space="preserve">novecentos e setenta e quatro milhões, </v>
          </cell>
          <cell r="C975" t="str">
            <v xml:space="preserve">novecentos e setenta e quatro mil, </v>
          </cell>
          <cell r="D975" t="str">
            <v>novecentos e setenta e quatro</v>
          </cell>
          <cell r="E975" t="str">
            <v>novecentos e setenta e quatro centavos</v>
          </cell>
        </row>
        <row r="976">
          <cell r="A976">
            <v>975</v>
          </cell>
          <cell r="B976" t="str">
            <v xml:space="preserve">novecentos e setenta e cinco milhões, </v>
          </cell>
          <cell r="C976" t="str">
            <v xml:space="preserve">novecentos e setenta e cinco mil, </v>
          </cell>
          <cell r="D976" t="str">
            <v>novecentos e setenta e cinco</v>
          </cell>
          <cell r="E976" t="str">
            <v>novecentos e setenta e cinco centavos</v>
          </cell>
        </row>
        <row r="977">
          <cell r="A977">
            <v>976</v>
          </cell>
          <cell r="B977" t="str">
            <v xml:space="preserve">novecentos e setenta e seis milhões, </v>
          </cell>
          <cell r="C977" t="str">
            <v xml:space="preserve">novecentos e setenta e seis mil, </v>
          </cell>
          <cell r="D977" t="str">
            <v>novecentos e setenta e seis</v>
          </cell>
          <cell r="E977" t="str">
            <v>novecentos e setenta e seis centavos</v>
          </cell>
        </row>
        <row r="978">
          <cell r="A978">
            <v>977</v>
          </cell>
          <cell r="B978" t="str">
            <v xml:space="preserve">novecentos e setenta e sete milhões, </v>
          </cell>
          <cell r="C978" t="str">
            <v xml:space="preserve">novecentos e setenta e sete mil, </v>
          </cell>
          <cell r="D978" t="str">
            <v>novecentos e setenta e sete</v>
          </cell>
          <cell r="E978" t="str">
            <v>novecentos e setenta e sete centavos</v>
          </cell>
        </row>
        <row r="979">
          <cell r="A979">
            <v>978</v>
          </cell>
          <cell r="B979" t="str">
            <v xml:space="preserve">novecentos e setenta e oito milhões, </v>
          </cell>
          <cell r="C979" t="str">
            <v xml:space="preserve">novecentos e setenta e oito mil, </v>
          </cell>
          <cell r="D979" t="str">
            <v>novecentos e setenta e oito</v>
          </cell>
          <cell r="E979" t="str">
            <v>novecentos e setenta e oito centavos</v>
          </cell>
        </row>
        <row r="980">
          <cell r="A980">
            <v>979</v>
          </cell>
          <cell r="B980" t="str">
            <v xml:space="preserve">novecentos e setenta e nove milhões, </v>
          </cell>
          <cell r="C980" t="str">
            <v xml:space="preserve">novecentos e setenta e nove mil, </v>
          </cell>
          <cell r="D980" t="str">
            <v>novecentos e setenta e nove</v>
          </cell>
          <cell r="E980" t="str">
            <v>novecentos e setenta e nove centavos</v>
          </cell>
        </row>
        <row r="981">
          <cell r="A981">
            <v>980</v>
          </cell>
          <cell r="B981" t="str">
            <v xml:space="preserve">novecentos e oitenta milhões, </v>
          </cell>
          <cell r="C981" t="str">
            <v xml:space="preserve">novecentos e oitenta mil, </v>
          </cell>
          <cell r="D981" t="str">
            <v>novecentos e oitenta</v>
          </cell>
          <cell r="E981" t="str">
            <v>novecentos e oitenta centavos</v>
          </cell>
        </row>
        <row r="982">
          <cell r="A982">
            <v>981</v>
          </cell>
          <cell r="B982" t="str">
            <v xml:space="preserve">novecentos e oitenta e um milhões, </v>
          </cell>
          <cell r="C982" t="str">
            <v xml:space="preserve">novecentos e oitenta e um mil, </v>
          </cell>
          <cell r="D982" t="str">
            <v>novecentos e oitenta e um</v>
          </cell>
          <cell r="E982" t="str">
            <v>novecentos e oitenta e um centavos</v>
          </cell>
        </row>
        <row r="983">
          <cell r="A983">
            <v>982</v>
          </cell>
          <cell r="B983" t="str">
            <v xml:space="preserve">novecentos e oitenta e dois milhões, </v>
          </cell>
          <cell r="C983" t="str">
            <v xml:space="preserve">novecentos e oitenta e dois mil, </v>
          </cell>
          <cell r="D983" t="str">
            <v>novecentos e oitenta e dois</v>
          </cell>
          <cell r="E983" t="str">
            <v>novecentos e oitenta e dois centavos</v>
          </cell>
        </row>
        <row r="984">
          <cell r="A984">
            <v>983</v>
          </cell>
          <cell r="B984" t="str">
            <v xml:space="preserve">novecentos e oitenta e tres milhões, </v>
          </cell>
          <cell r="C984" t="str">
            <v xml:space="preserve">novecentos e oitenta e tres mil, </v>
          </cell>
          <cell r="D984" t="str">
            <v>novecentos e oitenta e tres</v>
          </cell>
          <cell r="E984" t="str">
            <v>novecentos e oitenta e tres centavos</v>
          </cell>
        </row>
        <row r="985">
          <cell r="A985">
            <v>984</v>
          </cell>
          <cell r="B985" t="str">
            <v xml:space="preserve">novecentos e oitenta e quatro milhões, </v>
          </cell>
          <cell r="C985" t="str">
            <v xml:space="preserve">novecentos e oitenta e quatro mil, </v>
          </cell>
          <cell r="D985" t="str">
            <v>novecentos e oitenta e quatro</v>
          </cell>
          <cell r="E985" t="str">
            <v>novecentos e oitenta e quatro centavos</v>
          </cell>
        </row>
        <row r="986">
          <cell r="A986">
            <v>985</v>
          </cell>
          <cell r="B986" t="str">
            <v xml:space="preserve">novecentos e oitenta e cinco milhões, </v>
          </cell>
          <cell r="C986" t="str">
            <v xml:space="preserve">novecentos e oitenta e cinco mil, </v>
          </cell>
          <cell r="D986" t="str">
            <v>novecentos e oitenta e cinco</v>
          </cell>
          <cell r="E986" t="str">
            <v>novecentos e oitenta e cinco centavos</v>
          </cell>
        </row>
        <row r="987">
          <cell r="A987">
            <v>986</v>
          </cell>
          <cell r="B987" t="str">
            <v xml:space="preserve">novecentos e oitenta e seis milhões, </v>
          </cell>
          <cell r="C987" t="str">
            <v xml:space="preserve">novecentos e oitenta e seis mil, </v>
          </cell>
          <cell r="D987" t="str">
            <v>novecentos e oitenta e seis</v>
          </cell>
          <cell r="E987" t="str">
            <v>novecentos e oitenta e seis centavos</v>
          </cell>
        </row>
        <row r="988">
          <cell r="A988">
            <v>987</v>
          </cell>
          <cell r="B988" t="str">
            <v xml:space="preserve">novecentos e oitenta e sete milhões, </v>
          </cell>
          <cell r="C988" t="str">
            <v xml:space="preserve">novecentos e oitenta e sete mil, </v>
          </cell>
          <cell r="D988" t="str">
            <v>novecentos e oitenta e sete</v>
          </cell>
          <cell r="E988" t="str">
            <v>novecentos e oitenta e sete centavos</v>
          </cell>
        </row>
        <row r="989">
          <cell r="A989">
            <v>988</v>
          </cell>
          <cell r="B989" t="str">
            <v xml:space="preserve">novecentos e oitenta e oito milhões, </v>
          </cell>
          <cell r="C989" t="str">
            <v xml:space="preserve">novecentos e oitenta e oito mil, </v>
          </cell>
          <cell r="D989" t="str">
            <v>novecentos e oitenta e oito</v>
          </cell>
          <cell r="E989" t="str">
            <v>novecentos e oitenta e oito centavos</v>
          </cell>
        </row>
        <row r="990">
          <cell r="A990">
            <v>989</v>
          </cell>
          <cell r="B990" t="str">
            <v xml:space="preserve">novecentos e oitenta e nove milhões, </v>
          </cell>
          <cell r="C990" t="str">
            <v xml:space="preserve">novecentos e oitenta e nove mil, </v>
          </cell>
          <cell r="D990" t="str">
            <v>novecentos e oitenta e nove</v>
          </cell>
          <cell r="E990" t="str">
            <v>novecentos e oitenta e nove centavos</v>
          </cell>
        </row>
        <row r="991">
          <cell r="A991">
            <v>990</v>
          </cell>
          <cell r="B991" t="str">
            <v xml:space="preserve">novecentos e noventa milhões, </v>
          </cell>
          <cell r="C991" t="str">
            <v xml:space="preserve">novecentos e noventa mil, </v>
          </cell>
          <cell r="D991" t="str">
            <v>novecentos e noventa</v>
          </cell>
          <cell r="E991" t="str">
            <v>novecentos e noventa centavos</v>
          </cell>
        </row>
        <row r="992">
          <cell r="A992">
            <v>991</v>
          </cell>
          <cell r="B992" t="str">
            <v xml:space="preserve">novecentos e noventa e um milhões, </v>
          </cell>
          <cell r="C992" t="str">
            <v xml:space="preserve">novecentos e noventa e um mil, </v>
          </cell>
          <cell r="D992" t="str">
            <v>novecentos e noventa e um</v>
          </cell>
          <cell r="E992" t="str">
            <v>novecentos e noventa e um centavos</v>
          </cell>
        </row>
        <row r="993">
          <cell r="A993">
            <v>992</v>
          </cell>
          <cell r="B993" t="str">
            <v xml:space="preserve">novecentos e noventa e dois milhões, </v>
          </cell>
          <cell r="C993" t="str">
            <v xml:space="preserve">novecentos e noventa e dois mil, </v>
          </cell>
          <cell r="D993" t="str">
            <v>novecentos e noventa e dois</v>
          </cell>
          <cell r="E993" t="str">
            <v>novecentos e noventa e dois centavos</v>
          </cell>
        </row>
        <row r="994">
          <cell r="A994">
            <v>993</v>
          </cell>
          <cell r="B994" t="str">
            <v xml:space="preserve">novecentos e noventa e tres milhões, </v>
          </cell>
          <cell r="C994" t="str">
            <v xml:space="preserve">novecentos e noventa e tres mil, </v>
          </cell>
          <cell r="D994" t="str">
            <v>novecentos e noventa e tres</v>
          </cell>
          <cell r="E994" t="str">
            <v>novecentos e noventa e tres centavos</v>
          </cell>
        </row>
        <row r="995">
          <cell r="A995">
            <v>994</v>
          </cell>
          <cell r="B995" t="str">
            <v xml:space="preserve">novecentos e noventa e quatro milhões, </v>
          </cell>
          <cell r="C995" t="str">
            <v xml:space="preserve">novecentos e noventa e quatro mil, </v>
          </cell>
          <cell r="D995" t="str">
            <v>novecentos e noventa e quatro</v>
          </cell>
          <cell r="E995" t="str">
            <v>novecentos e noventa e quatro centavos</v>
          </cell>
        </row>
        <row r="996">
          <cell r="A996">
            <v>995</v>
          </cell>
          <cell r="B996" t="str">
            <v xml:space="preserve">novecentos e noventa e cinco milhões, </v>
          </cell>
          <cell r="C996" t="str">
            <v xml:space="preserve">novecentos e noventa e cinco mil, </v>
          </cell>
          <cell r="D996" t="str">
            <v>novecentos e noventa e cinco</v>
          </cell>
          <cell r="E996" t="str">
            <v>novecentos e noventa e cinco centavos</v>
          </cell>
        </row>
        <row r="997">
          <cell r="A997">
            <v>996</v>
          </cell>
          <cell r="B997" t="str">
            <v xml:space="preserve">novecentos e noventa e seis milhões, </v>
          </cell>
          <cell r="C997" t="str">
            <v xml:space="preserve">novecentos e noventa e seis mil, </v>
          </cell>
          <cell r="D997" t="str">
            <v>novecentos e noventa e seis</v>
          </cell>
          <cell r="E997" t="str">
            <v>novecentos e noventa e seis centavos</v>
          </cell>
        </row>
        <row r="998">
          <cell r="A998">
            <v>997</v>
          </cell>
          <cell r="B998" t="str">
            <v xml:space="preserve">novecentos e noventa e sete milhões, </v>
          </cell>
          <cell r="C998" t="str">
            <v xml:space="preserve">novecentos e noventa e sete mil, </v>
          </cell>
          <cell r="D998" t="str">
            <v>novecentos e noventa e sete</v>
          </cell>
          <cell r="E998" t="str">
            <v>novecentos e noventa e sete centavos</v>
          </cell>
        </row>
        <row r="999">
          <cell r="A999">
            <v>998</v>
          </cell>
          <cell r="B999" t="str">
            <v xml:space="preserve">novecentos e noventa e oito milhões, </v>
          </cell>
          <cell r="C999" t="str">
            <v xml:space="preserve">novecentos e noventa e oito mil, </v>
          </cell>
          <cell r="D999" t="str">
            <v>novecentos e noventa e oito</v>
          </cell>
          <cell r="E999" t="str">
            <v>novecentos e noventa e oito centavos</v>
          </cell>
        </row>
        <row r="1000">
          <cell r="A1000">
            <v>999</v>
          </cell>
          <cell r="B1000" t="str">
            <v xml:space="preserve">novecentos e noventa e nove milhões, </v>
          </cell>
          <cell r="C1000" t="str">
            <v xml:space="preserve">novecentos e noventa e nove mil, </v>
          </cell>
          <cell r="D1000" t="str">
            <v>novecentos e noventa e nove</v>
          </cell>
          <cell r="E1000" t="str">
            <v>novecentos e noventa e nove centavos</v>
          </cell>
        </row>
        <row r="1001">
          <cell r="A1001">
            <v>1000</v>
          </cell>
          <cell r="B1001" t="str">
            <v xml:space="preserve">mil milhões, </v>
          </cell>
          <cell r="C1001" t="str">
            <v xml:space="preserve">mil, mil, </v>
          </cell>
          <cell r="D1001" t="str">
            <v>mil</v>
          </cell>
          <cell r="E1001" t="str">
            <v>centavos centavos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or"/>
      <sheetName val="Anexos PGQ"/>
      <sheetName val="Equipamentos"/>
      <sheetName val="QuQuant"/>
      <sheetName val="Tabela Abril 2000"/>
      <sheetName val="TABELA"/>
      <sheetName val="PSCEGERAL"/>
      <sheetName val="Dados"/>
      <sheetName val="Planilha"/>
      <sheetName val="PQ"/>
      <sheetName val="Page 1"/>
      <sheetName val="CRECHES"/>
      <sheetName val="MOBILIZ-CANTEIRO"/>
      <sheetName val="Medição"/>
      <sheetName val="8ª MP_BR_459"/>
      <sheetName val="PROJETO"/>
      <sheetName val="qorcamentodnerL1"/>
      <sheetName val="INVENTÁRIO"/>
      <sheetName val="DRANPX14"/>
      <sheetName val="Resumo"/>
      <sheetName val="DG"/>
      <sheetName val="PT"/>
      <sheetName val="RESUMO_AUT1"/>
      <sheetName val="Plan1"/>
      <sheetName val="Mão de Obra"/>
      <sheetName val="Quadro Geral"/>
      <sheetName val="REAJU"/>
      <sheetName val="Assumptions"/>
      <sheetName val="Recmecater"/>
      <sheetName val="RECREV"/>
      <sheetName val="alphaville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compos1"/>
      <sheetName val="Paramentros"/>
      <sheetName val="principal"/>
      <sheetName val="qd3b-Adapt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18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2:L15"/>
  <sheetViews>
    <sheetView showGridLines="0" view="pageBreakPreview" zoomScale="85" zoomScaleNormal="100" zoomScaleSheetLayoutView="85" workbookViewId="0">
      <selection activeCell="E19" sqref="E19"/>
    </sheetView>
  </sheetViews>
  <sheetFormatPr defaultColWidth="9.33203125" defaultRowHeight="15" x14ac:dyDescent="0.2"/>
  <cols>
    <col min="1" max="1" width="9.33203125" style="263"/>
    <col min="2" max="2" width="8.83203125" style="263" customWidth="1"/>
    <col min="3" max="3" width="80" style="263" bestFit="1" customWidth="1"/>
    <col min="4" max="4" width="28.1640625" style="263" customWidth="1"/>
    <col min="5" max="5" width="6.6640625" style="263" bestFit="1" customWidth="1"/>
    <col min="6" max="7" width="13.33203125" style="263" bestFit="1" customWidth="1"/>
    <col min="8" max="8" width="6.83203125" style="263" customWidth="1"/>
    <col min="9" max="9" width="18.1640625" style="263" customWidth="1"/>
    <col min="10" max="10" width="14.33203125" style="263" customWidth="1"/>
    <col min="11" max="12" width="14.6640625" style="263" bestFit="1" customWidth="1"/>
    <col min="13" max="16384" width="9.33203125" style="263"/>
  </cols>
  <sheetData>
    <row r="2" spans="2:12" x14ac:dyDescent="0.2">
      <c r="B2" s="262" t="s">
        <v>363</v>
      </c>
      <c r="D2" s="264" t="s">
        <v>364</v>
      </c>
      <c r="E2" s="981" t="s">
        <v>365</v>
      </c>
      <c r="F2" s="981"/>
      <c r="G2" s="981"/>
      <c r="H2" s="981" t="s">
        <v>366</v>
      </c>
      <c r="I2" s="981"/>
      <c r="J2" s="981"/>
    </row>
    <row r="3" spans="2:12" s="266" customFormat="1" ht="45" x14ac:dyDescent="0.2">
      <c r="B3" s="982" t="str">
        <f>RESUMO!B3</f>
        <v>Projeto Executivo de Infraestrutura Urbana - Jardim Basilia - Três Lagoas R09</v>
      </c>
      <c r="C3" s="982"/>
      <c r="D3" s="265" t="str">
        <f>RESUMO!D3</f>
        <v>SINAPI - 01/2026 - MS; SICRO3 - 10/2025 - MS; AGESUL 01/2026</v>
      </c>
      <c r="E3" s="983" t="s">
        <v>1570</v>
      </c>
      <c r="F3" s="984"/>
      <c r="G3" s="984"/>
      <c r="H3" s="984" t="s">
        <v>367</v>
      </c>
      <c r="I3" s="984"/>
      <c r="J3" s="984"/>
    </row>
    <row r="4" spans="2:12" x14ac:dyDescent="0.2">
      <c r="B4" s="979" t="s">
        <v>368</v>
      </c>
      <c r="C4" s="980"/>
      <c r="D4" s="980"/>
      <c r="E4" s="980"/>
      <c r="F4" s="980"/>
      <c r="G4" s="980"/>
      <c r="H4" s="980"/>
      <c r="I4" s="980"/>
      <c r="J4" s="980"/>
    </row>
    <row r="5" spans="2:12" ht="30" customHeight="1" x14ac:dyDescent="0.2">
      <c r="B5" s="267" t="s">
        <v>369</v>
      </c>
      <c r="C5" s="986" t="s">
        <v>42</v>
      </c>
      <c r="D5" s="986"/>
      <c r="E5" s="986"/>
      <c r="F5" s="986"/>
      <c r="G5" s="986"/>
      <c r="H5" s="986"/>
      <c r="I5" s="268" t="s">
        <v>0</v>
      </c>
      <c r="J5" s="268" t="s">
        <v>370</v>
      </c>
    </row>
    <row r="6" spans="2:12" ht="30" customHeight="1" x14ac:dyDescent="0.2">
      <c r="B6" s="269">
        <v>1</v>
      </c>
      <c r="C6" s="987" t="s">
        <v>372</v>
      </c>
      <c r="D6" s="987"/>
      <c r="E6" s="987"/>
      <c r="F6" s="987"/>
      <c r="G6" s="987"/>
      <c r="H6" s="987"/>
      <c r="I6" s="270">
        <f>'ORÇ. SINTÉTICO'!T9</f>
        <v>93245.840000000011</v>
      </c>
      <c r="J6" s="271">
        <f>I6/$H$15</f>
        <v>1.1569866247905432E-2</v>
      </c>
    </row>
    <row r="7" spans="2:12" ht="30" customHeight="1" x14ac:dyDescent="0.2">
      <c r="B7" s="269">
        <v>2</v>
      </c>
      <c r="C7" s="987" t="s">
        <v>374</v>
      </c>
      <c r="D7" s="987"/>
      <c r="E7" s="987"/>
      <c r="F7" s="987"/>
      <c r="G7" s="987"/>
      <c r="H7" s="987"/>
      <c r="I7" s="270">
        <f>'ORÇ. SINTÉTICO'!T31</f>
        <v>2845944.16</v>
      </c>
      <c r="J7" s="271">
        <f t="shared" ref="J7:J11" si="0">I7/$H$15</f>
        <v>0.35312238358523634</v>
      </c>
    </row>
    <row r="8" spans="2:12" ht="30" customHeight="1" x14ac:dyDescent="0.2">
      <c r="B8" s="269">
        <v>3</v>
      </c>
      <c r="C8" s="987" t="s">
        <v>376</v>
      </c>
      <c r="D8" s="987"/>
      <c r="E8" s="987"/>
      <c r="F8" s="987"/>
      <c r="G8" s="987"/>
      <c r="H8" s="987"/>
      <c r="I8" s="270">
        <f>'ORÇ. SINTÉTICO'!T88</f>
        <v>4484712.8099999996</v>
      </c>
      <c r="J8" s="271">
        <f t="shared" si="0"/>
        <v>0.5564594342435879</v>
      </c>
    </row>
    <row r="9" spans="2:12" ht="30" customHeight="1" x14ac:dyDescent="0.2">
      <c r="B9" s="269">
        <v>4</v>
      </c>
      <c r="C9" s="987" t="s">
        <v>378</v>
      </c>
      <c r="D9" s="987"/>
      <c r="E9" s="987"/>
      <c r="F9" s="987"/>
      <c r="G9" s="987"/>
      <c r="H9" s="987"/>
      <c r="I9" s="270">
        <f>'ORÇ. SINTÉTICO'!T116</f>
        <v>139389.85</v>
      </c>
      <c r="J9" s="271">
        <f t="shared" si="0"/>
        <v>1.7295376617504878E-2</v>
      </c>
    </row>
    <row r="10" spans="2:12" ht="30" customHeight="1" x14ac:dyDescent="0.2">
      <c r="B10" s="269">
        <v>5</v>
      </c>
      <c r="C10" s="987" t="s">
        <v>380</v>
      </c>
      <c r="D10" s="987"/>
      <c r="E10" s="987"/>
      <c r="F10" s="987"/>
      <c r="G10" s="987"/>
      <c r="H10" s="987"/>
      <c r="I10" s="270">
        <f>'ORÇ. SINTÉTICO'!T124</f>
        <v>118791.98</v>
      </c>
      <c r="J10" s="271">
        <f t="shared" si="0"/>
        <v>1.4739610045057848E-2</v>
      </c>
    </row>
    <row r="11" spans="2:12" ht="30" customHeight="1" x14ac:dyDescent="0.2">
      <c r="B11" s="269">
        <v>6</v>
      </c>
      <c r="C11" s="987" t="s">
        <v>382</v>
      </c>
      <c r="D11" s="987"/>
      <c r="E11" s="987"/>
      <c r="F11" s="987"/>
      <c r="G11" s="987"/>
      <c r="H11" s="987"/>
      <c r="I11" s="270">
        <f>'ORÇ. SINTÉTICO'!T130</f>
        <v>377285.97</v>
      </c>
      <c r="J11" s="271">
        <f t="shared" si="0"/>
        <v>4.6813329260707616E-2</v>
      </c>
      <c r="K11" s="558">
        <f>SUM(I6:I11)</f>
        <v>8059370.6099999994</v>
      </c>
      <c r="L11" s="263" t="b">
        <f>K11=H15</f>
        <v>1</v>
      </c>
    </row>
    <row r="12" spans="2:12" ht="24" customHeight="1" x14ac:dyDescent="0.2">
      <c r="B12" s="272"/>
      <c r="C12" s="272"/>
      <c r="D12" s="272"/>
      <c r="E12" s="272"/>
      <c r="F12" s="272"/>
      <c r="G12" s="272"/>
      <c r="H12" s="272"/>
      <c r="I12" s="272"/>
      <c r="J12" s="272"/>
    </row>
    <row r="13" spans="2:12" ht="20.100000000000001" customHeight="1" x14ac:dyDescent="0.2">
      <c r="B13" s="273"/>
      <c r="C13" s="274"/>
      <c r="D13" s="273"/>
      <c r="E13" s="273"/>
      <c r="F13" s="981" t="s">
        <v>383</v>
      </c>
      <c r="G13" s="981"/>
      <c r="H13" s="985">
        <f>'ORÇ. SINTÉTICO'!S133</f>
        <v>6271782.7599999998</v>
      </c>
      <c r="I13" s="985"/>
      <c r="J13" s="985"/>
    </row>
    <row r="14" spans="2:12" ht="20.100000000000001" customHeight="1" x14ac:dyDescent="0.2">
      <c r="B14" s="273"/>
      <c r="C14" s="274"/>
      <c r="D14" s="273"/>
      <c r="E14" s="273"/>
      <c r="F14" s="981" t="s">
        <v>384</v>
      </c>
      <c r="G14" s="981"/>
      <c r="H14" s="985">
        <f>'ORÇ. SINTÉTICO'!S134</f>
        <v>1787587.8499999996</v>
      </c>
      <c r="I14" s="985"/>
      <c r="J14" s="985"/>
    </row>
    <row r="15" spans="2:12" ht="20.100000000000001" customHeight="1" x14ac:dyDescent="0.2">
      <c r="B15" s="273"/>
      <c r="C15" s="274"/>
      <c r="D15" s="273"/>
      <c r="E15" s="273"/>
      <c r="F15" s="981" t="s">
        <v>385</v>
      </c>
      <c r="G15" s="981"/>
      <c r="H15" s="985">
        <f>'ORÇ. SINTÉTICO'!S135</f>
        <v>8059370.6099999994</v>
      </c>
      <c r="I15" s="985"/>
      <c r="J15" s="985"/>
    </row>
  </sheetData>
  <mergeCells count="19">
    <mergeCell ref="F15:G15"/>
    <mergeCell ref="H15:J15"/>
    <mergeCell ref="C5:H5"/>
    <mergeCell ref="C6:H6"/>
    <mergeCell ref="C7:H7"/>
    <mergeCell ref="C8:H8"/>
    <mergeCell ref="C9:H9"/>
    <mergeCell ref="C10:H10"/>
    <mergeCell ref="C11:H11"/>
    <mergeCell ref="F13:G13"/>
    <mergeCell ref="H13:J13"/>
    <mergeCell ref="F14:G14"/>
    <mergeCell ref="H14:J14"/>
    <mergeCell ref="B4:J4"/>
    <mergeCell ref="E2:G2"/>
    <mergeCell ref="H2:J2"/>
    <mergeCell ref="B3:C3"/>
    <mergeCell ref="E3:G3"/>
    <mergeCell ref="H3:J3"/>
  </mergeCells>
  <printOptions horizontalCentered="1"/>
  <pageMargins left="0.51181102362204722" right="0.51181102362204722" top="0.98425196850393704" bottom="0.98425196850393704" header="0.31496062992125984" footer="0.51181102362204722"/>
  <pageSetup paperSize="9" scale="79" fitToHeight="0" orientation="landscape" r:id="rId1"/>
  <headerFooter>
    <oddHeader>&amp;L&amp;G&amp;R&amp;G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2:M15"/>
  <sheetViews>
    <sheetView showGridLines="0" view="pageBreakPreview" zoomScale="85" zoomScaleNormal="100" zoomScaleSheetLayoutView="85" workbookViewId="0">
      <selection activeCell="I7" sqref="I7"/>
    </sheetView>
  </sheetViews>
  <sheetFormatPr defaultColWidth="9.33203125" defaultRowHeight="15" x14ac:dyDescent="0.2"/>
  <cols>
    <col min="1" max="1" width="9.33203125" style="263"/>
    <col min="2" max="2" width="8.83203125" style="263" customWidth="1"/>
    <col min="3" max="3" width="70.6640625" style="263" customWidth="1"/>
    <col min="4" max="4" width="26" style="263" customWidth="1"/>
    <col min="5" max="5" width="6.6640625" style="263" bestFit="1" customWidth="1"/>
    <col min="6" max="7" width="13.33203125" style="263" bestFit="1" customWidth="1"/>
    <col min="8" max="8" width="6.83203125" style="263" customWidth="1"/>
    <col min="9" max="9" width="18.1640625" style="263" customWidth="1"/>
    <col min="10" max="10" width="14.33203125" style="263" customWidth="1"/>
    <col min="11" max="13" width="14.6640625" style="263" bestFit="1" customWidth="1"/>
    <col min="14" max="16384" width="9.33203125" style="263"/>
  </cols>
  <sheetData>
    <row r="2" spans="2:13" x14ac:dyDescent="0.2">
      <c r="B2" s="262" t="s">
        <v>363</v>
      </c>
      <c r="D2" s="264" t="s">
        <v>364</v>
      </c>
      <c r="E2" s="981" t="s">
        <v>365</v>
      </c>
      <c r="F2" s="981"/>
      <c r="G2" s="981"/>
      <c r="H2" s="981" t="s">
        <v>366</v>
      </c>
      <c r="I2" s="981"/>
      <c r="J2" s="981"/>
    </row>
    <row r="3" spans="2:13" s="266" customFormat="1" ht="49.5" customHeight="1" x14ac:dyDescent="0.2">
      <c r="B3" s="982" t="s">
        <v>1469</v>
      </c>
      <c r="C3" s="982"/>
      <c r="D3" s="265" t="s">
        <v>1477</v>
      </c>
      <c r="E3" s="988" t="s">
        <v>1565</v>
      </c>
      <c r="F3" s="982"/>
      <c r="G3" s="982"/>
      <c r="H3" s="982" t="s">
        <v>386</v>
      </c>
      <c r="I3" s="982"/>
      <c r="J3" s="982"/>
    </row>
    <row r="4" spans="2:13" x14ac:dyDescent="0.2">
      <c r="B4" s="979" t="s">
        <v>368</v>
      </c>
      <c r="C4" s="980"/>
      <c r="D4" s="980"/>
      <c r="E4" s="980"/>
      <c r="F4" s="980"/>
      <c r="G4" s="980"/>
      <c r="H4" s="980"/>
      <c r="I4" s="980"/>
      <c r="J4" s="980"/>
    </row>
    <row r="5" spans="2:13" ht="30" customHeight="1" x14ac:dyDescent="0.2">
      <c r="B5" s="267" t="s">
        <v>369</v>
      </c>
      <c r="C5" s="986" t="s">
        <v>42</v>
      </c>
      <c r="D5" s="986"/>
      <c r="E5" s="986"/>
      <c r="F5" s="986"/>
      <c r="G5" s="986"/>
      <c r="H5" s="986"/>
      <c r="I5" s="268" t="s">
        <v>0</v>
      </c>
      <c r="J5" s="268" t="s">
        <v>370</v>
      </c>
    </row>
    <row r="6" spans="2:13" ht="30" customHeight="1" x14ac:dyDescent="0.2">
      <c r="B6" s="269">
        <v>1</v>
      </c>
      <c r="C6" s="987" t="s">
        <v>372</v>
      </c>
      <c r="D6" s="987"/>
      <c r="E6" s="987"/>
      <c r="F6" s="987"/>
      <c r="G6" s="987"/>
      <c r="H6" s="987"/>
      <c r="I6" s="270">
        <f>'ORÇ. SINTÉTICO'!N9</f>
        <v>90506.22</v>
      </c>
      <c r="J6" s="271">
        <f>I6/$H$15</f>
        <v>1.1670469596409732E-2</v>
      </c>
    </row>
    <row r="7" spans="2:13" ht="30" customHeight="1" x14ac:dyDescent="0.2">
      <c r="B7" s="269">
        <v>2</v>
      </c>
      <c r="C7" s="987" t="s">
        <v>374</v>
      </c>
      <c r="D7" s="987"/>
      <c r="E7" s="987"/>
      <c r="F7" s="987"/>
      <c r="G7" s="987"/>
      <c r="H7" s="987"/>
      <c r="I7" s="270">
        <f>'ORÇ. SINTÉTICO'!N31</f>
        <v>2741273.38</v>
      </c>
      <c r="J7" s="271">
        <f t="shared" ref="J7:J11" si="0">I7/$H$15</f>
        <v>0.35347788954988218</v>
      </c>
    </row>
    <row r="8" spans="2:13" ht="30" customHeight="1" x14ac:dyDescent="0.2">
      <c r="B8" s="269">
        <v>3</v>
      </c>
      <c r="C8" s="987" t="s">
        <v>376</v>
      </c>
      <c r="D8" s="987"/>
      <c r="E8" s="987"/>
      <c r="F8" s="987"/>
      <c r="G8" s="987"/>
      <c r="H8" s="987"/>
      <c r="I8" s="270">
        <f>'ORÇ. SINTÉTICO'!N88</f>
        <v>4292066.47</v>
      </c>
      <c r="J8" s="271">
        <f t="shared" si="0"/>
        <v>0.55344739006782784</v>
      </c>
    </row>
    <row r="9" spans="2:13" ht="30" customHeight="1" x14ac:dyDescent="0.2">
      <c r="B9" s="269">
        <v>4</v>
      </c>
      <c r="C9" s="987" t="s">
        <v>378</v>
      </c>
      <c r="D9" s="987"/>
      <c r="E9" s="987"/>
      <c r="F9" s="987"/>
      <c r="G9" s="987"/>
      <c r="H9" s="987"/>
      <c r="I9" s="270">
        <f>'ORÇ. SINTÉTICO'!N116</f>
        <v>133824.13</v>
      </c>
      <c r="J9" s="271">
        <f t="shared" si="0"/>
        <v>1.7256166928979948E-2</v>
      </c>
    </row>
    <row r="10" spans="2:13" ht="30" customHeight="1" x14ac:dyDescent="0.2">
      <c r="B10" s="269">
        <v>5</v>
      </c>
      <c r="C10" s="987" t="s">
        <v>380</v>
      </c>
      <c r="D10" s="987"/>
      <c r="E10" s="987"/>
      <c r="F10" s="987"/>
      <c r="G10" s="987"/>
      <c r="H10" s="987"/>
      <c r="I10" s="270">
        <f>'ORÇ. SINTÉTICO'!N124</f>
        <v>113286.68</v>
      </c>
      <c r="J10" s="271">
        <f t="shared" si="0"/>
        <v>1.4607932522407835E-2</v>
      </c>
    </row>
    <row r="11" spans="2:13" ht="30" customHeight="1" x14ac:dyDescent="0.2">
      <c r="B11" s="269">
        <v>6</v>
      </c>
      <c r="C11" s="987" t="s">
        <v>382</v>
      </c>
      <c r="D11" s="987"/>
      <c r="E11" s="987"/>
      <c r="F11" s="987"/>
      <c r="G11" s="987"/>
      <c r="H11" s="987"/>
      <c r="I11" s="270">
        <f>'ORÇ. SINTÉTICO'!N130</f>
        <v>384191.21</v>
      </c>
      <c r="J11" s="271">
        <f t="shared" si="0"/>
        <v>4.9540151334492445E-2</v>
      </c>
      <c r="L11" s="558">
        <f>SUM(I6:I11)</f>
        <v>7755148.0899999999</v>
      </c>
      <c r="M11" s="263" t="b">
        <f>L11=H15</f>
        <v>1</v>
      </c>
    </row>
    <row r="12" spans="2:13" ht="24" customHeight="1" x14ac:dyDescent="0.2">
      <c r="B12" s="272"/>
      <c r="C12" s="272"/>
      <c r="D12" s="272"/>
      <c r="E12" s="272"/>
      <c r="F12" s="272"/>
      <c r="G12" s="272"/>
      <c r="H12" s="272"/>
      <c r="I12" s="272"/>
      <c r="J12" s="272"/>
    </row>
    <row r="13" spans="2:13" ht="20.100000000000001" customHeight="1" x14ac:dyDescent="0.25">
      <c r="B13" s="273"/>
      <c r="C13" s="274"/>
      <c r="D13" s="273"/>
      <c r="E13" s="273"/>
      <c r="F13" s="981" t="s">
        <v>383</v>
      </c>
      <c r="G13" s="981"/>
      <c r="H13" s="990">
        <f>'ORÇ. SINTÉTICO'!M133</f>
        <v>6343333.2400000002</v>
      </c>
      <c r="I13" s="990"/>
      <c r="J13" s="990"/>
    </row>
    <row r="14" spans="2:13" ht="20.100000000000001" customHeight="1" x14ac:dyDescent="0.25">
      <c r="B14" s="273"/>
      <c r="C14" s="274"/>
      <c r="D14" s="273"/>
      <c r="E14" s="273"/>
      <c r="F14" s="981" t="s">
        <v>384</v>
      </c>
      <c r="G14" s="981"/>
      <c r="H14" s="989">
        <f>'ORÇ. SINTÉTICO'!M134</f>
        <v>1411814.8499999996</v>
      </c>
      <c r="I14" s="991"/>
      <c r="J14" s="991"/>
    </row>
    <row r="15" spans="2:13" ht="20.100000000000001" customHeight="1" x14ac:dyDescent="0.25">
      <c r="B15" s="273"/>
      <c r="C15" s="274"/>
      <c r="D15" s="273"/>
      <c r="E15" s="273"/>
      <c r="F15" s="981" t="s">
        <v>385</v>
      </c>
      <c r="G15" s="981"/>
      <c r="H15" s="989">
        <f>'ORÇ. SINTÉTICO'!M135</f>
        <v>7755148.0899999999</v>
      </c>
      <c r="I15" s="989"/>
      <c r="J15" s="989"/>
    </row>
  </sheetData>
  <mergeCells count="19">
    <mergeCell ref="F15:G15"/>
    <mergeCell ref="H15:J15"/>
    <mergeCell ref="C5:H5"/>
    <mergeCell ref="C6:H6"/>
    <mergeCell ref="C7:H7"/>
    <mergeCell ref="C8:H8"/>
    <mergeCell ref="C9:H9"/>
    <mergeCell ref="C10:H10"/>
    <mergeCell ref="C11:H11"/>
    <mergeCell ref="F13:G13"/>
    <mergeCell ref="H13:J13"/>
    <mergeCell ref="F14:G14"/>
    <mergeCell ref="H14:J14"/>
    <mergeCell ref="B4:J4"/>
    <mergeCell ref="E2:G2"/>
    <mergeCell ref="H2:J2"/>
    <mergeCell ref="B3:C3"/>
    <mergeCell ref="E3:G3"/>
    <mergeCell ref="H3:J3"/>
  </mergeCells>
  <printOptions horizontalCentered="1"/>
  <pageMargins left="0.51181102362204722" right="0.51181102362204722" top="0.98425196850393704" bottom="0.98425196850393704" header="0.31496062992125984" footer="0.51181102362204722"/>
  <pageSetup paperSize="9" scale="84" fitToHeight="0" orientation="landscape" r:id="rId1"/>
  <headerFooter>
    <oddHeader>&amp;L&amp;G&amp;R&amp;G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3:V135"/>
  <sheetViews>
    <sheetView showGridLines="0" view="pageBreakPreview" topLeftCell="A124" zoomScale="70" zoomScaleNormal="40" zoomScaleSheetLayoutView="70" workbookViewId="0">
      <selection activeCell="A131" sqref="A131:XFD131"/>
    </sheetView>
  </sheetViews>
  <sheetFormatPr defaultColWidth="9.33203125" defaultRowHeight="15.75" x14ac:dyDescent="0.2"/>
  <cols>
    <col min="1" max="1" width="9.33203125" style="560"/>
    <col min="2" max="2" width="13.33203125" style="560" bestFit="1" customWidth="1"/>
    <col min="3" max="3" width="21" style="560" customWidth="1"/>
    <col min="4" max="4" width="13.1640625" style="560" bestFit="1" customWidth="1"/>
    <col min="5" max="5" width="80.33203125" style="560" customWidth="1"/>
    <col min="6" max="6" width="11.1640625" style="581" customWidth="1"/>
    <col min="7" max="7" width="19.83203125" style="581" customWidth="1"/>
    <col min="8" max="8" width="12.5" style="560" customWidth="1"/>
    <col min="9" max="9" width="17.33203125" style="560" bestFit="1" customWidth="1"/>
    <col min="10" max="10" width="19.83203125" style="560" bestFit="1" customWidth="1"/>
    <col min="11" max="11" width="17.33203125" style="583" customWidth="1"/>
    <col min="12" max="12" width="24.33203125" style="560" customWidth="1"/>
    <col min="13" max="13" width="24.33203125" style="584" customWidth="1"/>
    <col min="14" max="14" width="25.1640625" style="584" bestFit="1" customWidth="1"/>
    <col min="15" max="15" width="16.83203125" style="560" bestFit="1" customWidth="1"/>
    <col min="16" max="16" width="19.33203125" style="560" bestFit="1" customWidth="1"/>
    <col min="17" max="17" width="16.6640625" style="560" customWidth="1"/>
    <col min="18" max="18" width="31.83203125" style="560" bestFit="1" customWidth="1"/>
    <col min="19" max="19" width="19.6640625" style="560" bestFit="1" customWidth="1"/>
    <col min="20" max="20" width="25.1640625" style="560" bestFit="1" customWidth="1"/>
    <col min="21" max="21" width="16.83203125" style="560" bestFit="1" customWidth="1"/>
    <col min="22" max="22" width="19.5" style="560" bestFit="1" customWidth="1"/>
    <col min="23" max="16384" width="9.33203125" style="560"/>
  </cols>
  <sheetData>
    <row r="3" spans="2:21" x14ac:dyDescent="0.2">
      <c r="B3" s="605" t="s">
        <v>363</v>
      </c>
      <c r="C3" s="605"/>
      <c r="D3" s="605"/>
      <c r="F3" s="996" t="s">
        <v>364</v>
      </c>
      <c r="G3" s="996"/>
      <c r="J3" s="996" t="s">
        <v>365</v>
      </c>
      <c r="K3" s="996"/>
      <c r="L3" s="996"/>
      <c r="M3" s="561"/>
      <c r="N3" s="996"/>
      <c r="O3" s="996"/>
      <c r="P3" s="605" t="s">
        <v>387</v>
      </c>
    </row>
    <row r="4" spans="2:21" s="562" customFormat="1" x14ac:dyDescent="0.2">
      <c r="B4" s="997" t="str">
        <f>RESUMO!B3</f>
        <v>Projeto Executivo de Infraestrutura Urbana - Jardim Basilia - Três Lagoas R09</v>
      </c>
      <c r="C4" s="997"/>
      <c r="D4" s="997"/>
      <c r="E4" s="997"/>
      <c r="F4" s="997" t="str">
        <f>RESUMO!D3</f>
        <v>SINAPI - 01/2026 - MS; SICRO3 - 10/2025 - MS; AGESUL 01/2026</v>
      </c>
      <c r="G4" s="997"/>
      <c r="H4" s="997"/>
      <c r="J4" s="563" t="s">
        <v>388</v>
      </c>
      <c r="K4" s="564">
        <v>0.24229999999999999</v>
      </c>
      <c r="L4" s="565"/>
      <c r="M4" s="566"/>
      <c r="N4" s="997"/>
      <c r="O4" s="997"/>
      <c r="P4" s="563" t="s">
        <v>388</v>
      </c>
      <c r="Q4" s="564">
        <v>0.30659999999999998</v>
      </c>
    </row>
    <row r="5" spans="2:21" s="562" customFormat="1" x14ac:dyDescent="0.2">
      <c r="B5" s="606"/>
      <c r="C5" s="606"/>
      <c r="D5" s="606"/>
      <c r="E5" s="606"/>
      <c r="F5" s="567"/>
      <c r="G5" s="604"/>
      <c r="H5" s="567"/>
      <c r="J5" s="563" t="s">
        <v>389</v>
      </c>
      <c r="K5" s="564">
        <v>0.1527</v>
      </c>
      <c r="L5" s="606"/>
      <c r="M5" s="566"/>
      <c r="N5" s="566"/>
      <c r="O5" s="606"/>
      <c r="P5" s="563" t="s">
        <v>389</v>
      </c>
      <c r="Q5" s="564">
        <v>0.2092</v>
      </c>
    </row>
    <row r="6" spans="2:21" ht="15.75" customHeight="1" thickBot="1" x14ac:dyDescent="0.25">
      <c r="B6" s="992" t="s">
        <v>390</v>
      </c>
      <c r="C6" s="992"/>
      <c r="D6" s="992"/>
      <c r="E6" s="992"/>
      <c r="F6" s="992"/>
      <c r="G6" s="992"/>
      <c r="H6" s="992"/>
      <c r="I6" s="992"/>
      <c r="J6" s="992"/>
      <c r="K6" s="992"/>
      <c r="L6" s="992"/>
      <c r="M6" s="992"/>
      <c r="N6" s="992"/>
      <c r="O6" s="992"/>
      <c r="P6" s="992"/>
      <c r="Q6" s="992"/>
      <c r="R6" s="992"/>
      <c r="S6" s="992"/>
      <c r="T6" s="992"/>
      <c r="U6" s="992"/>
    </row>
    <row r="7" spans="2:21" x14ac:dyDescent="0.2">
      <c r="B7" s="604"/>
      <c r="F7" s="560"/>
      <c r="G7" s="560"/>
      <c r="J7" s="993" t="s">
        <v>386</v>
      </c>
      <c r="K7" s="994"/>
      <c r="L7" s="994"/>
      <c r="M7" s="994"/>
      <c r="N7" s="994"/>
      <c r="O7" s="995"/>
      <c r="P7" s="994" t="s">
        <v>367</v>
      </c>
      <c r="Q7" s="994"/>
      <c r="R7" s="994"/>
      <c r="S7" s="994"/>
      <c r="T7" s="994"/>
      <c r="U7" s="995"/>
    </row>
    <row r="8" spans="2:21" ht="30" customHeight="1" x14ac:dyDescent="0.2">
      <c r="B8" s="568" t="s">
        <v>369</v>
      </c>
      <c r="C8" s="569" t="s">
        <v>391</v>
      </c>
      <c r="D8" s="568" t="s">
        <v>392</v>
      </c>
      <c r="E8" s="568" t="s">
        <v>42</v>
      </c>
      <c r="F8" s="570" t="s">
        <v>393</v>
      </c>
      <c r="G8" s="571" t="s">
        <v>39</v>
      </c>
      <c r="H8" s="571" t="s">
        <v>394</v>
      </c>
      <c r="I8" s="572" t="s">
        <v>395</v>
      </c>
      <c r="J8" s="573" t="s">
        <v>396</v>
      </c>
      <c r="K8" s="574" t="s">
        <v>397</v>
      </c>
      <c r="L8" s="569" t="s">
        <v>398</v>
      </c>
      <c r="M8" s="569" t="s">
        <v>399</v>
      </c>
      <c r="N8" s="569" t="s">
        <v>400</v>
      </c>
      <c r="O8" s="575" t="s">
        <v>370</v>
      </c>
      <c r="P8" s="732" t="s">
        <v>396</v>
      </c>
      <c r="Q8" s="574" t="s">
        <v>397</v>
      </c>
      <c r="R8" s="569" t="s">
        <v>398</v>
      </c>
      <c r="S8" s="569" t="s">
        <v>399</v>
      </c>
      <c r="T8" s="569" t="s">
        <v>400</v>
      </c>
      <c r="U8" s="575" t="s">
        <v>370</v>
      </c>
    </row>
    <row r="9" spans="2:21" x14ac:dyDescent="0.2">
      <c r="B9" s="617" t="s">
        <v>371</v>
      </c>
      <c r="C9" s="617" t="s">
        <v>347</v>
      </c>
      <c r="D9" s="617"/>
      <c r="E9" s="617" t="s">
        <v>372</v>
      </c>
      <c r="F9" s="577"/>
      <c r="G9" s="725"/>
      <c r="H9" s="618"/>
      <c r="I9" s="695">
        <v>1</v>
      </c>
      <c r="J9" s="578"/>
      <c r="K9" s="579"/>
      <c r="L9" s="576"/>
      <c r="M9" s="580">
        <f>M10+M24</f>
        <v>73826.98</v>
      </c>
      <c r="N9" s="580">
        <f>N10+N24</f>
        <v>90506.22</v>
      </c>
      <c r="O9" s="623">
        <f t="shared" ref="O9:O40" si="0">N9/$M$135</f>
        <v>1.1670469596409732E-2</v>
      </c>
      <c r="P9" s="733"/>
      <c r="Q9" s="579"/>
      <c r="R9" s="576"/>
      <c r="S9" s="580">
        <f>S10+S24</f>
        <v>72366.179999999993</v>
      </c>
      <c r="T9" s="580">
        <f>T10+T24</f>
        <v>93245.840000000011</v>
      </c>
      <c r="U9" s="624">
        <f t="shared" ref="U9:U40" si="1">T9/$S$135</f>
        <v>1.1569866247905432E-2</v>
      </c>
    </row>
    <row r="10" spans="2:21" x14ac:dyDescent="0.2">
      <c r="B10" s="617" t="s">
        <v>401</v>
      </c>
      <c r="C10" s="617" t="s">
        <v>347</v>
      </c>
      <c r="D10" s="617"/>
      <c r="E10" s="617" t="s">
        <v>372</v>
      </c>
      <c r="F10" s="577"/>
      <c r="G10" s="725"/>
      <c r="H10" s="618"/>
      <c r="I10" s="695">
        <v>1</v>
      </c>
      <c r="J10" s="578"/>
      <c r="K10" s="579"/>
      <c r="L10" s="576"/>
      <c r="M10" s="580">
        <f>TRUNC(SUM(M11:M23),2)</f>
        <v>60255.9</v>
      </c>
      <c r="N10" s="580">
        <f>TRUNC(SUM(N11:N23),2)</f>
        <v>73648.55</v>
      </c>
      <c r="O10" s="623">
        <f t="shared" si="0"/>
        <v>9.4967303196914193E-3</v>
      </c>
      <c r="P10" s="733"/>
      <c r="Q10" s="579"/>
      <c r="R10" s="576"/>
      <c r="S10" s="580">
        <f>SUM(S11:S23)</f>
        <v>59330.99</v>
      </c>
      <c r="T10" s="580">
        <f>SUM(T11:T23)</f>
        <v>76216.540000000008</v>
      </c>
      <c r="U10" s="624">
        <f t="shared" si="1"/>
        <v>9.4568848720557857E-3</v>
      </c>
    </row>
    <row r="11" spans="2:21" s="956" customFormat="1" ht="31.5" x14ac:dyDescent="0.2">
      <c r="B11" s="945" t="s">
        <v>928</v>
      </c>
      <c r="C11" s="946" t="str">
        <f>INDEX('Orçamento Analítico'!$B:$M,MATCH('ORÇ. SINTÉTICO'!B11,'Orçamento Analítico'!$B:$B,0)+1,2)</f>
        <v xml:space="preserve"> 103689 </v>
      </c>
      <c r="D11" s="946" t="str">
        <f>INDEX('Orçamento Analítico'!$B:$M,MATCH('ORÇ. SINTÉTICO'!B11,'Orçamento Analítico'!$B:$B,0)+1,3)</f>
        <v>SINAPI</v>
      </c>
      <c r="E11" s="946" t="str">
        <f>INDEX('Orçamento Analítico'!$B:$M,MATCH('ORÇ. SINTÉTICO'!B11,'Orçamento Analítico'!$B:$B,0)+1,4)</f>
        <v>FORNECIMENTO E INSTALAÇÃO DE PLACA DE OBRA COM CHAPA GALVANIZADA E ESTRUTURA DE MADEIRA. AF_03/2022_PS</v>
      </c>
      <c r="F11" s="947"/>
      <c r="G11" s="948" t="str">
        <f>INDEX('Orçamento Analítico'!$B:$M,MATCH('ORÇ. SINTÉTICO'!$B11,'Orçamento Analítico'!$B:$B,0)+1,5)</f>
        <v>Sinalização Vertical Viária</v>
      </c>
      <c r="H11" s="947" t="str">
        <f>INDEX('Orçamento Analítico'!$B:$M,MATCH('ORÇ. SINTÉTICO'!B11,'Orçamento Analítico'!$B:$B,0)+1,7)</f>
        <v>m²</v>
      </c>
      <c r="I11" s="949">
        <v>8</v>
      </c>
      <c r="J11" s="950">
        <f>INDEX('Orçamento Analítico'!$B:$M,MATCH(B11,'Orçamento Analítico'!$B:$B,0)+1,10)</f>
        <v>458.76</v>
      </c>
      <c r="K11" s="951">
        <f>IF((OR($G11="MATERIAL",$G11="Equipamento")),K$5,K$4)</f>
        <v>0.24229999999999999</v>
      </c>
      <c r="L11" s="952">
        <f>TRUNC(J11*(1+K11),2)</f>
        <v>569.91</v>
      </c>
      <c r="M11" s="952">
        <f>TRUNC($I11 * J11, 2)</f>
        <v>3670.08</v>
      </c>
      <c r="N11" s="952">
        <f>TRUNC($I11 * L11, 2)</f>
        <v>4559.28</v>
      </c>
      <c r="O11" s="953">
        <f>N11/$M$135</f>
        <v>5.8790366696917582E-4</v>
      </c>
      <c r="P11" s="954">
        <f>INDEX('Orçamento Analítico'!$B:$M,MATCH(B11,'Orçamento Analítico'!$B:$B,0)+1,12)</f>
        <v>456.44</v>
      </c>
      <c r="Q11" s="951">
        <f>IF((OR($G11="MATERIAL",$G11="Equipamento")),Q$5,Q$4)</f>
        <v>0.30659999999999998</v>
      </c>
      <c r="R11" s="952">
        <f>TRUNC(P11*(1+Q11),2)</f>
        <v>596.38</v>
      </c>
      <c r="S11" s="952">
        <f>TRUNC($I11 * P11, 2)</f>
        <v>3651.52</v>
      </c>
      <c r="T11" s="952">
        <f>TRUNC($I11 * R11, 2)</f>
        <v>4771.04</v>
      </c>
      <c r="U11" s="955">
        <f t="shared" si="1"/>
        <v>5.9198667375838672E-4</v>
      </c>
    </row>
    <row r="12" spans="2:21" s="956" customFormat="1" ht="31.5" x14ac:dyDescent="0.2">
      <c r="B12" s="945" t="s">
        <v>1446</v>
      </c>
      <c r="C12" s="946" t="str">
        <f>INDEX('Orçamento Analítico'!$B:$M,MATCH('ORÇ. SINTÉTICO'!B12,'Orçamento Analítico'!$B:$B,0)+1,2)</f>
        <v xml:space="preserve"> 1616 </v>
      </c>
      <c r="D12" s="946" t="str">
        <f>INDEX('Orçamento Analítico'!$B:$M,MATCH('ORÇ. SINTÉTICO'!B12,'Orçamento Analítico'!$B:$B,0)+1,3)</f>
        <v>AGESUL</v>
      </c>
      <c r="E12" s="946" t="str">
        <f>INDEX('Orçamento Analítico'!$B:$M,MATCH('ORÇ. SINTÉTICO'!B12,'Orçamento Analítico'!$B:$B,0)+1,4)</f>
        <v>LOCACAO DE BANHEIRO QUIMICO, INCLUSO 4 HIGIENIZAÇOES, MOBILIZACAO E DESMOBILIZACAO</v>
      </c>
      <c r="F12" s="947"/>
      <c r="G12" s="948" t="str">
        <f>INDEX('Orçamento Analítico'!$B:$M,MATCH('ORÇ. SINTÉTICO'!$B12,'Orçamento Analítico'!$B:$B,0)+1,5)</f>
        <v>Material</v>
      </c>
      <c r="H12" s="947" t="str">
        <f>INDEX('Orçamento Analítico'!$B:$M,MATCH('ORÇ. SINTÉTICO'!B12,'Orçamento Analítico'!$B:$B,0)+1,7)</f>
        <v>MES</v>
      </c>
      <c r="I12" s="949">
        <v>8</v>
      </c>
      <c r="J12" s="950">
        <f>INDEX('Orçamento Analítico'!$B:$M,MATCH(B12,'Orçamento Analítico'!$B:$B,0)+1,10)</f>
        <v>800</v>
      </c>
      <c r="K12" s="951">
        <f t="shared" ref="K12:K30" si="2">IF((OR($G12="MATERIAL",$G12="Equipamento")),K$5,K$4)</f>
        <v>0.1527</v>
      </c>
      <c r="L12" s="952">
        <f t="shared" ref="L12:L23" si="3">TRUNC(J12*(1+K12),2)</f>
        <v>922.16</v>
      </c>
      <c r="M12" s="952">
        <f t="shared" ref="M12:M23" si="4">TRUNC($I12 * J12, 2)</f>
        <v>6400</v>
      </c>
      <c r="N12" s="952">
        <f t="shared" ref="N12:N22" si="5">TRUNC($I12 * L12, 2)</f>
        <v>7377.28</v>
      </c>
      <c r="O12" s="955">
        <f t="shared" si="0"/>
        <v>9.5127519350826477E-4</v>
      </c>
      <c r="P12" s="954">
        <f>INDEX('Orçamento Analítico'!$B:$M,MATCH(B12,'Orçamento Analítico'!$B:$B,0)+1,12)</f>
        <v>800</v>
      </c>
      <c r="Q12" s="951">
        <f t="shared" ref="Q12:Q23" si="6">IF((OR($G12="MATERIAL",$G12="Equipamento")),Q$5,Q$4)</f>
        <v>0.2092</v>
      </c>
      <c r="R12" s="952">
        <f t="shared" ref="R12:R23" si="7">TRUNC(P12*(1+Q12),2)</f>
        <v>967.36</v>
      </c>
      <c r="S12" s="952">
        <f t="shared" ref="S12:S23" si="8">TRUNC($I12 * P12, 2)</f>
        <v>6400</v>
      </c>
      <c r="T12" s="952">
        <f t="shared" ref="T12:T23" si="9">TRUNC($I12 * R12, 2)</f>
        <v>7738.88</v>
      </c>
      <c r="U12" s="955">
        <f t="shared" si="1"/>
        <v>9.6023379175511081E-4</v>
      </c>
    </row>
    <row r="13" spans="2:21" s="956" customFormat="1" ht="47.25" x14ac:dyDescent="0.2">
      <c r="B13" s="945" t="s">
        <v>1447</v>
      </c>
      <c r="C13" s="946" t="str">
        <f>INDEX('Orçamento Analítico'!$B:$M,MATCH('ORÇ. SINTÉTICO'!B13,'Orçamento Analítico'!$B:$B,0)+1,2)</f>
        <v xml:space="preserve"> 00010776 </v>
      </c>
      <c r="D13" s="946" t="str">
        <f>INDEX('Orçamento Analítico'!$B:$M,MATCH('ORÇ. SINTÉTICO'!B13,'Orçamento Analítico'!$B:$B,0)+1,3)</f>
        <v>SINAPI</v>
      </c>
      <c r="E13" s="946" t="str">
        <f>INDEX('Orçamento Analítico'!$B:$M,MATCH('ORÇ. SINTÉTICO'!B13,'Orçamento Analítico'!$B:$B,0)+1,4)</f>
        <v>LOCACAO DE CONTAINER 2,30 X 6,00 M, ALT. 2,50 M, PARA ESCRITORIO, SEM DIVISORIAS INTERNAS E SEM SANITARIO (NAO INCLUI MOBILIZACAO/DESMOBILIZACAO)</v>
      </c>
      <c r="F13" s="947"/>
      <c r="G13" s="948" t="str">
        <f>INDEX('Orçamento Analítico'!$B:$M,MATCH('ORÇ. SINTÉTICO'!$B13,'Orçamento Analítico'!$B:$B,0)+1,5)</f>
        <v>Equipamento</v>
      </c>
      <c r="H13" s="947" t="str">
        <f>INDEX('Orçamento Analítico'!$B:$M,MATCH('ORÇ. SINTÉTICO'!B13,'Orçamento Analítico'!$B:$B,0)+1,7)</f>
        <v>MES</v>
      </c>
      <c r="I13" s="949">
        <v>8</v>
      </c>
      <c r="J13" s="950">
        <f>INDEX('Orçamento Analítico'!$B:$M,MATCH(B13,'Orçamento Analítico'!$B:$B,0)+1,10)</f>
        <v>725.58</v>
      </c>
      <c r="K13" s="951">
        <v>0.1527</v>
      </c>
      <c r="L13" s="952">
        <f t="shared" si="3"/>
        <v>836.37</v>
      </c>
      <c r="M13" s="952">
        <f t="shared" si="4"/>
        <v>5804.64</v>
      </c>
      <c r="N13" s="952">
        <f t="shared" si="5"/>
        <v>6690.96</v>
      </c>
      <c r="O13" s="955">
        <f t="shared" si="0"/>
        <v>8.6277656111142034E-4</v>
      </c>
      <c r="P13" s="954">
        <f>INDEX('Orçamento Analítico'!$B:$M,MATCH(B13,'Orçamento Analítico'!$B:$B,0)+1,12)</f>
        <v>725.58</v>
      </c>
      <c r="Q13" s="951">
        <f t="shared" si="6"/>
        <v>0.2092</v>
      </c>
      <c r="R13" s="952">
        <f>TRUNC(P13*(1+Q13),2)</f>
        <v>877.37</v>
      </c>
      <c r="S13" s="952">
        <f>TRUNC($I13 * P13, 2)</f>
        <v>5804.64</v>
      </c>
      <c r="T13" s="952">
        <f>TRUNC($I13 * R13, 2)</f>
        <v>7018.96</v>
      </c>
      <c r="U13" s="955">
        <f t="shared" si="1"/>
        <v>8.7090671711894394E-4</v>
      </c>
    </row>
    <row r="14" spans="2:21" s="930" customFormat="1" ht="31.5" x14ac:dyDescent="0.2">
      <c r="B14" s="920" t="s">
        <v>930</v>
      </c>
      <c r="C14" s="921" t="str">
        <f>INDEX('Orçamento Analítico'!$B:$M,MATCH('ORÇ. SINTÉTICO'!B14,'Orçamento Analítico'!$B:$B,0)+1,2)</f>
        <v xml:space="preserve"> PRE.LIG.ÁGUA </v>
      </c>
      <c r="D14" s="921" t="str">
        <f>INDEX('Orçamento Analítico'!$B:$M,MATCH('ORÇ. SINTÉTICO'!B14,'Orçamento Analítico'!$B:$B,0)+1,3)</f>
        <v>Próprio</v>
      </c>
      <c r="E14" s="921" t="str">
        <f>INDEX('Orçamento Analítico'!$B:$M,MATCH('ORÇ. SINTÉTICO'!B14,'Orçamento Analítico'!$B:$B,0)+1,4)</f>
        <v>LIGAÇÃO PROVISORIA DE ÁGUA</v>
      </c>
      <c r="F14" s="922"/>
      <c r="G14" s="923" t="str">
        <f>INDEX('Orçamento Analítico'!$B:$M,MATCH('ORÇ. SINTÉTICO'!$B14,'Orçamento Analítico'!$B:$B,0)+1,5)</f>
        <v>SEDI - SERVIÇOS DIVERSOS</v>
      </c>
      <c r="H14" s="922" t="str">
        <f>INDEX('Orçamento Analítico'!$B:$M,MATCH('ORÇ. SINTÉTICO'!B14,'Orçamento Analítico'!$B:$B,0)+1,7)</f>
        <v>un</v>
      </c>
      <c r="I14" s="924">
        <v>1</v>
      </c>
      <c r="J14" s="925">
        <f>INDEX('Orçamento Analítico'!$B:$M,MATCH(B14,'Orçamento Analítico'!$B:$B,0)+1,10)</f>
        <v>995.63</v>
      </c>
      <c r="K14" s="926">
        <f t="shared" si="2"/>
        <v>0.24229999999999999</v>
      </c>
      <c r="L14" s="927">
        <f t="shared" si="3"/>
        <v>1236.8699999999999</v>
      </c>
      <c r="M14" s="927">
        <f t="shared" si="4"/>
        <v>995.63</v>
      </c>
      <c r="N14" s="927">
        <f t="shared" si="5"/>
        <v>1236.8699999999999</v>
      </c>
      <c r="O14" s="928">
        <f t="shared" si="0"/>
        <v>1.594901845388229E-4</v>
      </c>
      <c r="P14" s="929">
        <f>INDEX('Orçamento Analítico'!$B:$M,MATCH(B14,'Orçamento Analítico'!$B:$B,0)+1,12)</f>
        <v>969.34</v>
      </c>
      <c r="Q14" s="926">
        <f t="shared" si="6"/>
        <v>0.30659999999999998</v>
      </c>
      <c r="R14" s="927">
        <f t="shared" si="7"/>
        <v>1266.53</v>
      </c>
      <c r="S14" s="927">
        <f t="shared" si="8"/>
        <v>969.34</v>
      </c>
      <c r="T14" s="927">
        <f t="shared" si="9"/>
        <v>1266.53</v>
      </c>
      <c r="U14" s="928">
        <f t="shared" si="1"/>
        <v>1.5714998866394109E-4</v>
      </c>
    </row>
    <row r="15" spans="2:21" s="930" customFormat="1" ht="31.5" x14ac:dyDescent="0.2">
      <c r="B15" s="920" t="s">
        <v>1448</v>
      </c>
      <c r="C15" s="921" t="str">
        <f>INDEX('Orçamento Analítico'!$B:$M,MATCH('ORÇ. SINTÉTICO'!B15,'Orçamento Analítico'!$B:$B,0)+1,2)</f>
        <v xml:space="preserve"> 00005033 </v>
      </c>
      <c r="D15" s="921" t="str">
        <f>INDEX('Orçamento Analítico'!$B:$M,MATCH('ORÇ. SINTÉTICO'!B15,'Orçamento Analítico'!$B:$B,0)+1,3)</f>
        <v>SINAPI</v>
      </c>
      <c r="E15" s="921" t="str">
        <f>INDEX('Orçamento Analítico'!$B:$M,MATCH('ORÇ. SINTÉTICO'!B15,'Orçamento Analítico'!$B:$B,0)+1,4)</f>
        <v>POSTE DE CONCRETO ARMADO DE SECAO DUPLO T, EXTENSAO DE 9,00 M, RESISTENCIA DE 300 A 400 DAN, TIPO B OU D</v>
      </c>
      <c r="F15" s="922"/>
      <c r="G15" s="923" t="str">
        <f>INDEX('Orçamento Analítico'!$B:$M,MATCH('ORÇ. SINTÉTICO'!$B15,'Orçamento Analítico'!$B:$B,0)+1,5)</f>
        <v>Material</v>
      </c>
      <c r="H15" s="922" t="str">
        <f>INDEX('Orçamento Analítico'!$B:$M,MATCH('ORÇ. SINTÉTICO'!B15,'Orçamento Analítico'!$B:$B,0)+1,7)</f>
        <v>UN</v>
      </c>
      <c r="I15" s="924">
        <v>1</v>
      </c>
      <c r="J15" s="925">
        <f>INDEX('Orçamento Analítico'!$B:$M,MATCH(B15,'Orçamento Analítico'!$B:$B,0)+1,10)</f>
        <v>1149</v>
      </c>
      <c r="K15" s="926">
        <f t="shared" si="2"/>
        <v>0.1527</v>
      </c>
      <c r="L15" s="927">
        <f t="shared" si="3"/>
        <v>1324.45</v>
      </c>
      <c r="M15" s="927">
        <f t="shared" si="4"/>
        <v>1149</v>
      </c>
      <c r="N15" s="927">
        <f t="shared" si="5"/>
        <v>1324.45</v>
      </c>
      <c r="O15" s="928">
        <f t="shared" si="0"/>
        <v>1.7078332800734436E-4</v>
      </c>
      <c r="P15" s="929">
        <f>INDEX('Orçamento Analítico'!$B:$M,MATCH(B15,'Orçamento Analítico'!$B:$B,0)+1,12)</f>
        <v>1149</v>
      </c>
      <c r="Q15" s="926">
        <f t="shared" si="6"/>
        <v>0.2092</v>
      </c>
      <c r="R15" s="927">
        <f t="shared" si="7"/>
        <v>1389.37</v>
      </c>
      <c r="S15" s="927">
        <f t="shared" si="8"/>
        <v>1149</v>
      </c>
      <c r="T15" s="927">
        <f t="shared" si="9"/>
        <v>1389.37</v>
      </c>
      <c r="U15" s="928">
        <f t="shared" si="1"/>
        <v>1.7239187366270033E-4</v>
      </c>
    </row>
    <row r="16" spans="2:21" s="930" customFormat="1" ht="47.25" x14ac:dyDescent="0.2">
      <c r="B16" s="920" t="s">
        <v>936</v>
      </c>
      <c r="C16" s="921" t="str">
        <f>INDEX('Orçamento Analítico'!$B:$M,MATCH('ORÇ. SINTÉTICO'!B16,'Orçamento Analítico'!$B:$B,0)+1,2)</f>
        <v xml:space="preserve"> 101507 </v>
      </c>
      <c r="D16" s="921" t="str">
        <f>INDEX('Orçamento Analítico'!$B:$M,MATCH('ORÇ. SINTÉTICO'!B16,'Orçamento Analítico'!$B:$B,0)+1,3)</f>
        <v>SINAPI</v>
      </c>
      <c r="E16" s="921" t="str">
        <f>INDEX('Orçamento Analítico'!$B:$M,MATCH('ORÇ. SINTÉTICO'!B16,'Orçamento Analítico'!$B:$B,0)+1,4)</f>
        <v>ENTRADA DE ENERGIA ELÉTRICA, AÉREA, TRIFÁSICA, COM CAIXA DE SOBREPOR, CABO DE 25 MM2 E DISJUNTOR DIN 50A (NÃO INCLUSO O POSTE DE CONCRETO). AF_07/2020_PS</v>
      </c>
      <c r="F16" s="922"/>
      <c r="G16" s="923" t="str">
        <f>INDEX('Orçamento Analítico'!$B:$M,MATCH('ORÇ. SINTÉTICO'!$B16,'Orçamento Analítico'!$B:$B,0)+1,5)</f>
        <v>Instalações Elétricas - Rede de Distribuição</v>
      </c>
      <c r="H16" s="922" t="str">
        <f>INDEX('Orçamento Analítico'!$B:$M,MATCH('ORÇ. SINTÉTICO'!B16,'Orçamento Analítico'!$B:$B,0)+1,7)</f>
        <v>UN</v>
      </c>
      <c r="I16" s="924">
        <v>1</v>
      </c>
      <c r="J16" s="925">
        <f>INDEX('Orçamento Analítico'!$B:$M,MATCH(B16,'Orçamento Analítico'!$B:$B,0)+1,10)</f>
        <v>2256.7399999999998</v>
      </c>
      <c r="K16" s="926">
        <f t="shared" si="2"/>
        <v>0.24229999999999999</v>
      </c>
      <c r="L16" s="927">
        <f t="shared" si="3"/>
        <v>2803.54</v>
      </c>
      <c r="M16" s="927">
        <f t="shared" si="4"/>
        <v>2256.7399999999998</v>
      </c>
      <c r="N16" s="927">
        <f t="shared" si="5"/>
        <v>2803.54</v>
      </c>
      <c r="O16" s="928">
        <f t="shared" si="0"/>
        <v>3.6150695866337735E-4</v>
      </c>
      <c r="P16" s="929">
        <f>INDEX('Orçamento Analítico'!$B:$M,MATCH(B16,'Orçamento Analítico'!$B:$B,0)+1,12)</f>
        <v>2225.6799999999998</v>
      </c>
      <c r="Q16" s="926">
        <f t="shared" si="6"/>
        <v>0.30659999999999998</v>
      </c>
      <c r="R16" s="927">
        <f t="shared" si="7"/>
        <v>2908.07</v>
      </c>
      <c r="S16" s="927">
        <f t="shared" si="8"/>
        <v>2225.6799999999998</v>
      </c>
      <c r="T16" s="927">
        <f t="shared" si="9"/>
        <v>2908.07</v>
      </c>
      <c r="U16" s="928">
        <f t="shared" si="1"/>
        <v>3.6083090612456652E-4</v>
      </c>
    </row>
    <row r="17" spans="2:21" s="956" customFormat="1" ht="63" x14ac:dyDescent="0.2">
      <c r="B17" s="945" t="s">
        <v>939</v>
      </c>
      <c r="C17" s="946" t="str">
        <f>INDEX('Orçamento Analítico'!$B:$M,MATCH('ORÇ. SINTÉTICO'!B17,'Orçamento Analítico'!$B:$B,0)+1,2)</f>
        <v xml:space="preserve"> 101203 </v>
      </c>
      <c r="D17" s="946" t="str">
        <f>INDEX('Orçamento Analítico'!$B:$M,MATCH('ORÇ. SINTÉTICO'!B17,'Orçamento Analítico'!$B:$B,0)+1,3)</f>
        <v>SINAPI</v>
      </c>
      <c r="E17" s="946" t="str">
        <f>INDEX('Orçamento Analítico'!$B:$M,MATCH('ORÇ. SINTÉTICO'!B17,'Orçamento Analítico'!$B:$B,0)+1,4)</f>
        <v>CERCA COM MOURÕES DE MADEIRA ROLIÇA, DIÂMETRO 11 CM, ESPAÇAMENTO DE 2,5 M, ALTURA LIVRE DE 1,7 M, CRAVADOS 0,5 M, COM 5 FIOS DE ARAME DE AÇO OVALADO 15X17 - FORNECIMENTO E INSTALAÇÃO. AF_05/2020</v>
      </c>
      <c r="F17" s="947"/>
      <c r="G17" s="948" t="str">
        <f>INDEX('Orçamento Analítico'!$B:$M,MATCH('ORÇ. SINTÉTICO'!$B17,'Orçamento Analítico'!$B:$B,0)+1,5)</f>
        <v>Cercas, Protetores e Alambrados</v>
      </c>
      <c r="H17" s="947" t="str">
        <f>INDEX('Orçamento Analítico'!$B:$M,MATCH('ORÇ. SINTÉTICO'!B17,'Orçamento Analítico'!$B:$B,0)+1,7)</f>
        <v>M</v>
      </c>
      <c r="I17" s="957">
        <f>PRELIMINARES!G12</f>
        <v>400</v>
      </c>
      <c r="J17" s="950">
        <f>INDEX('Orçamento Analítico'!$B:$M,MATCH(B17,'Orçamento Analítico'!$B:$B,0)+1,10)</f>
        <v>38.51</v>
      </c>
      <c r="K17" s="951">
        <f t="shared" si="2"/>
        <v>0.24229999999999999</v>
      </c>
      <c r="L17" s="952">
        <f t="shared" si="3"/>
        <v>47.84</v>
      </c>
      <c r="M17" s="952">
        <f t="shared" si="4"/>
        <v>15404</v>
      </c>
      <c r="N17" s="952">
        <f t="shared" si="5"/>
        <v>19136</v>
      </c>
      <c r="O17" s="955">
        <f t="shared" si="0"/>
        <v>2.4675221901533026E-3</v>
      </c>
      <c r="P17" s="954">
        <f>INDEX('Orçamento Analítico'!$B:$M,MATCH(B17,'Orçamento Analítico'!$B:$B,0)+1,12)</f>
        <v>37.43</v>
      </c>
      <c r="Q17" s="951">
        <f t="shared" si="6"/>
        <v>0.30659999999999998</v>
      </c>
      <c r="R17" s="952">
        <f t="shared" si="7"/>
        <v>48.9</v>
      </c>
      <c r="S17" s="952">
        <f t="shared" si="8"/>
        <v>14972</v>
      </c>
      <c r="T17" s="952">
        <f t="shared" si="9"/>
        <v>19560</v>
      </c>
      <c r="U17" s="955">
        <f t="shared" si="1"/>
        <v>2.4269885263410169E-3</v>
      </c>
    </row>
    <row r="18" spans="2:21" s="956" customFormat="1" ht="31.5" x14ac:dyDescent="0.2">
      <c r="B18" s="945" t="s">
        <v>941</v>
      </c>
      <c r="C18" s="946" t="str">
        <f>INDEX('Orçamento Analítico'!$B:$M,MATCH('ORÇ. SINTÉTICO'!B18,'Orçamento Analítico'!$B:$B,0)+1,2)</f>
        <v xml:space="preserve"> 96622 </v>
      </c>
      <c r="D18" s="946" t="str">
        <f>INDEX('Orçamento Analítico'!$B:$M,MATCH('ORÇ. SINTÉTICO'!B18,'Orçamento Analítico'!$B:$B,0)+1,3)</f>
        <v>SINAPI</v>
      </c>
      <c r="E18" s="946" t="str">
        <f>INDEX('Orçamento Analítico'!$B:$M,MATCH('ORÇ. SINTÉTICO'!B18,'Orçamento Analítico'!$B:$B,0)+1,4)</f>
        <v>LASTRO COM MATERIAL GRANULAR, APLICADO EM PISOS OU LAJES SOBRE SOLO, ESPESSURA DE *5 CM*. AF_01/2024</v>
      </c>
      <c r="F18" s="947"/>
      <c r="G18" s="948" t="str">
        <f>INDEX('Orçamento Analítico'!$B:$M,MATCH('ORÇ. SINTÉTICO'!$B18,'Orçamento Analítico'!$B:$B,0)+1,5)</f>
        <v>Lastro</v>
      </c>
      <c r="H18" s="947" t="str">
        <f>INDEX('Orçamento Analítico'!$B:$M,MATCH('ORÇ. SINTÉTICO'!B18,'Orçamento Analítico'!$B:$B,0)+1,7)</f>
        <v>m³</v>
      </c>
      <c r="I18" s="957">
        <f>PRELIMINARES!G13</f>
        <v>7.5</v>
      </c>
      <c r="J18" s="950">
        <f>INDEX('Orçamento Analítico'!$B:$M,MATCH(B18,'Orçamento Analítico'!$B:$B,0)+1,10)</f>
        <v>209.31</v>
      </c>
      <c r="K18" s="951">
        <f t="shared" si="2"/>
        <v>0.24229999999999999</v>
      </c>
      <c r="L18" s="952">
        <f t="shared" si="3"/>
        <v>260.02</v>
      </c>
      <c r="M18" s="952">
        <f t="shared" si="4"/>
        <v>1569.82</v>
      </c>
      <c r="N18" s="952">
        <f t="shared" si="5"/>
        <v>1950.15</v>
      </c>
      <c r="O18" s="955">
        <f t="shared" si="0"/>
        <v>2.5146521734570771E-4</v>
      </c>
      <c r="P18" s="954">
        <f>INDEX('Orçamento Analítico'!$B:$M,MATCH(B18,'Orçamento Analítico'!$B:$B,0)+1,12)</f>
        <v>205.22</v>
      </c>
      <c r="Q18" s="951">
        <f t="shared" si="6"/>
        <v>0.30659999999999998</v>
      </c>
      <c r="R18" s="952">
        <f t="shared" si="7"/>
        <v>268.14</v>
      </c>
      <c r="S18" s="952">
        <f t="shared" si="8"/>
        <v>1539.15</v>
      </c>
      <c r="T18" s="952">
        <f t="shared" si="9"/>
        <v>2011.05</v>
      </c>
      <c r="U18" s="955">
        <f t="shared" si="1"/>
        <v>2.4952941083323626E-4</v>
      </c>
    </row>
    <row r="19" spans="2:21" s="941" customFormat="1" ht="63" x14ac:dyDescent="0.2">
      <c r="B19" s="932" t="s">
        <v>942</v>
      </c>
      <c r="C19" s="933" t="str">
        <f>INDEX('Orçamento Analítico'!$B:$M,MATCH('ORÇ. SINTÉTICO'!B19,'Orçamento Analítico'!$B:$B,0)+1,2)</f>
        <v xml:space="preserve"> 100982 </v>
      </c>
      <c r="D19" s="933" t="str">
        <f>INDEX('Orçamento Analítico'!$B:$M,MATCH('ORÇ. SINTÉTICO'!B19,'Orçamento Analítico'!$B:$B,0)+1,3)</f>
        <v>SINAPI</v>
      </c>
      <c r="E19" s="933" t="str">
        <f>INDEX('Orçamento Analítico'!$B:$M,MATCH('ORÇ. SINTÉTICO'!B19,'Orçamento Analítico'!$B:$B,0)+1,4)</f>
        <v>CARGA, MANOBRA E DESCARGA DE ENTULHO EM CAMINHÃO BASCULANTE 10 M³ - CARGA COM ESCAVADEIRA HIDRÁULICA (CAÇAMBA DE 0,80 M³ / 111 HP) E DESCARGA LIVRE (UNIDADE: M3). AF_07/2020</v>
      </c>
      <c r="F19" s="934"/>
      <c r="G19" s="935" t="str">
        <f>INDEX('Orçamento Analítico'!$B:$M,MATCH('ORÇ. SINTÉTICO'!$B19,'Orçamento Analítico'!$B:$B,0)+1,5)</f>
        <v>Transporte, Carga e Descarga de Materiais</v>
      </c>
      <c r="H19" s="934" t="str">
        <f>INDEX('Orçamento Analítico'!$B:$M,MATCH('ORÇ. SINTÉTICO'!B19,'Orçamento Analítico'!$B:$B,0)+1,7)</f>
        <v>m³</v>
      </c>
      <c r="I19" s="942">
        <f>PRELIMINARES!F21</f>
        <v>10.35</v>
      </c>
      <c r="J19" s="937">
        <f>INDEX('Orçamento Analítico'!$B:$M,MATCH(B19,'Orçamento Analítico'!$B:$B,0)+1,10)</f>
        <v>9.07</v>
      </c>
      <c r="K19" s="938">
        <f t="shared" si="2"/>
        <v>0.24229999999999999</v>
      </c>
      <c r="L19" s="939">
        <f t="shared" ref="L19" si="10">TRUNC(J19*(1+K19),2)</f>
        <v>11.26</v>
      </c>
      <c r="M19" s="939">
        <f t="shared" ref="M19" si="11">TRUNC($I19 * J19, 2)</f>
        <v>93.87</v>
      </c>
      <c r="N19" s="939">
        <f t="shared" ref="N19" si="12">TRUNC($I19 * L19, 2)</f>
        <v>116.54</v>
      </c>
      <c r="O19" s="928">
        <f t="shared" si="0"/>
        <v>1.5027437084054446E-5</v>
      </c>
      <c r="P19" s="940">
        <f>INDEX('Orçamento Analítico'!$B:$M,MATCH(B19,'Orçamento Analítico'!$B:$B,0)+1,12)</f>
        <v>8.9700000000000006</v>
      </c>
      <c r="Q19" s="938">
        <f t="shared" si="6"/>
        <v>0.30659999999999998</v>
      </c>
      <c r="R19" s="939">
        <f t="shared" ref="R19" si="13">TRUNC(P19*(1+Q19),2)</f>
        <v>11.72</v>
      </c>
      <c r="S19" s="939">
        <f t="shared" ref="S19" si="14">TRUNC($I19 * P19, 2)</f>
        <v>92.83</v>
      </c>
      <c r="T19" s="939">
        <f t="shared" ref="T19" si="15">TRUNC($I19 * R19, 2)</f>
        <v>121.3</v>
      </c>
      <c r="U19" s="928">
        <f t="shared" si="1"/>
        <v>1.5050803080018677E-5</v>
      </c>
    </row>
    <row r="20" spans="2:21" s="956" customFormat="1" ht="63" x14ac:dyDescent="0.2">
      <c r="B20" s="945" t="s">
        <v>1257</v>
      </c>
      <c r="C20" s="946" t="str">
        <f>INDEX('Orçamento Analítico'!$B:$M,MATCH('ORÇ. SINTÉTICO'!B20,'Orçamento Analítico'!$B:$B,0)+1,2)</f>
        <v xml:space="preserve"> 95875 </v>
      </c>
      <c r="D20" s="946" t="str">
        <f>INDEX('Orçamento Analítico'!$B:$M,MATCH('ORÇ. SINTÉTICO'!B20,'Orçamento Analítico'!$B:$B,0)+1,3)</f>
        <v>SINAPI</v>
      </c>
      <c r="E20" s="946" t="str">
        <f>INDEX('Orçamento Analítico'!$B:$M,MATCH('ORÇ. SINTÉTICO'!B20,'Orçamento Analítico'!$B:$B,0)+1,4)</f>
        <v>TRANSPORTE COM CAMINHÃO BASCULANTE DE 10 M³, EM VIA URBANA PAVIMENTADA, DMT ATÉ 30 KM (UNIDADE: M3XKM). AF_07/2020</v>
      </c>
      <c r="F20" s="947">
        <f>DMT!F9</f>
        <v>18.2</v>
      </c>
      <c r="G20" s="948" t="str">
        <f>INDEX('Orçamento Analítico'!$B:$M,MATCH('ORÇ. SINTÉTICO'!$B20,'Orçamento Analítico'!$B:$B,0)+1,5)</f>
        <v>Transporte, Carga e Descarga de Materiais</v>
      </c>
      <c r="H20" s="947" t="str">
        <f>INDEX('Orçamento Analítico'!$B:$M,MATCH('ORÇ. SINTÉTICO'!B20,'Orçamento Analítico'!$B:$B,0)+1,7)</f>
        <v>M3XKM</v>
      </c>
      <c r="I20" s="949">
        <f>PRELIMINARES!F20</f>
        <v>188.37</v>
      </c>
      <c r="J20" s="950">
        <f>INDEX('Orçamento Analítico'!$B:$M,MATCH(B20,'Orçamento Analítico'!$B:$B,0)+1,10)</f>
        <v>2.5</v>
      </c>
      <c r="K20" s="951">
        <f t="shared" si="2"/>
        <v>0.24229999999999999</v>
      </c>
      <c r="L20" s="952">
        <f t="shared" si="3"/>
        <v>3.1</v>
      </c>
      <c r="M20" s="952">
        <f t="shared" si="4"/>
        <v>470.92</v>
      </c>
      <c r="N20" s="952">
        <f t="shared" si="5"/>
        <v>583.94000000000005</v>
      </c>
      <c r="O20" s="955">
        <f t="shared" si="0"/>
        <v>7.5297079207677656E-5</v>
      </c>
      <c r="P20" s="954">
        <f>INDEX('Orçamento Analítico'!$B:$M,MATCH(B20,'Orçamento Analítico'!$B:$B,0)+1,12)</f>
        <v>2.48</v>
      </c>
      <c r="Q20" s="951">
        <f t="shared" si="6"/>
        <v>0.30659999999999998</v>
      </c>
      <c r="R20" s="952">
        <f t="shared" si="7"/>
        <v>3.24</v>
      </c>
      <c r="S20" s="952">
        <f t="shared" si="8"/>
        <v>467.15</v>
      </c>
      <c r="T20" s="952">
        <f t="shared" si="9"/>
        <v>610.30999999999995</v>
      </c>
      <c r="U20" s="955">
        <f t="shared" si="1"/>
        <v>7.572675703022422E-5</v>
      </c>
    </row>
    <row r="21" spans="2:21" s="956" customFormat="1" ht="31.5" x14ac:dyDescent="0.2">
      <c r="B21" s="945" t="s">
        <v>1258</v>
      </c>
      <c r="C21" s="946" t="str">
        <f>INDEX('Orçamento Analítico'!$B:$M,MATCH('ORÇ. SINTÉTICO'!B21,'Orçamento Analítico'!$B:$B,0)+1,2)</f>
        <v xml:space="preserve"> PRE.SIN.ADVERT. </v>
      </c>
      <c r="D21" s="946" t="str">
        <f>INDEX('Orçamento Analítico'!$B:$M,MATCH('ORÇ. SINTÉTICO'!B21,'Orçamento Analítico'!$B:$B,0)+1,3)</f>
        <v>Próprio</v>
      </c>
      <c r="E21" s="946" t="str">
        <f>INDEX('Orçamento Analítico'!$B:$M,MATCH('ORÇ. SINTÉTICO'!B21,'Orçamento Analítico'!$B:$B,0)+1,4)</f>
        <v>SINALIZAÇÃO DE ADVERTÊNCIA DE OBRA COM PLACA (FUNDO LARANJA) SOBRE CAVALETE, CONFORME ABNT-NBR-7678</v>
      </c>
      <c r="F21" s="947"/>
      <c r="G21" s="948" t="str">
        <f>INDEX('Orçamento Analítico'!$B:$M,MATCH('ORÇ. SINTÉTICO'!$B21,'Orçamento Analítico'!$B:$B,0)+1,5)</f>
        <v>SEDI - SERVIÇOS DIVERSOS</v>
      </c>
      <c r="H21" s="947" t="str">
        <f>INDEX('Orçamento Analítico'!$B:$M,MATCH('ORÇ. SINTÉTICO'!B21,'Orçamento Analítico'!$B:$B,0)+1,7)</f>
        <v>un</v>
      </c>
      <c r="I21" s="958">
        <f>PRELIMINARES!G14</f>
        <v>29</v>
      </c>
      <c r="J21" s="950">
        <f>INDEX('Orçamento Analítico'!$B:$M,MATCH(B21,'Orçamento Analítico'!$B:$B,0)+1,10)</f>
        <v>492.48</v>
      </c>
      <c r="K21" s="951">
        <f t="shared" si="2"/>
        <v>0.24229999999999999</v>
      </c>
      <c r="L21" s="952">
        <f t="shared" si="3"/>
        <v>611.79999999999995</v>
      </c>
      <c r="M21" s="952">
        <f t="shared" si="4"/>
        <v>14281.92</v>
      </c>
      <c r="N21" s="952">
        <f t="shared" si="5"/>
        <v>17742.2</v>
      </c>
      <c r="O21" s="955">
        <f t="shared" si="0"/>
        <v>2.287796415245502E-3</v>
      </c>
      <c r="P21" s="954">
        <f>INDEX('Orçamento Analítico'!$B:$M,MATCH(B21,'Orçamento Analítico'!$B:$B,0)+1,12)</f>
        <v>489.04</v>
      </c>
      <c r="Q21" s="951">
        <f t="shared" si="6"/>
        <v>0.30659999999999998</v>
      </c>
      <c r="R21" s="952">
        <f t="shared" si="7"/>
        <v>638.97</v>
      </c>
      <c r="S21" s="952">
        <f t="shared" si="8"/>
        <v>14182.16</v>
      </c>
      <c r="T21" s="952">
        <f t="shared" si="9"/>
        <v>18530.13</v>
      </c>
      <c r="U21" s="955">
        <f t="shared" si="1"/>
        <v>2.2992031135791141E-3</v>
      </c>
    </row>
    <row r="22" spans="2:21" s="956" customFormat="1" ht="31.5" x14ac:dyDescent="0.2">
      <c r="B22" s="945" t="s">
        <v>1259</v>
      </c>
      <c r="C22" s="946" t="str">
        <f>INDEX('Orçamento Analítico'!$B:$M,MATCH('ORÇ. SINTÉTICO'!B22,'Orçamento Analítico'!$B:$B,0)+1,2)</f>
        <v xml:space="preserve"> PRE.ISOL.OBRA </v>
      </c>
      <c r="D22" s="946" t="str">
        <f>INDEX('Orçamento Analítico'!$B:$M,MATCH('ORÇ. SINTÉTICO'!B22,'Orçamento Analítico'!$B:$B,0)+1,3)</f>
        <v>Próprio</v>
      </c>
      <c r="E22" s="946" t="str">
        <f>INDEX('Orçamento Analítico'!$B:$M,MATCH('ORÇ. SINTÉTICO'!B22,'Orçamento Analítico'!$B:$B,0)+1,4)</f>
        <v>ISOLAMENTO DE OBRA COM TELA PLASTICA COM MALHA DE 5MM</v>
      </c>
      <c r="F22" s="947"/>
      <c r="G22" s="948" t="str">
        <f>INDEX('Orçamento Analítico'!$B:$M,MATCH('ORÇ. SINTÉTICO'!$B22,'Orçamento Analítico'!$B:$B,0)+1,5)</f>
        <v>SERP - SERVIÇOS PRELIMINARES</v>
      </c>
      <c r="H22" s="947" t="str">
        <f>INDEX('Orçamento Analítico'!$B:$M,MATCH('ORÇ. SINTÉTICO'!B22,'Orçamento Analítico'!$B:$B,0)+1,7)</f>
        <v>m²</v>
      </c>
      <c r="I22" s="949">
        <f>PRELIMINARES!G15</f>
        <v>633</v>
      </c>
      <c r="J22" s="950">
        <f>INDEX('Orçamento Analítico'!$B:$M,MATCH(B22,'Orçamento Analítico'!$B:$B,0)+1,10)</f>
        <v>9.52</v>
      </c>
      <c r="K22" s="951">
        <f t="shared" si="2"/>
        <v>0.24229999999999999</v>
      </c>
      <c r="L22" s="952">
        <f t="shared" si="3"/>
        <v>11.82</v>
      </c>
      <c r="M22" s="952">
        <f t="shared" si="4"/>
        <v>6026.16</v>
      </c>
      <c r="N22" s="952">
        <f t="shared" si="5"/>
        <v>7482.06</v>
      </c>
      <c r="O22" s="955">
        <f t="shared" si="0"/>
        <v>9.6478621854402275E-4</v>
      </c>
      <c r="P22" s="954">
        <f>INDEX('Orçamento Analítico'!$B:$M,MATCH(B22,'Orçamento Analítico'!$B:$B,0)+1,12)</f>
        <v>9.1999999999999993</v>
      </c>
      <c r="Q22" s="951">
        <f t="shared" si="6"/>
        <v>0.30659999999999998</v>
      </c>
      <c r="R22" s="952">
        <f t="shared" si="7"/>
        <v>12.02</v>
      </c>
      <c r="S22" s="952">
        <f t="shared" si="8"/>
        <v>5823.6</v>
      </c>
      <c r="T22" s="952">
        <f t="shared" si="9"/>
        <v>7608.66</v>
      </c>
      <c r="U22" s="955">
        <f t="shared" si="1"/>
        <v>9.4407620249641316E-4</v>
      </c>
    </row>
    <row r="23" spans="2:21" s="956" customFormat="1" ht="31.5" x14ac:dyDescent="0.2">
      <c r="B23" s="945" t="s">
        <v>1334</v>
      </c>
      <c r="C23" s="946" t="str">
        <f>INDEX('Orçamento Analítico'!$B:$M,MATCH('ORÇ. SINTÉTICO'!B23,'Orçamento Analítico'!$B:$B,0)+1,2)</f>
        <v xml:space="preserve"> PRE.SIN.TRANS. </v>
      </c>
      <c r="D23" s="946" t="str">
        <f>INDEX('Orçamento Analítico'!$B:$M,MATCH('ORÇ. SINTÉTICO'!B23,'Orçamento Analítico'!$B:$B,0)+1,3)</f>
        <v>Próprio</v>
      </c>
      <c r="E23" s="946" t="str">
        <f>INDEX('Orçamento Analítico'!$B:$M,MATCH('ORÇ. SINTÉTICO'!B23,'Orçamento Analítico'!$B:$B,0)+1,4)</f>
        <v>SINALIZACAO DE TRANSITO - NOTURNA (AF.06/2024)</v>
      </c>
      <c r="F23" s="947"/>
      <c r="G23" s="948" t="str">
        <f>INDEX('Orçamento Analítico'!$B:$M,MATCH('ORÇ. SINTÉTICO'!$B23,'Orçamento Analítico'!$B:$B,0)+1,5)</f>
        <v>SERP - SERVIÇOS PRELIMINARES</v>
      </c>
      <c r="H23" s="947" t="str">
        <f>INDEX('Orçamento Analítico'!$B:$M,MATCH('ORÇ. SINTÉTICO'!B23,'Orçamento Analítico'!$B:$B,0)+1,7)</f>
        <v>M</v>
      </c>
      <c r="I23" s="949">
        <f>PRELIMINARES!G16</f>
        <v>528</v>
      </c>
      <c r="J23" s="950">
        <f>INDEX('Orçamento Analítico'!$B:$M,MATCH(B23,'Orçamento Analítico'!$B:$B,0)+1,10)</f>
        <v>4.04</v>
      </c>
      <c r="K23" s="951">
        <f t="shared" si="2"/>
        <v>0.24229999999999999</v>
      </c>
      <c r="L23" s="952">
        <f t="shared" si="3"/>
        <v>5.01</v>
      </c>
      <c r="M23" s="952">
        <f t="shared" si="4"/>
        <v>2133.12</v>
      </c>
      <c r="N23" s="952">
        <f>TRUNC($I23 * L23, 2)</f>
        <v>2645.28</v>
      </c>
      <c r="O23" s="955">
        <f t="shared" si="0"/>
        <v>3.4109986931274709E-4</v>
      </c>
      <c r="P23" s="954">
        <f>INDEX('Orçamento Analítico'!$B:$M,MATCH(B23,'Orçamento Analítico'!$B:$B,0)+1,12)</f>
        <v>3.89</v>
      </c>
      <c r="Q23" s="951">
        <f t="shared" si="6"/>
        <v>0.30659999999999998</v>
      </c>
      <c r="R23" s="952">
        <f t="shared" si="7"/>
        <v>5.08</v>
      </c>
      <c r="S23" s="952">
        <f t="shared" si="8"/>
        <v>2053.92</v>
      </c>
      <c r="T23" s="952">
        <f t="shared" si="9"/>
        <v>2682.24</v>
      </c>
      <c r="U23" s="955">
        <f t="shared" si="1"/>
        <v>3.3281010761211291E-4</v>
      </c>
    </row>
    <row r="24" spans="2:21" x14ac:dyDescent="0.2">
      <c r="B24" s="617" t="s">
        <v>402</v>
      </c>
      <c r="C24" s="840"/>
      <c r="D24" s="840"/>
      <c r="E24" s="617" t="s">
        <v>945</v>
      </c>
      <c r="F24" s="601"/>
      <c r="G24" s="726"/>
      <c r="H24" s="841"/>
      <c r="I24" s="695">
        <v>1</v>
      </c>
      <c r="J24" s="620"/>
      <c r="K24" s="621"/>
      <c r="L24" s="622"/>
      <c r="M24" s="603">
        <f>TRUNC(SUM(M25:M30),2)</f>
        <v>13571.08</v>
      </c>
      <c r="N24" s="603">
        <f>TRUNC(SUM(N25:N30),2)</f>
        <v>16857.669999999998</v>
      </c>
      <c r="O24" s="624">
        <f t="shared" si="0"/>
        <v>2.1737392767183119E-3</v>
      </c>
      <c r="P24" s="842"/>
      <c r="Q24" s="602"/>
      <c r="R24" s="603"/>
      <c r="S24" s="603">
        <f>TRUNC(SUM(S25:S30),2)</f>
        <v>13035.19</v>
      </c>
      <c r="T24" s="603">
        <f>TRUNC(SUM(T25:T30),2)</f>
        <v>17029.3</v>
      </c>
      <c r="U24" s="624">
        <f t="shared" si="1"/>
        <v>2.112981375849646E-3</v>
      </c>
    </row>
    <row r="25" spans="2:21" s="956" customFormat="1" ht="48" customHeight="1" x14ac:dyDescent="0.2">
      <c r="B25" s="945" t="s">
        <v>946</v>
      </c>
      <c r="C25" s="946" t="str">
        <f>INDEX('Orçamento Analítico'!$B:$M,MATCH('ORÇ. SINTÉTICO'!B25,'Orçamento Analítico'!$B:$B,0)+1,2)</f>
        <v xml:space="preserve"> DEM.CONCR.S </v>
      </c>
      <c r="D25" s="946" t="str">
        <f>INDEX('Orçamento Analítico'!$B:$M,MATCH('ORÇ. SINTÉTICO'!B25,'Orçamento Analítico'!$B:$B,0)+1,3)</f>
        <v>Próprio</v>
      </c>
      <c r="E25" s="946" t="str">
        <f>INDEX('Orçamento Analítico'!$B:$M,MATCH('ORÇ. SINTÉTICO'!B25,'Orçamento Analítico'!$B:$B,0)+1,4)</f>
        <v>DEMOLICAO DE CONCRETO SIMPLES, DE FORMA MANUAL, SEM REAPROVEITAMENTO (Ref. SINAPI 73616-11/2017)</v>
      </c>
      <c r="F25" s="947"/>
      <c r="G25" s="948" t="str">
        <f>INDEX('Orçamento Analítico'!$B:$M,MATCH('ORÇ. SINTÉTICO'!$B25,'Orçamento Analítico'!$B:$B,0)+1,5)</f>
        <v>SERP - SERVIÇOS PRELIMINARES</v>
      </c>
      <c r="H25" s="947" t="str">
        <f>INDEX('Orçamento Analítico'!$B:$M,MATCH('ORÇ. SINTÉTICO'!B25,'Orçamento Analítico'!$B:$B,0)+1,7)</f>
        <v>m³</v>
      </c>
      <c r="I25" s="957">
        <f>'DEMOLIÇÕES E RETIRADAS'!O11</f>
        <v>15.53</v>
      </c>
      <c r="J25" s="950">
        <f>INDEX('Orçamento Analítico'!$B:$M,MATCH(B25,'Orçamento Analítico'!$B:$B,0)+1,10)</f>
        <v>332.93</v>
      </c>
      <c r="K25" s="951">
        <f t="shared" si="2"/>
        <v>0.24229999999999999</v>
      </c>
      <c r="L25" s="952">
        <f t="shared" ref="L25" si="16">TRUNC(J25*(1+K25),2)</f>
        <v>413.59</v>
      </c>
      <c r="M25" s="952">
        <f t="shared" ref="M25" si="17">TRUNC($I25 * J25, 2)</f>
        <v>5170.3999999999996</v>
      </c>
      <c r="N25" s="952">
        <f t="shared" ref="N25" si="18">TRUNC($I25 * L25, 2)</f>
        <v>6423.05</v>
      </c>
      <c r="O25" s="955">
        <f t="shared" si="0"/>
        <v>8.2823047676965772E-4</v>
      </c>
      <c r="P25" s="954">
        <f>INDEX('Orçamento Analítico'!$B:$M,MATCH(B25,'Orçamento Analítico'!$B:$B,0)+1,12)</f>
        <v>315.08</v>
      </c>
      <c r="Q25" s="951">
        <f t="shared" ref="Q25:Q104" si="19">IF((OR($G25="MATERIAL",$G25="Equipamento")),Q$5,Q$4)</f>
        <v>0.30659999999999998</v>
      </c>
      <c r="R25" s="952">
        <f t="shared" ref="R25" si="20">TRUNC(P25*(1+Q25),2)</f>
        <v>411.68</v>
      </c>
      <c r="S25" s="952">
        <f t="shared" ref="S25" si="21">TRUNC($I25 * P25, 2)</f>
        <v>4893.1899999999996</v>
      </c>
      <c r="T25" s="952">
        <f t="shared" ref="T25" si="22">TRUNC($I25 * R25, 2)</f>
        <v>6393.39</v>
      </c>
      <c r="U25" s="955">
        <f t="shared" si="1"/>
        <v>7.9328651198483607E-4</v>
      </c>
    </row>
    <row r="26" spans="2:21" s="956" customFormat="1" ht="31.5" x14ac:dyDescent="0.2">
      <c r="B26" s="945" t="s">
        <v>949</v>
      </c>
      <c r="C26" s="946" t="str">
        <f>INDEX('Orçamento Analítico'!$B:$M,MATCH('ORÇ. SINTÉTICO'!B26,'Orçamento Analítico'!$B:$B,0)+1,2)</f>
        <v xml:space="preserve"> 97636 </v>
      </c>
      <c r="D26" s="946" t="str">
        <f>INDEX('Orçamento Analítico'!$B:$M,MATCH('ORÇ. SINTÉTICO'!B26,'Orçamento Analítico'!$B:$B,0)+1,3)</f>
        <v>SINAPI</v>
      </c>
      <c r="E26" s="946" t="str">
        <f>INDEX('Orçamento Analítico'!$B:$M,MATCH('ORÇ. SINTÉTICO'!B26,'Orçamento Analítico'!$B:$B,0)+1,4)</f>
        <v>DEMOLIÇÃO PARCIAL DE PAVIMENTO ASFÁLTICO, DE FORMA MECANIZADA, SEM REAPROVEITAMENTO. AF_09/2023</v>
      </c>
      <c r="F26" s="947"/>
      <c r="G26" s="948" t="str">
        <f>INDEX('Orçamento Analítico'!$B:$M,MATCH('ORÇ. SINTÉTICO'!$B26,'Orçamento Analítico'!$B:$B,0)+1,5)</f>
        <v>Demolições e Remoções</v>
      </c>
      <c r="H26" s="947" t="str">
        <f>INDEX('Orçamento Analítico'!$B:$M,MATCH('ORÇ. SINTÉTICO'!B26,'Orçamento Analítico'!$B:$B,0)+1,7)</f>
        <v>m²</v>
      </c>
      <c r="I26" s="957">
        <f>'DEMOLIÇÕES E RETIRADAS'!K8</f>
        <v>267.14999999999998</v>
      </c>
      <c r="J26" s="950">
        <f>INDEX('Orçamento Analítico'!$B:$M,MATCH(B26,'Orçamento Analítico'!$B:$B,0)+1,10)</f>
        <v>22.54</v>
      </c>
      <c r="K26" s="951">
        <f t="shared" si="2"/>
        <v>0.24229999999999999</v>
      </c>
      <c r="L26" s="952">
        <f t="shared" ref="L26:L30" si="23">TRUNC(J26*(1+K26),2)</f>
        <v>28</v>
      </c>
      <c r="M26" s="952">
        <f t="shared" ref="M26:M30" si="24">TRUNC($I26 * J26, 2)</f>
        <v>6021.56</v>
      </c>
      <c r="N26" s="952">
        <f t="shared" ref="N26:N30" si="25">TRUNC($I26 * L26, 2)</f>
        <v>7480.2</v>
      </c>
      <c r="O26" s="955">
        <f t="shared" si="0"/>
        <v>9.6454637786291451E-4</v>
      </c>
      <c r="P26" s="954">
        <f>INDEX('Orçamento Analítico'!$B:$M,MATCH(B26,'Orçamento Analítico'!$B:$B,0)+1,12)</f>
        <v>21.88</v>
      </c>
      <c r="Q26" s="951">
        <f t="shared" si="19"/>
        <v>0.30659999999999998</v>
      </c>
      <c r="R26" s="952">
        <f t="shared" ref="R26:R30" si="26">TRUNC(P26*(1+Q26),2)</f>
        <v>28.58</v>
      </c>
      <c r="S26" s="952">
        <f t="shared" ref="S26:S30" si="27">TRUNC($I26 * P26, 2)</f>
        <v>5845.24</v>
      </c>
      <c r="T26" s="952">
        <f t="shared" ref="T26:T30" si="28">TRUNC($I26 * R26, 2)</f>
        <v>7635.14</v>
      </c>
      <c r="U26" s="955">
        <f t="shared" si="1"/>
        <v>9.4736181886540655E-4</v>
      </c>
    </row>
    <row r="27" spans="2:21" s="956" customFormat="1" ht="63" x14ac:dyDescent="0.2">
      <c r="B27" s="945" t="s">
        <v>950</v>
      </c>
      <c r="C27" s="946" t="str">
        <f>INDEX('Orçamento Analítico'!$B:$M,MATCH('ORÇ. SINTÉTICO'!B27,'Orçamento Analítico'!$B:$B,0)+1,2)</f>
        <v xml:space="preserve"> 100982 </v>
      </c>
      <c r="D27" s="946" t="str">
        <f>INDEX('Orçamento Analítico'!$B:$M,MATCH('ORÇ. SINTÉTICO'!B27,'Orçamento Analítico'!$B:$B,0)+1,3)</f>
        <v>SINAPI</v>
      </c>
      <c r="E27" s="946" t="str">
        <f>INDEX('Orçamento Analítico'!$B:$M,MATCH('ORÇ. SINTÉTICO'!B27,'Orçamento Analítico'!$B:$B,0)+1,4)</f>
        <v>CARGA, MANOBRA E DESCARGA DE ENTULHO EM CAMINHÃO BASCULANTE 10 M³ - CARGA COM ESCAVADEIRA HIDRÁULICA  (CAÇAMBA DE 0,80 M³ / 111 HP) E DESCARGA LIVRE (UNIDADE: M3). AF_07/2020</v>
      </c>
      <c r="F27" s="947"/>
      <c r="G27" s="948" t="str">
        <f>INDEX('Orçamento Analítico'!$B:$M,MATCH('ORÇ. SINTÉTICO'!$B27,'Orçamento Analítico'!$B:$B,0)+1,5)</f>
        <v>Transporte, Carga e Descarga de Materiais</v>
      </c>
      <c r="H27" s="947" t="str">
        <f>INDEX('Orçamento Analítico'!$B:$M,MATCH('ORÇ. SINTÉTICO'!B27,'Orçamento Analítico'!$B:$B,0)+1,7)</f>
        <v>m³</v>
      </c>
      <c r="I27" s="949">
        <f>'DEMOLIÇÕES E RETIRADAS'!O14</f>
        <v>30.6</v>
      </c>
      <c r="J27" s="950">
        <f>INDEX('Orçamento Analítico'!$B:$M,MATCH(B27,'Orçamento Analítico'!$B:$B,0)+1,10)</f>
        <v>9.07</v>
      </c>
      <c r="K27" s="951">
        <f t="shared" si="2"/>
        <v>0.24229999999999999</v>
      </c>
      <c r="L27" s="952">
        <f t="shared" si="23"/>
        <v>11.26</v>
      </c>
      <c r="M27" s="952">
        <f t="shared" si="24"/>
        <v>277.54000000000002</v>
      </c>
      <c r="N27" s="952">
        <f t="shared" si="25"/>
        <v>344.55</v>
      </c>
      <c r="O27" s="955">
        <f>N27/$M$135</f>
        <v>4.4428551976239566E-5</v>
      </c>
      <c r="P27" s="954">
        <f>INDEX('Orçamento Analítico'!$B:$M,MATCH(B27,'Orçamento Analítico'!$B:$B,0)+1,12)</f>
        <v>8.9700000000000006</v>
      </c>
      <c r="Q27" s="951">
        <f t="shared" si="19"/>
        <v>0.30659999999999998</v>
      </c>
      <c r="R27" s="952">
        <f t="shared" si="26"/>
        <v>11.72</v>
      </c>
      <c r="S27" s="952">
        <f t="shared" si="27"/>
        <v>274.48</v>
      </c>
      <c r="T27" s="952">
        <f t="shared" si="28"/>
        <v>358.63</v>
      </c>
      <c r="U27" s="955">
        <f t="shared" si="1"/>
        <v>4.4498512024625708E-5</v>
      </c>
    </row>
    <row r="28" spans="2:21" s="956" customFormat="1" ht="63" x14ac:dyDescent="0.2">
      <c r="B28" s="945" t="s">
        <v>1153</v>
      </c>
      <c r="C28" s="946" t="str">
        <f>INDEX('Orçamento Analítico'!$B:$M,MATCH('ORÇ. SINTÉTICO'!B28,'Orçamento Analítico'!$B:$B,0)+1,2)</f>
        <v xml:space="preserve"> 95875 </v>
      </c>
      <c r="D28" s="946" t="str">
        <f>INDEX('Orçamento Analítico'!$B:$M,MATCH('ORÇ. SINTÉTICO'!B28,'Orçamento Analítico'!$B:$B,0)+1,3)</f>
        <v>SINAPI</v>
      </c>
      <c r="E28" s="946" t="str">
        <f>INDEX('Orçamento Analítico'!$B:$M,MATCH('ORÇ. SINTÉTICO'!B28,'Orçamento Analítico'!$B:$B,0)+1,4)</f>
        <v>TRANSPORTE COM CAMINHÃO BASCULANTE DE 10 M³, EM VIA URBANA PAVIMENTADA, DMT ATÉ 30 KM (UNIDADE: M3XKM). AF_07/2020</v>
      </c>
      <c r="F28" s="947">
        <f>DMT!F13</f>
        <v>4.5999999999999996</v>
      </c>
      <c r="G28" s="948" t="str">
        <f>INDEX('Orçamento Analítico'!$B:$M,MATCH('ORÇ. SINTÉTICO'!$B28,'Orçamento Analítico'!$B:$B,0)+1,5)</f>
        <v>Transporte, Carga e Descarga de Materiais</v>
      </c>
      <c r="H28" s="947" t="str">
        <f>INDEX('Orçamento Analítico'!$B:$M,MATCH('ORÇ. SINTÉTICO'!B28,'Orçamento Analítico'!$B:$B,0)+1,7)</f>
        <v>M3XKM</v>
      </c>
      <c r="I28" s="949">
        <f>'DEMOLIÇÕES E RETIRADAS'!O15</f>
        <v>140.76</v>
      </c>
      <c r="J28" s="950">
        <f>INDEX('Orçamento Analítico'!$B:$M,MATCH(B28,'Orçamento Analítico'!$B:$B,0)+1,10)</f>
        <v>2.5</v>
      </c>
      <c r="K28" s="951">
        <f t="shared" si="2"/>
        <v>0.24229999999999999</v>
      </c>
      <c r="L28" s="952">
        <f t="shared" si="23"/>
        <v>3.1</v>
      </c>
      <c r="M28" s="952">
        <f t="shared" si="24"/>
        <v>351.9</v>
      </c>
      <c r="N28" s="952">
        <f t="shared" si="25"/>
        <v>436.35</v>
      </c>
      <c r="O28" s="955">
        <f t="shared" si="0"/>
        <v>5.6265850108350418E-5</v>
      </c>
      <c r="P28" s="954">
        <f>INDEX('Orçamento Analítico'!$B:$M,MATCH(B28,'Orçamento Analítico'!$B:$B,0)+1,12)</f>
        <v>2.48</v>
      </c>
      <c r="Q28" s="951">
        <f t="shared" si="19"/>
        <v>0.30659999999999998</v>
      </c>
      <c r="R28" s="952">
        <f t="shared" si="26"/>
        <v>3.24</v>
      </c>
      <c r="S28" s="952">
        <f t="shared" si="27"/>
        <v>349.08</v>
      </c>
      <c r="T28" s="952">
        <f t="shared" si="28"/>
        <v>456.06</v>
      </c>
      <c r="U28" s="955">
        <f t="shared" si="1"/>
        <v>5.6587545364165854E-5</v>
      </c>
    </row>
    <row r="29" spans="2:21" s="956" customFormat="1" ht="31.5" x14ac:dyDescent="0.2">
      <c r="B29" s="945" t="s">
        <v>1238</v>
      </c>
      <c r="C29" s="946" t="str">
        <f>INDEX('Orçamento Analítico'!$B:$M,MATCH('ORÇ. SINTÉTICO'!B29,'Orçamento Analítico'!$B:$B,0)+1,2)</f>
        <v xml:space="preserve"> 98529 </v>
      </c>
      <c r="D29" s="946" t="str">
        <f>INDEX('Orçamento Analítico'!$B:$M,MATCH('ORÇ. SINTÉTICO'!B29,'Orçamento Analítico'!$B:$B,0)+1,3)</f>
        <v>SINAPI</v>
      </c>
      <c r="E29" s="946" t="str">
        <f>INDEX('Orçamento Analítico'!$B:$M,MATCH('ORÇ. SINTÉTICO'!B29,'Orçamento Analítico'!$B:$B,0)+1,4)</f>
        <v>CORTE RASO E RECORTE DE ÁRVORE COM DIÂMETRO DE TRONCO MAIOR OU IGUAL A 0,20 M E MENOR QUE 0,40 M. AF_03/2024</v>
      </c>
      <c r="F29" s="947"/>
      <c r="G29" s="948" t="str">
        <f>INDEX('Orçamento Analítico'!$B:$M,MATCH('ORÇ. SINTÉTICO'!$B29,'Orçamento Analítico'!$B:$B,0)+1,5)</f>
        <v>Supressão Vegetal</v>
      </c>
      <c r="H29" s="947" t="str">
        <f>INDEX('Orçamento Analítico'!$B:$M,MATCH('ORÇ. SINTÉTICO'!B29,'Orçamento Analítico'!$B:$B,0)+1,7)</f>
        <v>UN</v>
      </c>
      <c r="I29" s="949">
        <f>'DEMOLIÇÕES E RETIRADAS'!K10</f>
        <v>8</v>
      </c>
      <c r="J29" s="950">
        <f>INDEX('Orçamento Analítico'!$B:$M,MATCH(B29,'Orçamento Analítico'!$B:$B,0)+1,10)</f>
        <v>80.72</v>
      </c>
      <c r="K29" s="951">
        <f t="shared" si="2"/>
        <v>0.24229999999999999</v>
      </c>
      <c r="L29" s="952">
        <f t="shared" si="23"/>
        <v>100.27</v>
      </c>
      <c r="M29" s="952">
        <f t="shared" si="24"/>
        <v>645.76</v>
      </c>
      <c r="N29" s="952">
        <f t="shared" si="25"/>
        <v>802.16</v>
      </c>
      <c r="O29" s="955">
        <f t="shared" si="0"/>
        <v>1.0343580685897643E-4</v>
      </c>
      <c r="P29" s="954">
        <f>INDEX('Orçamento Analítico'!$B:$M,MATCH(B29,'Orçamento Analítico'!$B:$B,0)+1,12)</f>
        <v>76.34</v>
      </c>
      <c r="Q29" s="951">
        <f t="shared" si="19"/>
        <v>0.30659999999999998</v>
      </c>
      <c r="R29" s="952">
        <f t="shared" si="26"/>
        <v>99.74</v>
      </c>
      <c r="S29" s="952">
        <f t="shared" si="27"/>
        <v>610.72</v>
      </c>
      <c r="T29" s="952">
        <f t="shared" si="28"/>
        <v>797.92</v>
      </c>
      <c r="U29" s="955">
        <f t="shared" si="1"/>
        <v>9.9005249741207767E-5</v>
      </c>
    </row>
    <row r="30" spans="2:21" s="956" customFormat="1" ht="47.25" x14ac:dyDescent="0.2">
      <c r="B30" s="945" t="s">
        <v>1243</v>
      </c>
      <c r="C30" s="946" t="str">
        <f>INDEX('Orçamento Analítico'!$B:$M,MATCH('ORÇ. SINTÉTICO'!B30,'Orçamento Analítico'!$B:$B,0)+1,2)</f>
        <v xml:space="preserve"> 98526 </v>
      </c>
      <c r="D30" s="946" t="str">
        <f>INDEX('Orçamento Analítico'!$B:$M,MATCH('ORÇ. SINTÉTICO'!B30,'Orçamento Analítico'!$B:$B,0)+1,3)</f>
        <v>SINAPI</v>
      </c>
      <c r="E30" s="946" t="str">
        <f>INDEX('Orçamento Analítico'!$B:$M,MATCH('ORÇ. SINTÉTICO'!B30,'Orçamento Analítico'!$B:$B,0)+1,4)</f>
        <v>REMOÇÃO DE RAÍZES REMANESCENTES DE TRONCO DE ÁRVORE COM DIÂMETRO MAIOR OU IGUAL A 0,20 M E MENOR QUE 0,40 M. AF_03/2024</v>
      </c>
      <c r="F30" s="947"/>
      <c r="G30" s="948" t="str">
        <f>INDEX('Orçamento Analítico'!$B:$M,MATCH('ORÇ. SINTÉTICO'!$B30,'Orçamento Analítico'!$B:$B,0)+1,5)</f>
        <v>Supressão Vegetal</v>
      </c>
      <c r="H30" s="947" t="str">
        <f>INDEX('Orçamento Analítico'!$B:$M,MATCH('ORÇ. SINTÉTICO'!B30,'Orçamento Analítico'!$B:$B,0)+1,7)</f>
        <v>UN</v>
      </c>
      <c r="I30" s="949">
        <f>'DEMOLIÇÕES E RETIRADAS'!K10</f>
        <v>8</v>
      </c>
      <c r="J30" s="950">
        <f>INDEX('Orçamento Analítico'!$B:$M,MATCH(B30,'Orçamento Analítico'!$B:$B,0)+1,10)</f>
        <v>137.99</v>
      </c>
      <c r="K30" s="951">
        <f t="shared" si="2"/>
        <v>0.24229999999999999</v>
      </c>
      <c r="L30" s="952">
        <f t="shared" si="23"/>
        <v>171.42</v>
      </c>
      <c r="M30" s="952">
        <f t="shared" si="24"/>
        <v>1103.92</v>
      </c>
      <c r="N30" s="952">
        <f t="shared" si="25"/>
        <v>1371.36</v>
      </c>
      <c r="O30" s="955">
        <f t="shared" si="0"/>
        <v>1.7683221314217354E-4</v>
      </c>
      <c r="P30" s="954">
        <f>INDEX('Orçamento Analítico'!$B:$M,MATCH(B30,'Orçamento Analítico'!$B:$B,0)+1,12)</f>
        <v>132.81</v>
      </c>
      <c r="Q30" s="951">
        <f t="shared" si="19"/>
        <v>0.30659999999999998</v>
      </c>
      <c r="R30" s="952">
        <f t="shared" si="26"/>
        <v>173.52</v>
      </c>
      <c r="S30" s="952">
        <f t="shared" si="27"/>
        <v>1062.48</v>
      </c>
      <c r="T30" s="952">
        <f t="shared" si="28"/>
        <v>1388.16</v>
      </c>
      <c r="U30" s="955">
        <f t="shared" si="1"/>
        <v>1.722417378694042E-4</v>
      </c>
    </row>
    <row r="31" spans="2:21" x14ac:dyDescent="0.2">
      <c r="B31" s="617" t="s">
        <v>373</v>
      </c>
      <c r="C31" s="840"/>
      <c r="D31" s="840"/>
      <c r="E31" s="617" t="s">
        <v>374</v>
      </c>
      <c r="F31" s="601"/>
      <c r="G31" s="726"/>
      <c r="H31" s="841"/>
      <c r="I31" s="695">
        <v>1</v>
      </c>
      <c r="J31" s="620"/>
      <c r="K31" s="602"/>
      <c r="L31" s="603"/>
      <c r="M31" s="603">
        <f>M32+M52</f>
        <v>2294729.44</v>
      </c>
      <c r="N31" s="603">
        <f>N32+N52</f>
        <v>2741273.38</v>
      </c>
      <c r="O31" s="624">
        <f t="shared" si="0"/>
        <v>0.35347788954988218</v>
      </c>
      <c r="P31" s="842"/>
      <c r="Q31" s="602"/>
      <c r="R31" s="603"/>
      <c r="S31" s="603">
        <f>S32+S52</f>
        <v>2269532.73</v>
      </c>
      <c r="T31" s="603">
        <f>T32+T52</f>
        <v>2845944.16</v>
      </c>
      <c r="U31" s="624">
        <f t="shared" ref="U31:U32" si="29">T31/$M$135</f>
        <v>0.36697483103768819</v>
      </c>
    </row>
    <row r="32" spans="2:21" x14ac:dyDescent="0.2">
      <c r="B32" s="617" t="s">
        <v>403</v>
      </c>
      <c r="C32" s="840"/>
      <c r="D32" s="840"/>
      <c r="E32" s="617" t="s">
        <v>404</v>
      </c>
      <c r="F32" s="601"/>
      <c r="G32" s="726"/>
      <c r="H32" s="841"/>
      <c r="I32" s="695">
        <v>1</v>
      </c>
      <c r="J32" s="620"/>
      <c r="K32" s="602"/>
      <c r="L32" s="603"/>
      <c r="M32" s="603">
        <f>TRUNC(SUM(M33:M51),2)</f>
        <v>471645.68</v>
      </c>
      <c r="N32" s="603">
        <f>TRUNC(SUM(N33:N51),2)</f>
        <v>585730.43999999994</v>
      </c>
      <c r="O32" s="624">
        <f t="shared" si="0"/>
        <v>7.5527950363098728E-2</v>
      </c>
      <c r="P32" s="842"/>
      <c r="Q32" s="602"/>
      <c r="R32" s="603"/>
      <c r="S32" s="603">
        <f>TRUNC(SUM(S33:S51),2)</f>
        <v>458046.78</v>
      </c>
      <c r="T32" s="603">
        <f>TRUNC(SUM(T33:T51),2)</f>
        <v>598370.62</v>
      </c>
      <c r="U32" s="624">
        <f t="shared" si="29"/>
        <v>7.7157858632200538E-2</v>
      </c>
    </row>
    <row r="33" spans="2:21" s="956" customFormat="1" ht="78.75" x14ac:dyDescent="0.2">
      <c r="B33" s="945" t="s">
        <v>405</v>
      </c>
      <c r="C33" s="946" t="str">
        <f>INDEX('Orçamento Analítico'!$B:$M,MATCH('ORÇ. SINTÉTICO'!B33,'Orçamento Analítico'!$B:$B,0)+1,2)</f>
        <v xml:space="preserve"> 90106 </v>
      </c>
      <c r="D33" s="946" t="str">
        <f>INDEX('Orçamento Analítico'!$B:$M,MATCH('ORÇ. SINTÉTICO'!B33,'Orçamento Analítico'!$B:$B,0)+1,3)</f>
        <v>SINAPI</v>
      </c>
      <c r="E33" s="946" t="str">
        <f>INDEX('Orçamento Analítico'!$B:$M,MATCH('ORÇ. SINTÉTICO'!B33,'Orçamento Analítico'!$B:$B,0)+1,4)</f>
        <v>ESCAVAÇÃO MECANIZADA DE VALA COM PROFUNDIDADE ATÉ 1,5 M (MÉDIA MONTANTE E JUSANTE/UMA COMPOSIÇÃO POR TRECHO), RETROESCAV. (0,26 M3), LARGURA DE 0,8 M A 1,5 M, EM SOLO DE 1A CATEGORIA, LOCAIS COM BAIXO NÍVEL DE INTERFERÊNCIA. AF_09/2024</v>
      </c>
      <c r="F33" s="947"/>
      <c r="G33" s="948" t="str">
        <f>INDEX('Orçamento Analítico'!$B:$M,MATCH('ORÇ. SINTÉTICO'!$B33,'Orçamento Analítico'!$B:$B,0)+1,5)</f>
        <v>Escavação de Valas</v>
      </c>
      <c r="H33" s="947" t="str">
        <f>INDEX('Orçamento Analítico'!$B:$M,MATCH('ORÇ. SINTÉTICO'!B33,'Orçamento Analítico'!$B:$B,0)+1,7)</f>
        <v>m³</v>
      </c>
      <c r="I33" s="959">
        <f>DRENAGEM!BL30</f>
        <v>1159.77</v>
      </c>
      <c r="J33" s="950">
        <f>INDEX('Orçamento Analítico'!$B:$M,MATCH(B33,'Orçamento Analítico'!$B:$B,0)+1,10)</f>
        <v>8.42</v>
      </c>
      <c r="K33" s="951">
        <f t="shared" ref="K33:K104" si="30">IF((OR($G33="MATERIAL",$G33="Equipamento")),K$5,K$4)</f>
        <v>0.24229999999999999</v>
      </c>
      <c r="L33" s="952">
        <f t="shared" ref="L33:L103" si="31">TRUNC(J33*(1+K33),2)</f>
        <v>10.46</v>
      </c>
      <c r="M33" s="952">
        <f t="shared" ref="M33:M97" si="32">TRUNC($I33 * J33, 2)</f>
        <v>9765.26</v>
      </c>
      <c r="N33" s="952">
        <f t="shared" ref="N33:N97" si="33">TRUNC($I33 * L33, 2)</f>
        <v>12131.19</v>
      </c>
      <c r="O33" s="955">
        <f t="shared" si="0"/>
        <v>1.5642757377699542E-3</v>
      </c>
      <c r="P33" s="954">
        <f>INDEX('Orçamento Analítico'!$B:$M,MATCH(B33,'Orçamento Analítico'!$B:$B,0)+1,12)</f>
        <v>8.2100000000000009</v>
      </c>
      <c r="Q33" s="951">
        <f t="shared" si="19"/>
        <v>0.30659999999999998</v>
      </c>
      <c r="R33" s="952">
        <f t="shared" ref="R33" si="34">TRUNC(P33*(1+Q33),2)</f>
        <v>10.72</v>
      </c>
      <c r="S33" s="952">
        <f t="shared" ref="S33" si="35">TRUNC($I33 * P33, 2)</f>
        <v>9521.7099999999991</v>
      </c>
      <c r="T33" s="952">
        <f t="shared" ref="T33" si="36">TRUNC($I33 * R33, 2)</f>
        <v>12432.73</v>
      </c>
      <c r="U33" s="955">
        <f t="shared" si="1"/>
        <v>1.5426427945345474E-3</v>
      </c>
    </row>
    <row r="34" spans="2:21" s="956" customFormat="1" ht="78.75" x14ac:dyDescent="0.2">
      <c r="B34" s="945" t="s">
        <v>406</v>
      </c>
      <c r="C34" s="946" t="str">
        <f>INDEX('Orçamento Analítico'!$B:$M,MATCH('ORÇ. SINTÉTICO'!B34,'Orçamento Analítico'!$B:$B,0)+1,2)</f>
        <v xml:space="preserve"> 102281 </v>
      </c>
      <c r="D34" s="946" t="str">
        <f>INDEX('Orçamento Analítico'!$B:$M,MATCH('ORÇ. SINTÉTICO'!B34,'Orçamento Analítico'!$B:$B,0)+1,3)</f>
        <v>SINAPI</v>
      </c>
      <c r="E34" s="946" t="str">
        <f>INDEX('Orçamento Analítico'!$B:$M,MATCH('ORÇ. SINTÉTICO'!B34,'Orçamento Analítico'!$B:$B,0)+1,4)</f>
        <v>ESCAVAÇÃO MECANIZADA DE VALA COM PROF. MAIOR QUE 1,5 M ATÉ 3,0 M (MÉDIA MONTANTE E JUSANTE/UMA COMPOSIÇÃO POR TRECHO),COM ESCAVADEIRA (1,2 M3),LARG. DE 1,5 M A 2,5 M, EM SOLO DE 1A CATEGORIA, LOCAIS COM BAIXO NÍVEL DE INTERFERÊNCIA. AF_09/2024</v>
      </c>
      <c r="F34" s="947"/>
      <c r="G34" s="948" t="str">
        <f>INDEX('Orçamento Analítico'!$B:$M,MATCH('ORÇ. SINTÉTICO'!$B34,'Orçamento Analítico'!$B:$B,0)+1,5)</f>
        <v>Escavação de Valas</v>
      </c>
      <c r="H34" s="947" t="str">
        <f>INDEX('Orçamento Analítico'!$B:$M,MATCH('ORÇ. SINTÉTICO'!B34,'Orçamento Analítico'!$B:$B,0)+1,7)</f>
        <v>m³</v>
      </c>
      <c r="I34" s="959">
        <f>DRENAGEM!BP30</f>
        <v>3637.07</v>
      </c>
      <c r="J34" s="950">
        <f>INDEX('Orçamento Analítico'!$B:$M,MATCH(B34,'Orçamento Analítico'!$B:$B,0)+1,10)</f>
        <v>5.63</v>
      </c>
      <c r="K34" s="951">
        <f t="shared" si="30"/>
        <v>0.24229999999999999</v>
      </c>
      <c r="L34" s="952">
        <f t="shared" ref="L34:L45" si="37">TRUNC(J34*(1+K34),2)</f>
        <v>6.99</v>
      </c>
      <c r="M34" s="952">
        <f t="shared" ref="M34:M45" si="38">TRUNC($I34 * J34, 2)</f>
        <v>20476.7</v>
      </c>
      <c r="N34" s="952">
        <f t="shared" ref="N34:N45" si="39">TRUNC($I34 * L34, 2)</f>
        <v>25423.11</v>
      </c>
      <c r="O34" s="955">
        <f t="shared" si="0"/>
        <v>3.2782236657456273E-3</v>
      </c>
      <c r="P34" s="954">
        <f>INDEX('Orçamento Analítico'!$B:$M,MATCH(B34,'Orçamento Analítico'!$B:$B,0)+1,12)</f>
        <v>5.53</v>
      </c>
      <c r="Q34" s="951">
        <f t="shared" si="19"/>
        <v>0.30659999999999998</v>
      </c>
      <c r="R34" s="952">
        <f t="shared" ref="R34:R45" si="40">TRUNC(P34*(1+Q34),2)</f>
        <v>7.22</v>
      </c>
      <c r="S34" s="952">
        <f t="shared" ref="S34:S45" si="41">TRUNC($I34 * P34, 2)</f>
        <v>20112.990000000002</v>
      </c>
      <c r="T34" s="952">
        <f t="shared" ref="T34:T45" si="42">TRUNC($I34 * R34, 2)</f>
        <v>26259.64</v>
      </c>
      <c r="U34" s="955">
        <f t="shared" si="1"/>
        <v>3.2582742835299393E-3</v>
      </c>
    </row>
    <row r="35" spans="2:21" s="956" customFormat="1" ht="78.75" x14ac:dyDescent="0.2">
      <c r="B35" s="945" t="s">
        <v>407</v>
      </c>
      <c r="C35" s="946" t="str">
        <f>INDEX('Orçamento Analítico'!$B:$M,MATCH('ORÇ. SINTÉTICO'!B35,'Orçamento Analítico'!$B:$B,0)+1,2)</f>
        <v xml:space="preserve"> 90095 </v>
      </c>
      <c r="D35" s="946" t="str">
        <f>INDEX('Orçamento Analítico'!$B:$M,MATCH('ORÇ. SINTÉTICO'!B35,'Orçamento Analítico'!$B:$B,0)+1,3)</f>
        <v>SINAPI</v>
      </c>
      <c r="E35" s="946" t="str">
        <f>INDEX('Orçamento Analítico'!$B:$M,MATCH('ORÇ. SINTÉTICO'!B35,'Orçamento Analítico'!$B:$B,0)+1,4)</f>
        <v>ESCAVAÇÃO MECANIZADA DE VALA COM PROF. MAIOR QUE 3,0 M ATÉ 4,5 M (MÉDIA MONTANTE E JUSANTE/UMA COMPOSIÇÃO POR TRECHO), ESCAVADEIRA (1,2 M3), LARG. DE 1,5 M A 2,5 M, EM SOLO DE 1A CATEGORIA, LOCAIS COM BAIXO NÍVEL DE INTERFERÊNCIA. AF_09/2024</v>
      </c>
      <c r="F35" s="947"/>
      <c r="G35" s="948" t="str">
        <f>INDEX('Orçamento Analítico'!$B:$M,MATCH('ORÇ. SINTÉTICO'!$B35,'Orçamento Analítico'!$B:$B,0)+1,5)</f>
        <v>Escavação de Valas</v>
      </c>
      <c r="H35" s="947" t="str">
        <f>INDEX('Orçamento Analítico'!$B:$M,MATCH('ORÇ. SINTÉTICO'!B35,'Orçamento Analítico'!$B:$B,0)+1,7)</f>
        <v>m³</v>
      </c>
      <c r="I35" s="959">
        <f>DRENAGEM!BS30</f>
        <v>1269.5899999999999</v>
      </c>
      <c r="J35" s="950">
        <f>INDEX('Orçamento Analítico'!$B:$M,MATCH(B35,'Orçamento Analítico'!$B:$B,0)+1,10)</f>
        <v>5.41</v>
      </c>
      <c r="K35" s="951">
        <f t="shared" si="30"/>
        <v>0.24229999999999999</v>
      </c>
      <c r="L35" s="952">
        <f t="shared" si="37"/>
        <v>6.72</v>
      </c>
      <c r="M35" s="952">
        <f t="shared" si="38"/>
        <v>6868.48</v>
      </c>
      <c r="N35" s="952">
        <f t="shared" si="39"/>
        <v>8531.64</v>
      </c>
      <c r="O35" s="955">
        <f t="shared" si="0"/>
        <v>1.10012599385449E-3</v>
      </c>
      <c r="P35" s="954">
        <f>INDEX('Orçamento Analítico'!$B:$M,MATCH(B35,'Orçamento Analítico'!$B:$B,0)+1,12)</f>
        <v>5.33</v>
      </c>
      <c r="Q35" s="951">
        <f t="shared" si="19"/>
        <v>0.30659999999999998</v>
      </c>
      <c r="R35" s="952">
        <f t="shared" si="40"/>
        <v>6.96</v>
      </c>
      <c r="S35" s="952">
        <f t="shared" si="41"/>
        <v>6766.91</v>
      </c>
      <c r="T35" s="952">
        <f t="shared" si="42"/>
        <v>8836.34</v>
      </c>
      <c r="U35" s="955">
        <f t="shared" si="1"/>
        <v>1.0964057154830358E-3</v>
      </c>
    </row>
    <row r="36" spans="2:21" s="956" customFormat="1" ht="78.75" x14ac:dyDescent="0.2">
      <c r="B36" s="945" t="s">
        <v>408</v>
      </c>
      <c r="C36" s="946" t="str">
        <f>INDEX('Orçamento Analítico'!$B:$M,MATCH('ORÇ. SINTÉTICO'!B36,'Orçamento Analítico'!$B:$B,0)+1,2)</f>
        <v xml:space="preserve"> 90098 </v>
      </c>
      <c r="D36" s="946" t="str">
        <f>INDEX('Orçamento Analítico'!$B:$M,MATCH('ORÇ. SINTÉTICO'!B36,'Orçamento Analítico'!$B:$B,0)+1,3)</f>
        <v>SINAPI</v>
      </c>
      <c r="E36" s="946" t="str">
        <f>INDEX('Orçamento Analítico'!$B:$M,MATCH('ORÇ. SINTÉTICO'!B36,'Orçamento Analítico'!$B:$B,0)+1,4)</f>
        <v>ESCAVAÇÃO MECANIZADA DE VALA COM PROF. MAIOR QUE 4,5 M ATÉ 6,0 M (MÉDIA MONTANTE E JUSANTE/UMA COMPOSIÇÃO POR TRECHO), ESCAVADEIRA (1,2 M3), LARG. DE 1,5 M A 2,5 M, EM SOLO DE 1A CATEGORIA, LOCAIS COM BAIXO NÍVEL DE INTERFERÊNCIA. AF_09/2024</v>
      </c>
      <c r="F36" s="947"/>
      <c r="G36" s="948" t="str">
        <f>INDEX('Orçamento Analítico'!$B:$M,MATCH('ORÇ. SINTÉTICO'!$B36,'Orçamento Analítico'!$B:$B,0)+1,5)</f>
        <v>Escavação de Valas</v>
      </c>
      <c r="H36" s="947" t="str">
        <f>INDEX('Orçamento Analítico'!$B:$M,MATCH('ORÇ. SINTÉTICO'!B36,'Orçamento Analítico'!$B:$B,0)+1,7)</f>
        <v>m³</v>
      </c>
      <c r="I36" s="959">
        <f>DRENAGEM!BV30</f>
        <v>3577.91</v>
      </c>
      <c r="J36" s="950">
        <f>INDEX('Orçamento Analítico'!$B:$M,MATCH(B36,'Orçamento Analítico'!$B:$B,0)+1,10)</f>
        <v>5.3</v>
      </c>
      <c r="K36" s="951">
        <f t="shared" si="30"/>
        <v>0.24229999999999999</v>
      </c>
      <c r="L36" s="952">
        <f t="shared" si="37"/>
        <v>6.58</v>
      </c>
      <c r="M36" s="952">
        <f t="shared" si="38"/>
        <v>18962.919999999998</v>
      </c>
      <c r="N36" s="952">
        <f t="shared" si="39"/>
        <v>23542.639999999999</v>
      </c>
      <c r="O36" s="955">
        <f t="shared" si="0"/>
        <v>3.0357434476792821E-3</v>
      </c>
      <c r="P36" s="954">
        <f>INDEX('Orçamento Analítico'!$B:$M,MATCH(B36,'Orçamento Analítico'!$B:$B,0)+1,12)</f>
        <v>5.22</v>
      </c>
      <c r="Q36" s="951">
        <f t="shared" si="19"/>
        <v>0.30659999999999998</v>
      </c>
      <c r="R36" s="952">
        <f t="shared" si="40"/>
        <v>6.82</v>
      </c>
      <c r="S36" s="952">
        <f t="shared" si="41"/>
        <v>18676.689999999999</v>
      </c>
      <c r="T36" s="952">
        <f t="shared" si="42"/>
        <v>24401.34</v>
      </c>
      <c r="U36" s="955">
        <f t="shared" si="1"/>
        <v>3.0276979656107417E-3</v>
      </c>
    </row>
    <row r="37" spans="2:21" s="956" customFormat="1" ht="63" x14ac:dyDescent="0.2">
      <c r="B37" s="945" t="s">
        <v>409</v>
      </c>
      <c r="C37" s="946" t="str">
        <f>INDEX('Orçamento Analítico'!$B:$M,MATCH('ORÇ. SINTÉTICO'!B37,'Orçamento Analítico'!$B:$B,0)+1,2)</f>
        <v xml:space="preserve"> 100978 </v>
      </c>
      <c r="D37" s="946" t="str">
        <f>INDEX('Orçamento Analítico'!$B:$M,MATCH('ORÇ. SINTÉTICO'!B37,'Orçamento Analítico'!$B:$B,0)+1,3)</f>
        <v>SINAPI</v>
      </c>
      <c r="E37" s="946" t="str">
        <f>INDEX('Orçamento Analítico'!$B:$M,MATCH('ORÇ. SINTÉTICO'!B37,'Orçamento Analítico'!$B:$B,0)+1,4)</f>
        <v>CARGA, MANOBRA E DESCARGA DE SOLOS E MATERIAIS GRANULARES EM CAMINHÃO BASCULANTE 10 M³ - CARGA COM ESCAVADEIRA HIDRÁULICA (CAÇAMBA DE 1,20 M³ / 155 HP) E DESCARGA LIVRE (UNIDADE: M3). AF_07/2020</v>
      </c>
      <c r="F37" s="947"/>
      <c r="G37" s="948" t="str">
        <f>INDEX('Orçamento Analítico'!$B:$M,MATCH('ORÇ. SINTÉTICO'!$B37,'Orçamento Analítico'!$B:$B,0)+1,5)</f>
        <v>Transporte, Carga e Descarga de Materiais</v>
      </c>
      <c r="H37" s="947" t="str">
        <f>INDEX('Orçamento Analítico'!$B:$M,MATCH('ORÇ. SINTÉTICO'!B37,'Orçamento Analítico'!$B:$B,0)+1,7)</f>
        <v>m³</v>
      </c>
      <c r="I37" s="959">
        <f>DRENAGEM!CA30</f>
        <v>1292.6500000000001</v>
      </c>
      <c r="J37" s="950">
        <f>INDEX('Orçamento Analítico'!$B:$M,MATCH(B37,'Orçamento Analítico'!$B:$B,0)+1,10)</f>
        <v>7.03</v>
      </c>
      <c r="K37" s="951">
        <f t="shared" si="30"/>
        <v>0.24229999999999999</v>
      </c>
      <c r="L37" s="952">
        <f t="shared" si="37"/>
        <v>8.73</v>
      </c>
      <c r="M37" s="952">
        <f t="shared" si="38"/>
        <v>9087.32</v>
      </c>
      <c r="N37" s="952">
        <f t="shared" si="39"/>
        <v>11284.83</v>
      </c>
      <c r="O37" s="955">
        <f t="shared" si="0"/>
        <v>1.455140491069591E-3</v>
      </c>
      <c r="P37" s="954">
        <f>INDEX('Orçamento Analítico'!$B:$M,MATCH(B37,'Orçamento Analítico'!$B:$B,0)+1,12)</f>
        <v>6.95</v>
      </c>
      <c r="Q37" s="951">
        <f t="shared" si="19"/>
        <v>0.30659999999999998</v>
      </c>
      <c r="R37" s="952">
        <f t="shared" si="40"/>
        <v>9.08</v>
      </c>
      <c r="S37" s="952">
        <f t="shared" si="41"/>
        <v>8983.91</v>
      </c>
      <c r="T37" s="952">
        <f t="shared" si="42"/>
        <v>11737.26</v>
      </c>
      <c r="U37" s="955">
        <f t="shared" si="1"/>
        <v>1.4563494555563069E-3</v>
      </c>
    </row>
    <row r="38" spans="2:21" s="956" customFormat="1" ht="63" x14ac:dyDescent="0.2">
      <c r="B38" s="945" t="s">
        <v>410</v>
      </c>
      <c r="C38" s="946" t="str">
        <f>INDEX('Orçamento Analítico'!$B:$M,MATCH('ORÇ. SINTÉTICO'!B38,'Orçamento Analítico'!$B:$B,0)+1,2)</f>
        <v xml:space="preserve"> 95875 </v>
      </c>
      <c r="D38" s="946" t="str">
        <f>INDEX('Orçamento Analítico'!$B:$M,MATCH('ORÇ. SINTÉTICO'!B38,'Orçamento Analítico'!$B:$B,0)+1,3)</f>
        <v>SINAPI</v>
      </c>
      <c r="E38" s="946" t="str">
        <f>INDEX('Orçamento Analítico'!$B:$M,MATCH('ORÇ. SINTÉTICO'!B38,'Orçamento Analítico'!$B:$B,0)+1,4)</f>
        <v>TRANSPORTE COM CAMINHÃO BASCULANTE DE 10 M³, EM VIA URBANA PAVIMENTADA, DMT ATÉ 30 KM (UNIDADE: M3XKM). AF_07/2020</v>
      </c>
      <c r="F38" s="947">
        <f>DMT!F13</f>
        <v>4.5999999999999996</v>
      </c>
      <c r="G38" s="948" t="str">
        <f>INDEX('Orçamento Analítico'!$B:$M,MATCH('ORÇ. SINTÉTICO'!$B38,'Orçamento Analítico'!$B:$B,0)+1,5)</f>
        <v>Transporte, Carga e Descarga de Materiais</v>
      </c>
      <c r="H38" s="947" t="str">
        <f>INDEX('Orçamento Analítico'!$B:$M,MATCH('ORÇ. SINTÉTICO'!B38,'Orçamento Analítico'!$B:$B,0)+1,7)</f>
        <v>M3XKM</v>
      </c>
      <c r="I38" s="959">
        <f>DRENAGEM!AW50</f>
        <v>5946.19</v>
      </c>
      <c r="J38" s="950">
        <f>INDEX('Orçamento Analítico'!$B:$M,MATCH(B38,'Orçamento Analítico'!$B:$B,0)+1,10)</f>
        <v>2.5</v>
      </c>
      <c r="K38" s="951">
        <f t="shared" si="30"/>
        <v>0.24229999999999999</v>
      </c>
      <c r="L38" s="952">
        <f t="shared" si="37"/>
        <v>3.1</v>
      </c>
      <c r="M38" s="952">
        <f t="shared" si="38"/>
        <v>14865.47</v>
      </c>
      <c r="N38" s="952">
        <f t="shared" si="39"/>
        <v>18433.18</v>
      </c>
      <c r="O38" s="955">
        <f t="shared" si="0"/>
        <v>2.3768959388111442E-3</v>
      </c>
      <c r="P38" s="954">
        <f>INDEX('Orçamento Analítico'!$B:$M,MATCH(B38,'Orçamento Analítico'!$B:$B,0)+1,12)</f>
        <v>2.48</v>
      </c>
      <c r="Q38" s="951">
        <f t="shared" si="19"/>
        <v>0.30659999999999998</v>
      </c>
      <c r="R38" s="952">
        <f t="shared" si="40"/>
        <v>3.24</v>
      </c>
      <c r="S38" s="952">
        <f t="shared" si="41"/>
        <v>14746.55</v>
      </c>
      <c r="T38" s="952">
        <f t="shared" si="42"/>
        <v>19265.650000000001</v>
      </c>
      <c r="U38" s="955">
        <f t="shared" si="1"/>
        <v>2.3904658232362891E-3</v>
      </c>
    </row>
    <row r="39" spans="2:21" s="941" customFormat="1" ht="47.25" x14ac:dyDescent="0.2">
      <c r="B39" s="932" t="s">
        <v>411</v>
      </c>
      <c r="C39" s="933" t="str">
        <f>INDEX('Orçamento Analítico'!$B:$M,MATCH('ORÇ. SINTÉTICO'!B39,'Orçamento Analítico'!$B:$B,0)+1,2)</f>
        <v xml:space="preserve"> 100574 </v>
      </c>
      <c r="D39" s="933" t="str">
        <f>INDEX('Orçamento Analítico'!$B:$M,MATCH('ORÇ. SINTÉTICO'!B39,'Orçamento Analítico'!$B:$B,0)+1,3)</f>
        <v>SINAPI</v>
      </c>
      <c r="E39" s="933" t="str">
        <f>INDEX('Orçamento Analítico'!$B:$M,MATCH('ORÇ. SINTÉTICO'!B39,'Orçamento Analítico'!$B:$B,0)+1,4)</f>
        <v>ESPALHAMENTO DE MATERIAL COM TRATOR DE ESTEIRAS. AF_09/2024</v>
      </c>
      <c r="F39" s="934"/>
      <c r="G39" s="935" t="str">
        <f>INDEX('Orçamento Analítico'!$B:$M,MATCH('ORÇ. SINTÉTICO'!$B39,'Orçamento Analítico'!$B:$B,0)+1,5)</f>
        <v>Aterros, Bases, Sub bases e Imprimações</v>
      </c>
      <c r="H39" s="934" t="str">
        <f>INDEX('Orçamento Analítico'!$B:$M,MATCH('ORÇ. SINTÉTICO'!B39,'Orçamento Analítico'!$B:$B,0)+1,7)</f>
        <v>m³</v>
      </c>
      <c r="I39" s="936">
        <f>DRENAGEM!BW30</f>
        <v>1124.05</v>
      </c>
      <c r="J39" s="937">
        <f>INDEX('Orçamento Analítico'!$B:$M,MATCH(B39,'Orçamento Analítico'!$B:$B,0)+1,10)</f>
        <v>1.42</v>
      </c>
      <c r="K39" s="938">
        <f t="shared" si="30"/>
        <v>0.24229999999999999</v>
      </c>
      <c r="L39" s="939">
        <f t="shared" si="37"/>
        <v>1.76</v>
      </c>
      <c r="M39" s="939">
        <f t="shared" si="38"/>
        <v>1596.15</v>
      </c>
      <c r="N39" s="939">
        <f t="shared" si="39"/>
        <v>1978.32</v>
      </c>
      <c r="O39" s="928">
        <f t="shared" si="0"/>
        <v>2.5509764314507114E-4</v>
      </c>
      <c r="P39" s="940">
        <f>INDEX('Orçamento Analítico'!$B:$M,MATCH(B39,'Orçamento Analítico'!$B:$B,0)+1,12)</f>
        <v>1.39</v>
      </c>
      <c r="Q39" s="938">
        <f t="shared" si="19"/>
        <v>0.30659999999999998</v>
      </c>
      <c r="R39" s="939">
        <f t="shared" si="40"/>
        <v>1.81</v>
      </c>
      <c r="S39" s="939">
        <f t="shared" si="41"/>
        <v>1562.42</v>
      </c>
      <c r="T39" s="939">
        <f t="shared" si="42"/>
        <v>2034.53</v>
      </c>
      <c r="U39" s="928">
        <f t="shared" si="1"/>
        <v>2.5244278969818962E-4</v>
      </c>
    </row>
    <row r="40" spans="2:21" s="956" customFormat="1" ht="47.25" x14ac:dyDescent="0.2">
      <c r="B40" s="945" t="s">
        <v>412</v>
      </c>
      <c r="C40" s="946" t="str">
        <f>INDEX('Orçamento Analítico'!$B:$M,MATCH('ORÇ. SINTÉTICO'!B40,'Orçamento Analítico'!$B:$B,0)+1,2)</f>
        <v xml:space="preserve"> 101573 </v>
      </c>
      <c r="D40" s="946" t="str">
        <f>INDEX('Orçamento Analítico'!$B:$M,MATCH('ORÇ. SINTÉTICO'!B40,'Orçamento Analítico'!$B:$B,0)+1,3)</f>
        <v>SINAPI</v>
      </c>
      <c r="E40" s="946" t="str">
        <f>INDEX('Orçamento Analítico'!$B:$M,MATCH('ORÇ. SINTÉTICO'!B40,'Orçamento Analítico'!$B:$B,0)+1,4)</f>
        <v>ESCORAMENTO DE VALA, TIPO PONTALETEAMENTO, COM PROFUNDIDADE DE 1,5 A 3,0 M, LARGURA MAIOR OU IGUAL A 1,5 M E MENOR QUE 2,5 M. AF_08/2020</v>
      </c>
      <c r="F40" s="947"/>
      <c r="G40" s="948" t="str">
        <f>INDEX('Orçamento Analítico'!$B:$M,MATCH('ORÇ. SINTÉTICO'!$B40,'Orçamento Analítico'!$B:$B,0)+1,5)</f>
        <v>Escoramento e Preparo de Fundo de Valas</v>
      </c>
      <c r="H40" s="947" t="str">
        <f>INDEX('Orçamento Analítico'!$B:$M,MATCH('ORÇ. SINTÉTICO'!B40,'Orçamento Analítico'!$B:$B,0)+1,7)</f>
        <v>m²</v>
      </c>
      <c r="I40" s="959">
        <f>DRENAGEM!CE30</f>
        <v>3775.65</v>
      </c>
      <c r="J40" s="950">
        <f>INDEX('Orçamento Analítico'!$B:$M,MATCH(B40,'Orçamento Analítico'!$B:$B,0)+1,10)</f>
        <v>27.19</v>
      </c>
      <c r="K40" s="951">
        <f t="shared" si="30"/>
        <v>0.24229999999999999</v>
      </c>
      <c r="L40" s="952">
        <f t="shared" si="37"/>
        <v>33.770000000000003</v>
      </c>
      <c r="M40" s="952">
        <f t="shared" si="38"/>
        <v>102659.92</v>
      </c>
      <c r="N40" s="952">
        <f t="shared" si="39"/>
        <v>127503.7</v>
      </c>
      <c r="O40" s="955">
        <f t="shared" si="0"/>
        <v>1.6441168952584115E-2</v>
      </c>
      <c r="P40" s="954">
        <f>INDEX('Orçamento Analítico'!$B:$M,MATCH(B40,'Orçamento Analítico'!$B:$B,0)+1,12)</f>
        <v>26.07</v>
      </c>
      <c r="Q40" s="951">
        <f t="shared" si="19"/>
        <v>0.30659999999999998</v>
      </c>
      <c r="R40" s="952">
        <f t="shared" si="40"/>
        <v>34.06</v>
      </c>
      <c r="S40" s="952">
        <f t="shared" si="41"/>
        <v>98431.19</v>
      </c>
      <c r="T40" s="952">
        <f t="shared" si="42"/>
        <v>128598.63</v>
      </c>
      <c r="U40" s="955">
        <f t="shared" si="1"/>
        <v>1.5956411018055915E-2</v>
      </c>
    </row>
    <row r="41" spans="2:21" s="956" customFormat="1" ht="47.25" x14ac:dyDescent="0.2">
      <c r="B41" s="945" t="s">
        <v>413</v>
      </c>
      <c r="C41" s="946" t="str">
        <f>INDEX('Orçamento Analítico'!$B:$M,MATCH('ORÇ. SINTÉTICO'!B41,'Orçamento Analítico'!$B:$B,0)+1,2)</f>
        <v xml:space="preserve"> 101575 </v>
      </c>
      <c r="D41" s="946" t="str">
        <f>INDEX('Orçamento Analítico'!$B:$M,MATCH('ORÇ. SINTÉTICO'!B41,'Orçamento Analítico'!$B:$B,0)+1,3)</f>
        <v>SINAPI</v>
      </c>
      <c r="E41" s="946" t="str">
        <f>INDEX('Orçamento Analítico'!$B:$M,MATCH('ORÇ. SINTÉTICO'!B41,'Orçamento Analítico'!$B:$B,0)+1,4)</f>
        <v>ESCORAMENTO DE VALA, TIPO PONTALETEAMENTO, COM PROFUNDIDADE DE 3,0 A 4,5 M, LARGURA MAIOR OU IGUAL A 1,5 M E MENOR QUE 2,5 M. AF_08/2020</v>
      </c>
      <c r="F41" s="947"/>
      <c r="G41" s="948" t="str">
        <f>INDEX('Orçamento Analítico'!$B:$M,MATCH('ORÇ. SINTÉTICO'!$B41,'Orçamento Analítico'!$B:$B,0)+1,5)</f>
        <v>Escoramento e Preparo de Fundo de Valas</v>
      </c>
      <c r="H41" s="947" t="str">
        <f>INDEX('Orçamento Analítico'!$B:$M,MATCH('ORÇ. SINTÉTICO'!B41,'Orçamento Analítico'!$B:$B,0)+1,7)</f>
        <v>m²</v>
      </c>
      <c r="I41" s="959">
        <f>DRENAGEM!CG30</f>
        <v>3122.66</v>
      </c>
      <c r="J41" s="950">
        <f>INDEX('Orçamento Analítico'!$B:$M,MATCH(B41,'Orçamento Analítico'!$B:$B,0)+1,10)</f>
        <v>23.68</v>
      </c>
      <c r="K41" s="951">
        <f t="shared" si="30"/>
        <v>0.24229999999999999</v>
      </c>
      <c r="L41" s="952">
        <f t="shared" si="37"/>
        <v>29.41</v>
      </c>
      <c r="M41" s="952">
        <f t="shared" si="38"/>
        <v>73944.58</v>
      </c>
      <c r="N41" s="952">
        <f t="shared" si="39"/>
        <v>91837.43</v>
      </c>
      <c r="O41" s="955">
        <f t="shared" ref="O41:O74" si="43">N41/$M$135</f>
        <v>1.184212460345164E-2</v>
      </c>
      <c r="P41" s="954">
        <f>INDEX('Orçamento Analítico'!$B:$M,MATCH(B41,'Orçamento Analítico'!$B:$B,0)+1,12)</f>
        <v>22.78</v>
      </c>
      <c r="Q41" s="951">
        <f t="shared" si="19"/>
        <v>0.30659999999999998</v>
      </c>
      <c r="R41" s="952">
        <f t="shared" si="40"/>
        <v>29.76</v>
      </c>
      <c r="S41" s="952">
        <f t="shared" si="41"/>
        <v>71134.19</v>
      </c>
      <c r="T41" s="952">
        <f t="shared" si="42"/>
        <v>92930.36</v>
      </c>
      <c r="U41" s="955">
        <f t="shared" ref="U41:U74" si="44">T41/$S$135</f>
        <v>1.1530721751980581E-2</v>
      </c>
    </row>
    <row r="42" spans="2:21" s="956" customFormat="1" ht="47.25" x14ac:dyDescent="0.2">
      <c r="B42" s="945" t="s">
        <v>414</v>
      </c>
      <c r="C42" s="946" t="str">
        <f>INDEX('Orçamento Analítico'!$B:$M,MATCH('ORÇ. SINTÉTICO'!B42,'Orçamento Analítico'!$B:$B,0)+1,2)</f>
        <v xml:space="preserve"> 101616 </v>
      </c>
      <c r="D42" s="946" t="str">
        <f>INDEX('Orçamento Analítico'!$B:$M,MATCH('ORÇ. SINTÉTICO'!B42,'Orçamento Analítico'!$B:$B,0)+1,3)</f>
        <v>SINAPI</v>
      </c>
      <c r="E42" s="946" t="str">
        <f>INDEX('Orçamento Analítico'!$B:$M,MATCH('ORÇ. SINTÉTICO'!B42,'Orçamento Analítico'!$B:$B,0)+1,4)</f>
        <v>PREPARO DE FUNDO DE VALA COM LARGURA MENOR QUE 1,5 M (ACERTO DO SOLO NATURAL). AF_08/2020</v>
      </c>
      <c r="F42" s="947"/>
      <c r="G42" s="948" t="str">
        <f>INDEX('Orçamento Analítico'!$B:$M,MATCH('ORÇ. SINTÉTICO'!$B42,'Orçamento Analítico'!$B:$B,0)+1,5)</f>
        <v>Escoramento e Preparo de Fundo de Valas</v>
      </c>
      <c r="H42" s="947" t="str">
        <f>INDEX('Orçamento Analítico'!$B:$M,MATCH('ORÇ. SINTÉTICO'!B42,'Orçamento Analítico'!$B:$B,0)+1,7)</f>
        <v>m²</v>
      </c>
      <c r="I42" s="959">
        <f>DRENAGEM!CH30</f>
        <v>1510</v>
      </c>
      <c r="J42" s="950">
        <f>INDEX('Orçamento Analítico'!$B:$M,MATCH(B42,'Orçamento Analítico'!$B:$B,0)+1,10)</f>
        <v>7.78</v>
      </c>
      <c r="K42" s="951">
        <f t="shared" si="30"/>
        <v>0.24229999999999999</v>
      </c>
      <c r="L42" s="952">
        <f t="shared" si="37"/>
        <v>9.66</v>
      </c>
      <c r="M42" s="952">
        <f t="shared" si="38"/>
        <v>11747.8</v>
      </c>
      <c r="N42" s="952">
        <f t="shared" si="39"/>
        <v>14586.6</v>
      </c>
      <c r="O42" s="955">
        <f t="shared" si="43"/>
        <v>1.8808925156192601E-3</v>
      </c>
      <c r="P42" s="954">
        <f>INDEX('Orçamento Analítico'!$B:$M,MATCH(B42,'Orçamento Analítico'!$B:$B,0)+1,12)</f>
        <v>7.35</v>
      </c>
      <c r="Q42" s="951">
        <f t="shared" si="19"/>
        <v>0.30659999999999998</v>
      </c>
      <c r="R42" s="952">
        <f t="shared" si="40"/>
        <v>9.6</v>
      </c>
      <c r="S42" s="952">
        <f t="shared" si="41"/>
        <v>11098.5</v>
      </c>
      <c r="T42" s="952">
        <f t="shared" si="42"/>
        <v>14496</v>
      </c>
      <c r="U42" s="955">
        <f t="shared" si="44"/>
        <v>1.7986516195214407E-3</v>
      </c>
    </row>
    <row r="43" spans="2:21" s="956" customFormat="1" ht="47.25" x14ac:dyDescent="0.2">
      <c r="B43" s="945" t="s">
        <v>415</v>
      </c>
      <c r="C43" s="946" t="str">
        <f>INDEX('Orçamento Analítico'!$B:$M,MATCH('ORÇ. SINTÉTICO'!B43,'Orçamento Analítico'!$B:$B,0)+1,2)</f>
        <v xml:space="preserve"> 101617 </v>
      </c>
      <c r="D43" s="946" t="str">
        <f>INDEX('Orçamento Analítico'!$B:$M,MATCH('ORÇ. SINTÉTICO'!B43,'Orçamento Analítico'!$B:$B,0)+1,3)</f>
        <v>SINAPI</v>
      </c>
      <c r="E43" s="946" t="str">
        <f>INDEX('Orçamento Analítico'!$B:$M,MATCH('ORÇ. SINTÉTICO'!B43,'Orçamento Analítico'!$B:$B,0)+1,4)</f>
        <v>PREPARO DE FUNDO DE VALA COM LARGURA MAIOR OU IGUAL A 1,5 M E MENOR QUE 2,5 M (ACERTO DO SOLO NATURAL). AF_08/2020</v>
      </c>
      <c r="F43" s="947"/>
      <c r="G43" s="948" t="str">
        <f>INDEX('Orçamento Analítico'!$B:$M,MATCH('ORÇ. SINTÉTICO'!$B43,'Orçamento Analítico'!$B:$B,0)+1,5)</f>
        <v>Escoramento e Preparo de Fundo de Valas</v>
      </c>
      <c r="H43" s="947" t="str">
        <f>INDEX('Orçamento Analítico'!$B:$M,MATCH('ORÇ. SINTÉTICO'!B43,'Orçamento Analítico'!$B:$B,0)+1,7)</f>
        <v>m²</v>
      </c>
      <c r="I43" s="959">
        <f>DRENAGEM!CI30</f>
        <v>123.2</v>
      </c>
      <c r="J43" s="950">
        <f>INDEX('Orçamento Analítico'!$B:$M,MATCH(B43,'Orçamento Analítico'!$B:$B,0)+1,10)</f>
        <v>3.53</v>
      </c>
      <c r="K43" s="951">
        <f t="shared" si="30"/>
        <v>0.24229999999999999</v>
      </c>
      <c r="L43" s="952">
        <f t="shared" si="37"/>
        <v>4.38</v>
      </c>
      <c r="M43" s="952">
        <f t="shared" si="38"/>
        <v>434.89</v>
      </c>
      <c r="N43" s="952">
        <f t="shared" si="39"/>
        <v>539.61</v>
      </c>
      <c r="O43" s="955">
        <f t="shared" si="43"/>
        <v>6.9580876307933926E-5</v>
      </c>
      <c r="P43" s="954">
        <f>INDEX('Orçamento Analítico'!$B:$M,MATCH(B43,'Orçamento Analítico'!$B:$B,0)+1,12)</f>
        <v>3.34</v>
      </c>
      <c r="Q43" s="951">
        <f t="shared" si="19"/>
        <v>0.30659999999999998</v>
      </c>
      <c r="R43" s="952">
        <f t="shared" si="40"/>
        <v>4.3600000000000003</v>
      </c>
      <c r="S43" s="952">
        <f t="shared" si="41"/>
        <v>411.48</v>
      </c>
      <c r="T43" s="952">
        <f t="shared" si="42"/>
        <v>537.15</v>
      </c>
      <c r="U43" s="955">
        <f t="shared" si="44"/>
        <v>6.6649125098367949E-5</v>
      </c>
    </row>
    <row r="44" spans="2:21" s="956" customFormat="1" ht="47.25" x14ac:dyDescent="0.2">
      <c r="B44" s="945" t="s">
        <v>416</v>
      </c>
      <c r="C44" s="946" t="str">
        <f>INDEX('Orçamento Analítico'!$B:$M,MATCH('ORÇ. SINTÉTICO'!B44,'Orçamento Analítico'!$B:$B,0)+1,2)</f>
        <v xml:space="preserve"> 101624 </v>
      </c>
      <c r="D44" s="946" t="str">
        <f>INDEX('Orçamento Analítico'!$B:$M,MATCH('ORÇ. SINTÉTICO'!B44,'Orçamento Analítico'!$B:$B,0)+1,3)</f>
        <v>SINAPI</v>
      </c>
      <c r="E44" s="946" t="str">
        <f>INDEX('Orçamento Analítico'!$B:$M,MATCH('ORÇ. SINTÉTICO'!B44,'Orçamento Analítico'!$B:$B,0)+1,4)</f>
        <v>PREPARO DE FUNDO DE VALA COM LARGURA MAIOR OU IGUAL A 1,5 M E MENOR QUE 2,5 M, COM CAMADA DE BRITA, LANÇAMENTO MECANIZADO. AF_08/2020</v>
      </c>
      <c r="F44" s="947"/>
      <c r="G44" s="948" t="str">
        <f>INDEX('Orçamento Analítico'!$B:$M,MATCH('ORÇ. SINTÉTICO'!$B44,'Orçamento Analítico'!$B:$B,0)+1,5)</f>
        <v>Escoramento e Preparo de Fundo de Valas</v>
      </c>
      <c r="H44" s="947" t="str">
        <f>INDEX('Orçamento Analítico'!$B:$M,MATCH('ORÇ. SINTÉTICO'!B44,'Orçamento Analítico'!$B:$B,0)+1,7)</f>
        <v>m³</v>
      </c>
      <c r="I44" s="959">
        <f>DRENAGEM!CL30</f>
        <v>210.8</v>
      </c>
      <c r="J44" s="950">
        <f>INDEX('Orçamento Analítico'!$B:$M,MATCH(B44,'Orçamento Analítico'!$B:$B,0)+1,10)</f>
        <v>227.01</v>
      </c>
      <c r="K44" s="951">
        <f t="shared" si="30"/>
        <v>0.24229999999999999</v>
      </c>
      <c r="L44" s="952">
        <f t="shared" si="37"/>
        <v>282.01</v>
      </c>
      <c r="M44" s="952">
        <f t="shared" si="38"/>
        <v>47853.7</v>
      </c>
      <c r="N44" s="952">
        <f t="shared" si="39"/>
        <v>59447.7</v>
      </c>
      <c r="O44" s="955">
        <f t="shared" si="43"/>
        <v>7.6655789560815465E-3</v>
      </c>
      <c r="P44" s="954">
        <f>INDEX('Orçamento Analítico'!$B:$M,MATCH(B44,'Orçamento Analítico'!$B:$B,0)+1,12)</f>
        <v>223.27</v>
      </c>
      <c r="Q44" s="951">
        <f t="shared" si="19"/>
        <v>0.30659999999999998</v>
      </c>
      <c r="R44" s="952">
        <f t="shared" si="40"/>
        <v>291.72000000000003</v>
      </c>
      <c r="S44" s="952">
        <f t="shared" si="41"/>
        <v>47065.31</v>
      </c>
      <c r="T44" s="952">
        <f t="shared" si="42"/>
        <v>61494.57</v>
      </c>
      <c r="U44" s="955">
        <f t="shared" si="44"/>
        <v>7.6301950829383691E-3</v>
      </c>
    </row>
    <row r="45" spans="2:21" s="941" customFormat="1" ht="63" x14ac:dyDescent="0.2">
      <c r="B45" s="932" t="s">
        <v>954</v>
      </c>
      <c r="C45" s="933" t="str">
        <f>INDEX('Orçamento Analítico'!$B:$M,MATCH('ORÇ. SINTÉTICO'!B45,'Orçamento Analítico'!$B:$B,0)+1,2)</f>
        <v xml:space="preserve"> 100978 </v>
      </c>
      <c r="D45" s="933" t="str">
        <f>INDEX('Orçamento Analítico'!$B:$M,MATCH('ORÇ. SINTÉTICO'!B45,'Orçamento Analítico'!$B:$B,0)+1,3)</f>
        <v>SINAPI</v>
      </c>
      <c r="E45" s="933" t="str">
        <f>INDEX('Orçamento Analítico'!$B:$M,MATCH('ORÇ. SINTÉTICO'!B45,'Orçamento Analítico'!$B:$B,0)+1,4)</f>
        <v>CARGA, MANOBRA E DESCARGA DE SOLOS E MATERIAIS GRANULARES EM CAMINHÃO BASCULANTE 10 M³ - CARGA COM ESCAVADEIRA HIDRÁULICA (CAÇAMBA DE 1,20 M³ / 155 HP) E DESCARGA LIVRE (UNIDADE: M3). AF_07/2020</v>
      </c>
      <c r="F45" s="934"/>
      <c r="G45" s="935" t="str">
        <f>INDEX('Orçamento Analítico'!$B:$M,MATCH('ORÇ. SINTÉTICO'!$B45,'Orçamento Analítico'!$B:$B,0)+1,5)</f>
        <v>Transporte, Carga e Descarga de Materiais</v>
      </c>
      <c r="H45" s="934" t="str">
        <f>INDEX('Orçamento Analítico'!$B:$M,MATCH('ORÇ. SINTÉTICO'!B45,'Orçamento Analítico'!$B:$B,0)+1,7)</f>
        <v>m³</v>
      </c>
      <c r="I45" s="936">
        <f>DRENAGEM!CN30</f>
        <v>231.88</v>
      </c>
      <c r="J45" s="937">
        <f>INDEX('Orçamento Analítico'!$B:$M,MATCH(B45,'Orçamento Analítico'!$B:$B,0)+1,10)</f>
        <v>7.03</v>
      </c>
      <c r="K45" s="938">
        <f t="shared" si="30"/>
        <v>0.24229999999999999</v>
      </c>
      <c r="L45" s="939">
        <f t="shared" si="37"/>
        <v>8.73</v>
      </c>
      <c r="M45" s="939">
        <f t="shared" si="38"/>
        <v>1630.11</v>
      </c>
      <c r="N45" s="939">
        <f t="shared" si="39"/>
        <v>2024.31</v>
      </c>
      <c r="O45" s="928">
        <f t="shared" si="43"/>
        <v>2.6102789740537375E-4</v>
      </c>
      <c r="P45" s="940">
        <f>INDEX('Orçamento Analítico'!$B:$M,MATCH(B45,'Orçamento Analítico'!$B:$B,0)+1,12)</f>
        <v>6.95</v>
      </c>
      <c r="Q45" s="938">
        <f t="shared" si="19"/>
        <v>0.30659999999999998</v>
      </c>
      <c r="R45" s="939">
        <f t="shared" si="40"/>
        <v>9.08</v>
      </c>
      <c r="S45" s="939">
        <f t="shared" si="41"/>
        <v>1611.56</v>
      </c>
      <c r="T45" s="939">
        <f t="shared" si="42"/>
        <v>2105.4699999999998</v>
      </c>
      <c r="U45" s="928">
        <f t="shared" si="44"/>
        <v>2.6124496587705623E-4</v>
      </c>
    </row>
    <row r="46" spans="2:21" s="956" customFormat="1" ht="63" x14ac:dyDescent="0.2">
      <c r="B46" s="945" t="s">
        <v>1162</v>
      </c>
      <c r="C46" s="946" t="str">
        <f>INDEX('Orçamento Analítico'!$B:$M,MATCH('ORÇ. SINTÉTICO'!B46,'Orçamento Analítico'!$B:$B,0)+1,2)</f>
        <v xml:space="preserve"> 95875 </v>
      </c>
      <c r="D46" s="946" t="str">
        <f>INDEX('Orçamento Analítico'!$B:$M,MATCH('ORÇ. SINTÉTICO'!B46,'Orçamento Analítico'!$B:$B,0)+1,3)</f>
        <v>SINAPI</v>
      </c>
      <c r="E46" s="946" t="str">
        <f>INDEX('Orçamento Analítico'!$B:$M,MATCH('ORÇ. SINTÉTICO'!B46,'Orçamento Analítico'!$B:$B,0)+1,4)</f>
        <v>TRANSPORTE COM CAMINHÃO BASCULANTE DE 10 M³, EM VIA URBANA PAVIMENTADA, DMT ATÉ 30 KM (UNIDADE: M3XKM). AF_07/2020</v>
      </c>
      <c r="F46" s="947">
        <f>DMT!F9</f>
        <v>18.2</v>
      </c>
      <c r="G46" s="948" t="str">
        <f>INDEX('Orçamento Analítico'!$B:$M,MATCH('ORÇ. SINTÉTICO'!$B46,'Orçamento Analítico'!$B:$B,0)+1,5)</f>
        <v>Transporte, Carga e Descarga de Materiais</v>
      </c>
      <c r="H46" s="947" t="str">
        <f>INDEX('Orçamento Analítico'!$B:$M,MATCH('ORÇ. SINTÉTICO'!B46,'Orçamento Analítico'!$B:$B,0)+1,7)</f>
        <v>M3XKM</v>
      </c>
      <c r="I46" s="959">
        <f>DRENAGEM!AW51</f>
        <v>4220.21</v>
      </c>
      <c r="J46" s="950">
        <f>INDEX('Orçamento Analítico'!$B:$M,MATCH(B46,'Orçamento Analítico'!$B:$B,0)+1,10)</f>
        <v>2.5</v>
      </c>
      <c r="K46" s="951">
        <f t="shared" si="30"/>
        <v>0.24229999999999999</v>
      </c>
      <c r="L46" s="952">
        <f t="shared" ref="L46:L51" si="45">TRUNC(J46*(1+K46),2)</f>
        <v>3.1</v>
      </c>
      <c r="M46" s="952">
        <f t="shared" ref="M46:M51" si="46">TRUNC($I46 * J46, 2)</f>
        <v>10550.52</v>
      </c>
      <c r="N46" s="952">
        <f t="shared" ref="N46:N51" si="47">TRUNC($I46 * L46, 2)</f>
        <v>13082.65</v>
      </c>
      <c r="O46" s="955">
        <f t="shared" si="43"/>
        <v>1.6869632724189538E-3</v>
      </c>
      <c r="P46" s="954">
        <f>INDEX('Orçamento Analítico'!$B:$M,MATCH(B46,'Orçamento Analítico'!$B:$B,0)+1,12)</f>
        <v>2.48</v>
      </c>
      <c r="Q46" s="951">
        <f t="shared" si="19"/>
        <v>0.30659999999999998</v>
      </c>
      <c r="R46" s="952">
        <f t="shared" ref="R46:R50" si="48">TRUNC(P46*(1+Q46),2)</f>
        <v>3.24</v>
      </c>
      <c r="S46" s="952">
        <f t="shared" ref="S46:S50" si="49">TRUNC($I46 * P46, 2)</f>
        <v>10466.120000000001</v>
      </c>
      <c r="T46" s="952">
        <f t="shared" ref="T46:T51" si="50">TRUNC($I46 * R46, 2)</f>
        <v>13673.48</v>
      </c>
      <c r="U46" s="955">
        <f t="shared" si="44"/>
        <v>1.6965940222471046E-3</v>
      </c>
    </row>
    <row r="47" spans="2:21" s="956" customFormat="1" ht="78.75" x14ac:dyDescent="0.2">
      <c r="B47" s="945" t="s">
        <v>1163</v>
      </c>
      <c r="C47" s="946" t="str">
        <f>INDEX('Orçamento Analítico'!$B:$M,MATCH('ORÇ. SINTÉTICO'!B47,'Orçamento Analítico'!$B:$B,0)+1,2)</f>
        <v xml:space="preserve"> 93379 </v>
      </c>
      <c r="D47" s="946" t="str">
        <f>INDEX('Orçamento Analítico'!$B:$M,MATCH('ORÇ. SINTÉTICO'!B47,'Orçamento Analítico'!$B:$B,0)+1,3)</f>
        <v>SINAPI</v>
      </c>
      <c r="E47" s="946" t="str">
        <f>INDEX('Orçamento Analítico'!$B:$M,MATCH('ORÇ. SINTÉTICO'!B47,'Orçamento Analítico'!$B:$B,0)+1,4)</f>
        <v>REATERRO MECANIZADO DE VALA COM RETROESCAVADEIRA (CAPACIDADE DA CAÇAMBA   DA RETRO: 0,26 M³/POTÊNCIA: 88 HP), LARGURA 0,8 A 1,5 M, PROFUNDIDADE ATÉ 1,5 M, COM SOLO (SEM SUBSTITUIÇÃO) DE 1ª CATEGORIA, COM COMPACTADOR DE SOLOS DE PERCUSSÃO AF_08/2023</v>
      </c>
      <c r="F47" s="947"/>
      <c r="G47" s="948" t="str">
        <f>INDEX('Orçamento Analítico'!$B:$M,MATCH('ORÇ. SINTÉTICO'!$B47,'Orçamento Analítico'!$B:$B,0)+1,5)</f>
        <v>Aterro e Reaterro de Valas</v>
      </c>
      <c r="H47" s="947" t="str">
        <f>INDEX('Orçamento Analítico'!$B:$M,MATCH('ORÇ. SINTÉTICO'!B47,'Orçamento Analítico'!$B:$B,0)+1,7)</f>
        <v>m³</v>
      </c>
      <c r="I47" s="959">
        <f>DRENAGEM!CP30</f>
        <v>1018.65</v>
      </c>
      <c r="J47" s="950">
        <f>INDEX('Orçamento Analítico'!$B:$M,MATCH(B47,'Orçamento Analítico'!$B:$B,0)+1,10)</f>
        <v>18.77</v>
      </c>
      <c r="K47" s="951">
        <f t="shared" si="30"/>
        <v>0.24229999999999999</v>
      </c>
      <c r="L47" s="952">
        <f t="shared" si="45"/>
        <v>23.31</v>
      </c>
      <c r="M47" s="952">
        <f t="shared" si="46"/>
        <v>19120.060000000001</v>
      </c>
      <c r="N47" s="952">
        <f t="shared" si="47"/>
        <v>23744.73</v>
      </c>
      <c r="O47" s="955">
        <f t="shared" si="43"/>
        <v>3.061802266628283E-3</v>
      </c>
      <c r="P47" s="954">
        <f>INDEX('Orçamento Analítico'!$B:$M,MATCH(B47,'Orçamento Analítico'!$B:$B,0)+1,12)</f>
        <v>18.18</v>
      </c>
      <c r="Q47" s="951">
        <f t="shared" si="19"/>
        <v>0.30659999999999998</v>
      </c>
      <c r="R47" s="952">
        <f t="shared" si="48"/>
        <v>23.75</v>
      </c>
      <c r="S47" s="952">
        <f t="shared" si="49"/>
        <v>18519.05</v>
      </c>
      <c r="T47" s="952">
        <f t="shared" si="50"/>
        <v>24192.93</v>
      </c>
      <c r="U47" s="955">
        <f t="shared" si="44"/>
        <v>3.0018386262050806E-3</v>
      </c>
    </row>
    <row r="48" spans="2:21" s="956" customFormat="1" ht="78.75" x14ac:dyDescent="0.2">
      <c r="B48" s="945" t="s">
        <v>1164</v>
      </c>
      <c r="C48" s="946" t="str">
        <f>INDEX('Orçamento Analítico'!$B:$M,MATCH('ORÇ. SINTÉTICO'!B48,'Orçamento Analítico'!$B:$B,0)+1,2)</f>
        <v xml:space="preserve"> 93369 </v>
      </c>
      <c r="D48" s="946" t="str">
        <f>INDEX('Orçamento Analítico'!$B:$M,MATCH('ORÇ. SINTÉTICO'!B48,'Orçamento Analítico'!$B:$B,0)+1,3)</f>
        <v>SINAPI</v>
      </c>
      <c r="E48" s="946" t="str">
        <f>INDEX('Orçamento Analítico'!$B:$M,MATCH('ORÇ. SINTÉTICO'!B48,'Orçamento Analítico'!$B:$B,0)+1,4)</f>
        <v>REATERRO MECANIZADO DE VALA COM ESCAVADEIRA HIDRÁULICA (CAPACIDADE DA CAÇAMBA: 0,8 M³/POTÊNCIA: 111 HP), LARGURA 1,5 A 2,5 M, PROFUNDIDADE 1,5 A 3,0 M, COM SOLO (SEM SUBSTITUIÇÃO) DE 1ª CATEGORIA, COM COMPACTADOR DE SOLOS DE PERCUSSÃO. AF_08/2023</v>
      </c>
      <c r="F48" s="947"/>
      <c r="G48" s="948" t="str">
        <f>INDEX('Orçamento Analítico'!$B:$M,MATCH('ORÇ. SINTÉTICO'!$B48,'Orçamento Analítico'!$B:$B,0)+1,5)</f>
        <v>Aterro e Reaterro de Valas</v>
      </c>
      <c r="H48" s="947" t="str">
        <f>INDEX('Orçamento Analítico'!$B:$M,MATCH('ORÇ. SINTÉTICO'!B48,'Orçamento Analítico'!$B:$B,0)+1,7)</f>
        <v>m³</v>
      </c>
      <c r="I48" s="959">
        <f>DRENAGEM!CT30</f>
        <v>3065.8</v>
      </c>
      <c r="J48" s="950">
        <f>INDEX('Orçamento Analítico'!$B:$M,MATCH(B48,'Orçamento Analítico'!$B:$B,0)+1,10)</f>
        <v>17.02</v>
      </c>
      <c r="K48" s="951">
        <f t="shared" si="30"/>
        <v>0.24229999999999999</v>
      </c>
      <c r="L48" s="952">
        <f t="shared" si="45"/>
        <v>21.14</v>
      </c>
      <c r="M48" s="952">
        <f t="shared" si="46"/>
        <v>52179.91</v>
      </c>
      <c r="N48" s="952">
        <f t="shared" si="47"/>
        <v>64811.01</v>
      </c>
      <c r="O48" s="955">
        <f t="shared" si="43"/>
        <v>8.3571595600568354E-3</v>
      </c>
      <c r="P48" s="954">
        <f>INDEX('Orçamento Analítico'!$B:$M,MATCH(B48,'Orçamento Analítico'!$B:$B,0)+1,12)</f>
        <v>16.579999999999998</v>
      </c>
      <c r="Q48" s="951">
        <f t="shared" si="19"/>
        <v>0.30659999999999998</v>
      </c>
      <c r="R48" s="952">
        <f t="shared" si="48"/>
        <v>21.66</v>
      </c>
      <c r="S48" s="952">
        <f t="shared" si="49"/>
        <v>50830.96</v>
      </c>
      <c r="T48" s="952">
        <f t="shared" si="50"/>
        <v>66405.22</v>
      </c>
      <c r="U48" s="955">
        <f t="shared" si="44"/>
        <v>8.2395044493430991E-3</v>
      </c>
    </row>
    <row r="49" spans="2:21" s="956" customFormat="1" ht="78.75" x14ac:dyDescent="0.2">
      <c r="B49" s="945" t="s">
        <v>1165</v>
      </c>
      <c r="C49" s="946" t="str">
        <f>INDEX('Orçamento Analítico'!$B:$M,MATCH('ORÇ. SINTÉTICO'!B49,'Orçamento Analítico'!$B:$B,0)+1,2)</f>
        <v xml:space="preserve"> 93373 </v>
      </c>
      <c r="D49" s="946" t="str">
        <f>INDEX('Orçamento Analítico'!$B:$M,MATCH('ORÇ. SINTÉTICO'!B49,'Orçamento Analítico'!$B:$B,0)+1,3)</f>
        <v>SINAPI</v>
      </c>
      <c r="E49" s="946" t="str">
        <f>INDEX('Orçamento Analítico'!$B:$M,MATCH('ORÇ. SINTÉTICO'!B49,'Orçamento Analítico'!$B:$B,0)+1,4)</f>
        <v>REATERRO MECANIZADO DE VALA COM ESCAVADEIRA HIDRÁULICA (CAPACIDADE DA CAÇAMBA: 0,8 M³/POTÊNCIA: 111 HP), LARGURA 1,5 A 2,5 M, PROFUNDIDADE 3,0 A 6,0 M, COM SOLO (SEM SUBSTITUIÇÃO) DE 1ª CATEGORIA, COM COMPACTADOR DE SOLOS DE PERCUSSÃO. AF_08/2023</v>
      </c>
      <c r="F49" s="947"/>
      <c r="G49" s="948" t="str">
        <f>INDEX('Orçamento Analítico'!$B:$M,MATCH('ORÇ. SINTÉTICO'!$B49,'Orçamento Analítico'!$B:$B,0)+1,5)</f>
        <v>Aterro e Reaterro de Valas</v>
      </c>
      <c r="H49" s="947" t="str">
        <f>INDEX('Orçamento Analítico'!$B:$M,MATCH('ORÇ. SINTÉTICO'!B49,'Orçamento Analítico'!$B:$B,0)+1,7)</f>
        <v>m³</v>
      </c>
      <c r="I49" s="959">
        <f>DRENAGEM!CW30+DRENAGEM!CZ30</f>
        <v>4435.84</v>
      </c>
      <c r="J49" s="950">
        <f>INDEX('Orçamento Analítico'!$B:$M,MATCH(B49,'Orçamento Analítico'!$B:$B,0)+1,10)</f>
        <v>14.08</v>
      </c>
      <c r="K49" s="951">
        <f t="shared" si="30"/>
        <v>0.24229999999999999</v>
      </c>
      <c r="L49" s="952">
        <f t="shared" si="45"/>
        <v>17.489999999999998</v>
      </c>
      <c r="M49" s="952">
        <f t="shared" si="46"/>
        <v>62456.62</v>
      </c>
      <c r="N49" s="952">
        <f t="shared" si="47"/>
        <v>77582.84</v>
      </c>
      <c r="O49" s="955">
        <f t="shared" si="43"/>
        <v>1.0004043649410181E-2</v>
      </c>
      <c r="P49" s="954">
        <f>INDEX('Orçamento Analítico'!$B:$M,MATCH(B49,'Orçamento Analítico'!$B:$B,0)+1,12)</f>
        <v>13.68</v>
      </c>
      <c r="Q49" s="951">
        <f t="shared" si="19"/>
        <v>0.30659999999999998</v>
      </c>
      <c r="R49" s="952">
        <f t="shared" si="48"/>
        <v>17.87</v>
      </c>
      <c r="S49" s="952">
        <f t="shared" si="49"/>
        <v>60682.29</v>
      </c>
      <c r="T49" s="952">
        <f t="shared" si="50"/>
        <v>79268.460000000006</v>
      </c>
      <c r="U49" s="955">
        <f t="shared" si="44"/>
        <v>9.8355645664990714E-3</v>
      </c>
    </row>
    <row r="50" spans="2:21" s="956" customFormat="1" ht="31.5" x14ac:dyDescent="0.2">
      <c r="B50" s="945" t="s">
        <v>1415</v>
      </c>
      <c r="C50" s="946" t="str">
        <f>INDEX('Orçamento Analítico'!$B:$M,MATCH('ORÇ. SINTÉTICO'!B50,'Orçamento Analítico'!$B:$B,0)+1,2)</f>
        <v xml:space="preserve"> 1505877 </v>
      </c>
      <c r="D50" s="946" t="str">
        <f>INDEX('Orçamento Analítico'!$B:$M,MATCH('ORÇ. SINTÉTICO'!B50,'Orçamento Analítico'!$B:$B,0)+1,3)</f>
        <v>SICRO3</v>
      </c>
      <c r="E50" s="946" t="str">
        <f>INDEX('Orçamento Analítico'!$B:$M,MATCH('ORÇ. SINTÉTICO'!B50,'Orçamento Analítico'!$B:$B,0)+1,4)</f>
        <v>Enrocamento de pedra espalhada e compactada mecanicamente - pedra de mão comercial - fornecimento e assentamento</v>
      </c>
      <c r="F50" s="947"/>
      <c r="G50" s="948" t="str">
        <f>INDEX('Orçamento Analítico'!$B:$M,MATCH('ORÇ. SINTÉTICO'!$B50,'Orçamento Analítico'!$B:$B,0)+1,5)</f>
        <v/>
      </c>
      <c r="H50" s="947" t="str">
        <f>INDEX('Orçamento Analítico'!$B:$M,MATCH('ORÇ. SINTÉTICO'!B50,'Orçamento Analítico'!$B:$B,0)+1,7)</f>
        <v>m³</v>
      </c>
      <c r="I50" s="959">
        <f>COMPLEMENTARES!D18</f>
        <v>33.479999999999997</v>
      </c>
      <c r="J50" s="950">
        <f>INDEX('Orçamento Analítico'!$B:$M,MATCH(B50,'Orçamento Analítico'!$B:$B,0)+1,10)</f>
        <v>167.78</v>
      </c>
      <c r="K50" s="951">
        <f t="shared" si="30"/>
        <v>0.24229999999999999</v>
      </c>
      <c r="L50" s="952">
        <f t="shared" si="45"/>
        <v>208.43</v>
      </c>
      <c r="M50" s="952">
        <f t="shared" si="46"/>
        <v>5617.27</v>
      </c>
      <c r="N50" s="952">
        <f t="shared" si="47"/>
        <v>6978.23</v>
      </c>
      <c r="O50" s="955">
        <f t="shared" ref="O50:O51" si="51">N50/$M$135</f>
        <v>8.9981905168235149E-4</v>
      </c>
      <c r="P50" s="954">
        <f>INDEX('Orçamento Analítico'!$B:$M,MATCH(B50,'Orçamento Analítico'!$B:$B,0)+1,12)</f>
        <v>167.61</v>
      </c>
      <c r="Q50" s="951">
        <f t="shared" si="19"/>
        <v>0.30659999999999998</v>
      </c>
      <c r="R50" s="952">
        <f t="shared" si="48"/>
        <v>218.99</v>
      </c>
      <c r="S50" s="952">
        <f t="shared" si="49"/>
        <v>5611.58</v>
      </c>
      <c r="T50" s="952">
        <f t="shared" si="50"/>
        <v>7331.78</v>
      </c>
      <c r="U50" s="955">
        <f t="shared" ref="U50:U51" si="52">T50/$S$135</f>
        <v>9.097211624568783E-4</v>
      </c>
    </row>
    <row r="51" spans="2:21" s="956" customFormat="1" ht="63" x14ac:dyDescent="0.2">
      <c r="B51" s="945" t="s">
        <v>1429</v>
      </c>
      <c r="C51" s="946" t="str">
        <f>INDEX('Orçamento Analítico'!$B:$M,MATCH('ORÇ. SINTÉTICO'!B51,'Orçamento Analítico'!$B:$B,0)+1,2)</f>
        <v xml:space="preserve"> 95875 </v>
      </c>
      <c r="D51" s="946" t="str">
        <f>INDEX('Orçamento Analítico'!$B:$M,MATCH('ORÇ. SINTÉTICO'!B51,'Orçamento Analítico'!$B:$B,0)+1,3)</f>
        <v>SINAPI</v>
      </c>
      <c r="E51" s="946" t="str">
        <f>INDEX('Orçamento Analítico'!$B:$M,MATCH('ORÇ. SINTÉTICO'!B51,'Orçamento Analítico'!$B:$B,0)+1,4)</f>
        <v>TRANSPORTE COM CAMINHÃO BASCULANTE DE 10 M³, EM VIA URBANA PAVIMENTADA, DMT ATÉ 30 KM (UNIDADE: M3XKM). AF_07/2020</v>
      </c>
      <c r="F51" s="947">
        <f>DMT!F9</f>
        <v>18.2</v>
      </c>
      <c r="G51" s="948" t="str">
        <f>INDEX('Orçamento Analítico'!$B:$M,MATCH('ORÇ. SINTÉTICO'!$B51,'Orçamento Analítico'!$B:$B,0)+1,5)</f>
        <v>Transporte, Carga e Descarga de Materiais</v>
      </c>
      <c r="H51" s="947" t="str">
        <f>INDEX('Orçamento Analítico'!$B:$M,MATCH('ORÇ. SINTÉTICO'!B51,'Orçamento Analítico'!$B:$B,0)+1,7)</f>
        <v>M3XKM</v>
      </c>
      <c r="I51" s="959">
        <f>COMPLEMENTARES!D19</f>
        <v>731.2</v>
      </c>
      <c r="J51" s="950">
        <f>INDEX('Orçamento Analítico'!$B:$M,MATCH(B51,'Orçamento Analítico'!$B:$B,0)+1,10)</f>
        <v>2.5</v>
      </c>
      <c r="K51" s="951">
        <f t="shared" si="30"/>
        <v>0.24229999999999999</v>
      </c>
      <c r="L51" s="952">
        <f t="shared" si="45"/>
        <v>3.1</v>
      </c>
      <c r="M51" s="952">
        <f t="shared" si="46"/>
        <v>1828</v>
      </c>
      <c r="N51" s="952">
        <f t="shared" si="47"/>
        <v>2266.7199999999998</v>
      </c>
      <c r="O51" s="955">
        <f t="shared" si="51"/>
        <v>2.922858433771056E-4</v>
      </c>
      <c r="P51" s="954">
        <f>INDEX('Orçamento Analítico'!$B:$M,MATCH(B51,'Orçamento Analítico'!$B:$B,0)+1,12)</f>
        <v>2.48</v>
      </c>
      <c r="Q51" s="951">
        <f t="shared" si="19"/>
        <v>0.30659999999999998</v>
      </c>
      <c r="R51" s="952">
        <f>TRUNC(P51*(1+Q51),2)</f>
        <v>3.24</v>
      </c>
      <c r="S51" s="952">
        <f>TRUNC($I51 * P51, 2)</f>
        <v>1813.37</v>
      </c>
      <c r="T51" s="952">
        <f t="shared" si="50"/>
        <v>2369.08</v>
      </c>
      <c r="U51" s="955">
        <f t="shared" si="52"/>
        <v>2.9395347535705397E-4</v>
      </c>
    </row>
    <row r="52" spans="2:21" x14ac:dyDescent="0.2">
      <c r="B52" s="617" t="s">
        <v>417</v>
      </c>
      <c r="C52" s="840"/>
      <c r="D52" s="840"/>
      <c r="E52" s="617" t="s">
        <v>418</v>
      </c>
      <c r="F52" s="601"/>
      <c r="G52" s="726"/>
      <c r="H52" s="841"/>
      <c r="I52" s="695">
        <v>1</v>
      </c>
      <c r="J52" s="620"/>
      <c r="K52" s="602"/>
      <c r="L52" s="603"/>
      <c r="M52" s="603">
        <f>TRUNC(SUM(M53:M87),2)</f>
        <v>1823083.76</v>
      </c>
      <c r="N52" s="603">
        <f>TRUNC(SUM(N53:N87),2)</f>
        <v>2155542.94</v>
      </c>
      <c r="O52" s="624">
        <f t="shared" si="43"/>
        <v>0.27794993918678346</v>
      </c>
      <c r="P52" s="842"/>
      <c r="Q52" s="602"/>
      <c r="R52" s="603"/>
      <c r="S52" s="603">
        <f>TRUNC(SUM(S53:S87),2)</f>
        <v>1811485.95</v>
      </c>
      <c r="T52" s="603">
        <f>TRUNC(SUM(T53:T87),2)</f>
        <v>2247573.54</v>
      </c>
      <c r="U52" s="624">
        <f t="shared" si="44"/>
        <v>0.27887705489200726</v>
      </c>
    </row>
    <row r="53" spans="2:21" s="956" customFormat="1" ht="31.5" x14ac:dyDescent="0.2">
      <c r="B53" s="945" t="s">
        <v>1449</v>
      </c>
      <c r="C53" s="946" t="str">
        <f>INDEX('Orçamento Analítico'!$B:$M,MATCH('ORÇ. SINTÉTICO'!B53,'Orçamento Analítico'!$B:$B,0)+1,2)</f>
        <v xml:space="preserve"> 00041782 </v>
      </c>
      <c r="D53" s="946" t="str">
        <f>INDEX('Orçamento Analítico'!$B:$M,MATCH('ORÇ. SINTÉTICO'!B53,'Orçamento Analítico'!$B:$B,0)+1,3)</f>
        <v>SINAPI</v>
      </c>
      <c r="E53" s="946" t="str">
        <f>INDEX('Orçamento Analítico'!$B:$M,MATCH('ORÇ. SINTÉTICO'!B53,'Orçamento Analítico'!$B:$B,0)+1,4)</f>
        <v>TUBO CORRUGADO PEAD, PAREDE DUPLA, INTERNA LISA, JEI, DN/DI 600 MM, PARA SANEAMENTO (DRENAGEM/ESGOTO)</v>
      </c>
      <c r="F53" s="947"/>
      <c r="G53" s="948" t="str">
        <f>INDEX('Orçamento Analítico'!$B:$M,MATCH('ORÇ. SINTÉTICO'!$B53,'Orçamento Analítico'!$B:$B,0)+1,5)</f>
        <v>Material</v>
      </c>
      <c r="H53" s="947" t="str">
        <f>INDEX('Orçamento Analítico'!$B:$M,MATCH('ORÇ. SINTÉTICO'!B53,'Orçamento Analítico'!$B:$B,0)+1,7)</f>
        <v>M</v>
      </c>
      <c r="I53" s="959">
        <f>DRENAGEM!DC17</f>
        <v>119</v>
      </c>
      <c r="J53" s="950">
        <f>INDEX('Orçamento Analítico'!$B:$M,MATCH(B53,'Orçamento Analítico'!$B:$B,0)+1,10)</f>
        <v>830.14</v>
      </c>
      <c r="K53" s="951">
        <f>IF((OR($G53="MATERIAL",$G53="Equipamento")),K$5,K$4)</f>
        <v>0.1527</v>
      </c>
      <c r="L53" s="952">
        <f t="shared" ref="L53" si="53">TRUNC(J53*(1+K53),2)</f>
        <v>956.9</v>
      </c>
      <c r="M53" s="952">
        <f t="shared" si="32"/>
        <v>98786.66</v>
      </c>
      <c r="N53" s="952">
        <f>TRUNC($I53 * L53, 2)</f>
        <v>113871.1</v>
      </c>
      <c r="O53" s="955">
        <f t="shared" si="43"/>
        <v>1.4683291495984831E-2</v>
      </c>
      <c r="P53" s="954">
        <f>INDEX('Orçamento Analítico'!$B:$M,MATCH(B53,'Orçamento Analítico'!$B:$B,0)+1,12)</f>
        <v>830.14</v>
      </c>
      <c r="Q53" s="951">
        <f t="shared" si="19"/>
        <v>0.2092</v>
      </c>
      <c r="R53" s="952">
        <f t="shared" ref="R53" si="54">TRUNC(P53*(1+Q53),2)</f>
        <v>1003.8</v>
      </c>
      <c r="S53" s="952">
        <f t="shared" ref="S53" si="55">TRUNC($I53 * P53, 2)</f>
        <v>98786.66</v>
      </c>
      <c r="T53" s="952">
        <f t="shared" ref="T53" si="56">TRUNC($I53 * R53, 2)</f>
        <v>119452.2</v>
      </c>
      <c r="U53" s="955">
        <f t="shared" si="44"/>
        <v>1.482152959336362E-2</v>
      </c>
    </row>
    <row r="54" spans="2:21" s="956" customFormat="1" ht="63" x14ac:dyDescent="0.2">
      <c r="B54" s="945" t="s">
        <v>419</v>
      </c>
      <c r="C54" s="946" t="str">
        <f>INDEX('Orçamento Analítico'!$B:$M,MATCH('ORÇ. SINTÉTICO'!B54,'Orçamento Analítico'!$B:$B,0)+1,2)</f>
        <v xml:space="preserve"> DRE. PEAD 600 </v>
      </c>
      <c r="D54" s="946" t="str">
        <f>INDEX('Orçamento Analítico'!$B:$M,MATCH('ORÇ. SINTÉTICO'!B54,'Orçamento Analítico'!$B:$B,0)+1,3)</f>
        <v>Próprio</v>
      </c>
      <c r="E54" s="946" t="str">
        <f>INDEX('Orçamento Analítico'!$B:$M,MATCH('ORÇ. SINTÉTICO'!B54,'Orçamento Analítico'!$B:$B,0)+1,4)</f>
        <v>ASSENTAMENTO DE TUBO DE PEAD CORRUGADO DE DUPLA PAREDE DE ESGOTO, DN 600 MM, JUNTA ELÁSTICA INTEGRADA (NÃO INCLUI FORNECIMENTO) (REF. SINAPI 90747)</v>
      </c>
      <c r="F54" s="947"/>
      <c r="G54" s="948" t="str">
        <f>INDEX('Orçamento Analítico'!$B:$M,MATCH('ORÇ. SINTÉTICO'!$B54,'Orçamento Analítico'!$B:$B,0)+1,5)</f>
        <v>ASTU - ASSENTAMENTO DE TUBOS E PECAS</v>
      </c>
      <c r="H54" s="947" t="str">
        <f>INDEX('Orçamento Analítico'!$B:$M,MATCH('ORÇ. SINTÉTICO'!B54,'Orçamento Analítico'!$B:$B,0)+1,7)</f>
        <v>M</v>
      </c>
      <c r="I54" s="959">
        <f>DRENAGEM!DC17</f>
        <v>119</v>
      </c>
      <c r="J54" s="950">
        <f>INDEX('Orçamento Analítico'!$B:$M,MATCH(B54,'Orçamento Analítico'!$B:$B,0)+1,10)</f>
        <v>16.850000000000001</v>
      </c>
      <c r="K54" s="951">
        <f t="shared" si="30"/>
        <v>0.24229999999999999</v>
      </c>
      <c r="L54" s="952">
        <f t="shared" ref="L54:L55" si="57">TRUNC(J54*(1+K54),2)</f>
        <v>20.93</v>
      </c>
      <c r="M54" s="952">
        <f t="shared" ref="M54:M55" si="58">TRUNC($I54 * J54, 2)</f>
        <v>2005.15</v>
      </c>
      <c r="N54" s="952">
        <f t="shared" ref="N54:N55" si="59">TRUNC($I54 * L54, 2)</f>
        <v>2490.67</v>
      </c>
      <c r="O54" s="955">
        <f t="shared" si="43"/>
        <v>3.2116343506214079E-4</v>
      </c>
      <c r="P54" s="954">
        <f>INDEX('Orçamento Analítico'!$B:$M,MATCH(B54,'Orçamento Analítico'!$B:$B,0)+1,12)</f>
        <v>16.399999999999999</v>
      </c>
      <c r="Q54" s="951">
        <f t="shared" si="19"/>
        <v>0.30659999999999998</v>
      </c>
      <c r="R54" s="952">
        <f t="shared" ref="R54:R85" si="60">TRUNC(P54*(1+Q54),2)</f>
        <v>21.42</v>
      </c>
      <c r="S54" s="952">
        <f t="shared" ref="S54:S85" si="61">TRUNC($I54 * P54, 2)</f>
        <v>1951.6</v>
      </c>
      <c r="T54" s="952">
        <f t="shared" ref="T54:T85" si="62">TRUNC($I54 * R54, 2)</f>
        <v>2548.98</v>
      </c>
      <c r="U54" s="955">
        <f t="shared" si="44"/>
        <v>3.1627531768265463E-4</v>
      </c>
    </row>
    <row r="55" spans="2:21" s="956" customFormat="1" ht="31.5" x14ac:dyDescent="0.2">
      <c r="B55" s="945" t="s">
        <v>1450</v>
      </c>
      <c r="C55" s="946" t="str">
        <f>INDEX('Orçamento Analítico'!$B:$M,MATCH('ORÇ. SINTÉTICO'!B55,'Orçamento Analítico'!$B:$B,0)+1,2)</f>
        <v xml:space="preserve"> 00041785 </v>
      </c>
      <c r="D55" s="946" t="str">
        <f>INDEX('Orçamento Analítico'!$B:$M,MATCH('ORÇ. SINTÉTICO'!B55,'Orçamento Analítico'!$B:$B,0)+1,3)</f>
        <v>SINAPI</v>
      </c>
      <c r="E55" s="946" t="str">
        <f>INDEX('Orçamento Analítico'!$B:$M,MATCH('ORÇ. SINTÉTICO'!B55,'Orçamento Analítico'!$B:$B,0)+1,4)</f>
        <v>TUBO CORRUGADO PEAD, PAREDE DUPLA, INTERNA LISA, JEI, DN/DI *1000* MM, PARA SANEAMENTO (DRENAGEM/ESGOTO)</v>
      </c>
      <c r="F55" s="947"/>
      <c r="G55" s="948" t="str">
        <f>INDEX('Orçamento Analítico'!$B:$M,MATCH('ORÇ. SINTÉTICO'!$B55,'Orçamento Analítico'!$B:$B,0)+1,5)</f>
        <v>Material</v>
      </c>
      <c r="H55" s="947" t="str">
        <f>INDEX('Orçamento Analítico'!$B:$M,MATCH('ORÇ. SINTÉTICO'!B55,'Orçamento Analítico'!$B:$B,0)+1,7)</f>
        <v>M</v>
      </c>
      <c r="I55" s="959">
        <f>DRENAGEM!DE14+DRENAGEM!DE15+DRENAGEM!DE16</f>
        <v>358</v>
      </c>
      <c r="J55" s="950">
        <f>INDEX('Orçamento Analítico'!$B:$M,MATCH(B55,'Orçamento Analítico'!$B:$B,0)+1,10)</f>
        <v>2080.02</v>
      </c>
      <c r="K55" s="951">
        <f t="shared" si="30"/>
        <v>0.1527</v>
      </c>
      <c r="L55" s="952">
        <f t="shared" si="57"/>
        <v>2397.63</v>
      </c>
      <c r="M55" s="952">
        <f t="shared" si="58"/>
        <v>744647.16</v>
      </c>
      <c r="N55" s="952">
        <f t="shared" si="59"/>
        <v>858351.54</v>
      </c>
      <c r="O55" s="955">
        <f t="shared" si="43"/>
        <v>0.11068151504505958</v>
      </c>
      <c r="P55" s="954">
        <f>INDEX('Orçamento Analítico'!$B:$M,MATCH(B55,'Orçamento Analítico'!$B:$B,0)+1,12)</f>
        <v>2080.02</v>
      </c>
      <c r="Q55" s="951">
        <f t="shared" si="19"/>
        <v>0.2092</v>
      </c>
      <c r="R55" s="952">
        <f t="shared" si="60"/>
        <v>2515.16</v>
      </c>
      <c r="S55" s="952">
        <f t="shared" si="61"/>
        <v>744647.16</v>
      </c>
      <c r="T55" s="952">
        <f t="shared" si="62"/>
        <v>900427.28</v>
      </c>
      <c r="U55" s="955">
        <f t="shared" si="44"/>
        <v>0.11172426775891872</v>
      </c>
    </row>
    <row r="56" spans="2:21" s="956" customFormat="1" ht="63" x14ac:dyDescent="0.2">
      <c r="B56" s="945" t="s">
        <v>420</v>
      </c>
      <c r="C56" s="946" t="str">
        <f>INDEX('Orçamento Analítico'!$B:$M,MATCH('ORÇ. SINTÉTICO'!B56,'Orçamento Analítico'!$B:$B,0)+1,2)</f>
        <v xml:space="preserve"> DRE. PEAD 1000 </v>
      </c>
      <c r="D56" s="946" t="str">
        <f>INDEX('Orçamento Analítico'!$B:$M,MATCH('ORÇ. SINTÉTICO'!B56,'Orçamento Analítico'!$B:$B,0)+1,3)</f>
        <v>Próprio</v>
      </c>
      <c r="E56" s="946" t="str">
        <f>INDEX('Orçamento Analítico'!$B:$M,MATCH('ORÇ. SINTÉTICO'!B56,'Orçamento Analítico'!$B:$B,0)+1,4)</f>
        <v>ASSENTAMENTO DE TUBO DE PEAD CORRUGADO DE DUPLA PAREDE, DN 1000 MM, JUNTA ELÁSTICA INTEGRADA (NÃO INCLUI FORNECIMENTO). (REF. SINAPI 94880)</v>
      </c>
      <c r="F56" s="947"/>
      <c r="G56" s="948" t="str">
        <f>INDEX('Orçamento Analítico'!$B:$M,MATCH('ORÇ. SINTÉTICO'!$B56,'Orçamento Analítico'!$B:$B,0)+1,5)</f>
        <v>ASTU - ASSENTAMENTO DE TUBOS E PECAS</v>
      </c>
      <c r="H56" s="947" t="str">
        <f>INDEX('Orçamento Analítico'!$B:$M,MATCH('ORÇ. SINTÉTICO'!B56,'Orçamento Analítico'!$B:$B,0)+1,7)</f>
        <v>M</v>
      </c>
      <c r="I56" s="959">
        <f>DRENAGEM!DE14+DRENAGEM!DE15+DRENAGEM!DE16</f>
        <v>358</v>
      </c>
      <c r="J56" s="950">
        <f>INDEX('Orçamento Analítico'!$B:$M,MATCH(B56,'Orçamento Analítico'!$B:$B,0)+1,10)</f>
        <v>43.34</v>
      </c>
      <c r="K56" s="951">
        <f t="shared" si="30"/>
        <v>0.24229999999999999</v>
      </c>
      <c r="L56" s="952">
        <f t="shared" si="31"/>
        <v>53.84</v>
      </c>
      <c r="M56" s="952">
        <f t="shared" si="32"/>
        <v>15515.72</v>
      </c>
      <c r="N56" s="952">
        <f t="shared" si="33"/>
        <v>19274.72</v>
      </c>
      <c r="O56" s="955">
        <f t="shared" si="43"/>
        <v>2.4854096628862702E-3</v>
      </c>
      <c r="P56" s="954">
        <f>INDEX('Orçamento Analítico'!$B:$M,MATCH(B56,'Orçamento Analítico'!$B:$B,0)+1,12)</f>
        <v>42.37</v>
      </c>
      <c r="Q56" s="951">
        <f t="shared" si="19"/>
        <v>0.30659999999999998</v>
      </c>
      <c r="R56" s="952">
        <f t="shared" si="60"/>
        <v>55.36</v>
      </c>
      <c r="S56" s="952">
        <f t="shared" si="61"/>
        <v>15168.46</v>
      </c>
      <c r="T56" s="952">
        <f t="shared" si="62"/>
        <v>19818.88</v>
      </c>
      <c r="U56" s="955">
        <f t="shared" si="44"/>
        <v>2.4591101413563117E-3</v>
      </c>
    </row>
    <row r="57" spans="2:21" s="956" customFormat="1" ht="63" x14ac:dyDescent="0.2">
      <c r="B57" s="945" t="s">
        <v>421</v>
      </c>
      <c r="C57" s="946" t="str">
        <f>INDEX('Orçamento Analítico'!$B:$M,MATCH('ORÇ. SINTÉTICO'!B57,'Orçamento Analítico'!$B:$B,0)+1,2)</f>
        <v xml:space="preserve"> 100947 </v>
      </c>
      <c r="D57" s="946" t="str">
        <f>INDEX('Orçamento Analítico'!$B:$M,MATCH('ORÇ. SINTÉTICO'!B57,'Orçamento Analítico'!$B:$B,0)+1,3)</f>
        <v>SINAPI</v>
      </c>
      <c r="E57" s="946" t="str">
        <f>INDEX('Orçamento Analítico'!$B:$M,MATCH('ORÇ. SINTÉTICO'!B57,'Orçamento Analítico'!$B:$B,0)+1,4)</f>
        <v>TRANSPORTE COM CAMINHÃO CARROCERIA 9T, EM VIA URBANA PAVIMENTADA, DMT ATÉ 30KM (UNIDADE: TXKM). AF_07/2020</v>
      </c>
      <c r="F57" s="947">
        <v>30</v>
      </c>
      <c r="G57" s="948" t="str">
        <f>INDEX('Orçamento Analítico'!$B:$M,MATCH('ORÇ. SINTÉTICO'!$B57,'Orçamento Analítico'!$B:$B,0)+1,5)</f>
        <v>Transporte, Carga e Descarga de Materiais</v>
      </c>
      <c r="H57" s="947" t="str">
        <f>INDEX('Orçamento Analítico'!$B:$M,MATCH('ORÇ. SINTÉTICO'!B57,'Orçamento Analítico'!$B:$B,0)+1,7)</f>
        <v>TXKM</v>
      </c>
      <c r="I57" s="959">
        <f>DRENAGEM!AW48</f>
        <v>447.3</v>
      </c>
      <c r="J57" s="950">
        <f>INDEX('Orçamento Analítico'!$B:$M,MATCH(B57,'Orçamento Analítico'!$B:$B,0)+1,10)</f>
        <v>2.2599999999999998</v>
      </c>
      <c r="K57" s="951">
        <f t="shared" si="30"/>
        <v>0.24229999999999999</v>
      </c>
      <c r="L57" s="952">
        <f t="shared" si="31"/>
        <v>2.8</v>
      </c>
      <c r="M57" s="952">
        <f t="shared" si="32"/>
        <v>1010.89</v>
      </c>
      <c r="N57" s="952">
        <f t="shared" si="33"/>
        <v>1252.44</v>
      </c>
      <c r="O57" s="955">
        <f t="shared" si="43"/>
        <v>1.614978831435829E-4</v>
      </c>
      <c r="P57" s="954">
        <f>INDEX('Orçamento Analítico'!$B:$M,MATCH(B57,'Orçamento Analítico'!$B:$B,0)+1,12)</f>
        <v>2.23</v>
      </c>
      <c r="Q57" s="951">
        <f t="shared" si="19"/>
        <v>0.30659999999999998</v>
      </c>
      <c r="R57" s="952">
        <f t="shared" si="60"/>
        <v>2.91</v>
      </c>
      <c r="S57" s="952">
        <f t="shared" si="61"/>
        <v>997.47</v>
      </c>
      <c r="T57" s="952">
        <f t="shared" si="62"/>
        <v>1301.6400000000001</v>
      </c>
      <c r="U57" s="955">
        <f t="shared" si="44"/>
        <v>1.6150640825288965E-4</v>
      </c>
    </row>
    <row r="58" spans="2:21" s="956" customFormat="1" ht="63" x14ac:dyDescent="0.2">
      <c r="B58" s="945" t="s">
        <v>422</v>
      </c>
      <c r="C58" s="946" t="str">
        <f>INDEX('Orçamento Analítico'!$B:$M,MATCH('ORÇ. SINTÉTICO'!B58,'Orçamento Analítico'!$B:$B,0)+1,2)</f>
        <v xml:space="preserve"> 100948 </v>
      </c>
      <c r="D58" s="946" t="str">
        <f>INDEX('Orçamento Analítico'!$B:$M,MATCH('ORÇ. SINTÉTICO'!B58,'Orçamento Analítico'!$B:$B,0)+1,3)</f>
        <v>SINAPI</v>
      </c>
      <c r="E58" s="946" t="str">
        <f>INDEX('Orçamento Analítico'!$B:$M,MATCH('ORÇ. SINTÉTICO'!B58,'Orçamento Analítico'!$B:$B,0)+1,4)</f>
        <v>TRANSPORTE COM CAMINHÃO CARROCERIA 9T, EM VIA URBANA PAVIMENTADA, ADICIONAL PARA DMT EXCEDENTE A 30 KM (UNIDADE: TXKM). AF_07/2020</v>
      </c>
      <c r="F58" s="947">
        <f>DMT!F11-30</f>
        <v>298</v>
      </c>
      <c r="G58" s="948" t="str">
        <f>INDEX('Orçamento Analítico'!$B:$M,MATCH('ORÇ. SINTÉTICO'!$B58,'Orçamento Analítico'!$B:$B,0)+1,5)</f>
        <v>Transporte, Carga e Descarga de Materiais</v>
      </c>
      <c r="H58" s="947" t="str">
        <f>INDEX('Orçamento Analítico'!$B:$M,MATCH('ORÇ. SINTÉTICO'!B58,'Orçamento Analítico'!$B:$B,0)+1,7)</f>
        <v>TXKM</v>
      </c>
      <c r="I58" s="959">
        <f>DRENAGEM!AW49</f>
        <v>4443.18</v>
      </c>
      <c r="J58" s="950">
        <f>INDEX('Orçamento Analítico'!$B:$M,MATCH(B58,'Orçamento Analítico'!$B:$B,0)+1,10)</f>
        <v>0.89</v>
      </c>
      <c r="K58" s="951">
        <f t="shared" si="30"/>
        <v>0.24229999999999999</v>
      </c>
      <c r="L58" s="952">
        <f t="shared" si="31"/>
        <v>1.1000000000000001</v>
      </c>
      <c r="M58" s="952">
        <f t="shared" si="32"/>
        <v>3954.43</v>
      </c>
      <c r="N58" s="952">
        <f t="shared" si="33"/>
        <v>4887.49</v>
      </c>
      <c r="O58" s="955">
        <f t="shared" si="43"/>
        <v>6.3022523145654077E-4</v>
      </c>
      <c r="P58" s="954">
        <f>INDEX('Orçamento Analítico'!$B:$M,MATCH(B58,'Orçamento Analítico'!$B:$B,0)+1,12)</f>
        <v>0.88</v>
      </c>
      <c r="Q58" s="951">
        <f t="shared" si="19"/>
        <v>0.30659999999999998</v>
      </c>
      <c r="R58" s="952">
        <f t="shared" si="60"/>
        <v>1.1399999999999999</v>
      </c>
      <c r="S58" s="952">
        <f t="shared" si="61"/>
        <v>3909.99</v>
      </c>
      <c r="T58" s="952">
        <f t="shared" si="62"/>
        <v>5065.22</v>
      </c>
      <c r="U58" s="955">
        <f t="shared" si="44"/>
        <v>6.2848828340455239E-4</v>
      </c>
    </row>
    <row r="59" spans="2:21" s="956" customFormat="1" ht="31.5" x14ac:dyDescent="0.2">
      <c r="B59" s="945" t="s">
        <v>1451</v>
      </c>
      <c r="C59" s="946" t="str">
        <f>INDEX('Orçamento Analítico'!$B:$M,MATCH('ORÇ. SINTÉTICO'!B59,'Orçamento Analítico'!$B:$B,0)+1,2)</f>
        <v xml:space="preserve"> 00007781 </v>
      </c>
      <c r="D59" s="946" t="str">
        <f>INDEX('Orçamento Analítico'!$B:$M,MATCH('ORÇ. SINTÉTICO'!B59,'Orçamento Analítico'!$B:$B,0)+1,3)</f>
        <v>SINAPI</v>
      </c>
      <c r="E59" s="946" t="str">
        <f>INDEX('Orçamento Analítico'!$B:$M,MATCH('ORÇ. SINTÉTICO'!B59,'Orçamento Analítico'!$B:$B,0)+1,4)</f>
        <v>TUBO DE CONCRETO SIMPLES PARA AGUAS PLUVIAIS, CLASSE PS1, COM ENCAIXE PONTA E BOLSA, DIAMETRO NOMINAL DE 400 MM</v>
      </c>
      <c r="F59" s="947"/>
      <c r="G59" s="948" t="str">
        <f>INDEX('Orçamento Analítico'!$B:$M,MATCH('ORÇ. SINTÉTICO'!$B59,'Orçamento Analítico'!$B:$B,0)+1,5)</f>
        <v>Material</v>
      </c>
      <c r="H59" s="947" t="str">
        <f>INDEX('Orçamento Analítico'!$B:$M,MATCH('ORÇ. SINTÉTICO'!B59,'Orçamento Analítico'!$B:$B,0)+1,7)</f>
        <v>M</v>
      </c>
      <c r="I59" s="959">
        <f>DRENAGEM!DB30</f>
        <v>767</v>
      </c>
      <c r="J59" s="950">
        <f>INDEX('Orçamento Analítico'!$B:$M,MATCH(B59,'Orçamento Analítico'!$B:$B,0)+1,10)</f>
        <v>86.67</v>
      </c>
      <c r="K59" s="951">
        <f t="shared" si="30"/>
        <v>0.1527</v>
      </c>
      <c r="L59" s="952">
        <f t="shared" si="31"/>
        <v>99.9</v>
      </c>
      <c r="M59" s="952">
        <f t="shared" si="32"/>
        <v>66475.89</v>
      </c>
      <c r="N59" s="952">
        <f t="shared" si="33"/>
        <v>76623.3</v>
      </c>
      <c r="O59" s="955">
        <f t="shared" si="43"/>
        <v>9.8803142262109921E-3</v>
      </c>
      <c r="P59" s="954">
        <f>INDEX('Orçamento Analítico'!$B:$M,MATCH(B59,'Orçamento Analítico'!$B:$B,0)+1,12)</f>
        <v>86.67</v>
      </c>
      <c r="Q59" s="951">
        <f t="shared" si="19"/>
        <v>0.2092</v>
      </c>
      <c r="R59" s="952">
        <f t="shared" si="60"/>
        <v>104.8</v>
      </c>
      <c r="S59" s="952">
        <f t="shared" si="61"/>
        <v>66475.89</v>
      </c>
      <c r="T59" s="952">
        <f t="shared" si="62"/>
        <v>80381.600000000006</v>
      </c>
      <c r="U59" s="955">
        <f t="shared" si="44"/>
        <v>9.9736820515814468E-3</v>
      </c>
    </row>
    <row r="60" spans="2:21" s="956" customFormat="1" ht="94.5" x14ac:dyDescent="0.2">
      <c r="B60" s="945" t="s">
        <v>423</v>
      </c>
      <c r="C60" s="946" t="str">
        <f>INDEX('Orçamento Analítico'!$B:$M,MATCH('ORÇ. SINTÉTICO'!B60,'Orçamento Analítico'!$B:$B,0)+1,2)</f>
        <v xml:space="preserve"> 92809 </v>
      </c>
      <c r="D60" s="946" t="str">
        <f>INDEX('Orçamento Analítico'!$B:$M,MATCH('ORÇ. SINTÉTICO'!B60,'Orçamento Analítico'!$B:$B,0)+1,3)</f>
        <v>SINAPI</v>
      </c>
      <c r="E60" s="946" t="str">
        <f>INDEX('Orçamento Analítico'!$B:$M,MATCH('ORÇ. SINTÉTICO'!B60,'Orçamento Analítico'!$B:$B,0)+1,4)</f>
        <v>ASSENTAMENTO DE TUBO DE CONCRETO PARA REDES COLETORAS DE ÁGUAS PLUVIAIS, DIÂMETRO DE 400 MM, JUNTA RÍGIDA, INSTALADO EM LOCAL COM BAIXO NÍVEL DE INTERFERÊNCIAS (NÃO INCLUI FORNECIMENTO). AF_03/2024</v>
      </c>
      <c r="F60" s="947"/>
      <c r="G60" s="948" t="str">
        <f>INDEX('Orçamento Analítico'!$B:$M,MATCH('ORÇ. SINTÉTICO'!$B60,'Orçamento Analítico'!$B:$B,0)+1,5)</f>
        <v>Assentamento de tubos de esgoto ou drenagem pluvial em concreto</v>
      </c>
      <c r="H60" s="947" t="str">
        <f>INDEX('Orçamento Analítico'!$B:$M,MATCH('ORÇ. SINTÉTICO'!B60,'Orçamento Analítico'!$B:$B,0)+1,7)</f>
        <v>M</v>
      </c>
      <c r="I60" s="959">
        <f>DRENAGEM!DB30</f>
        <v>767</v>
      </c>
      <c r="J60" s="950">
        <f>INDEX('Orçamento Analítico'!$B:$M,MATCH(B60,'Orçamento Analítico'!$B:$B,0)+1,10)</f>
        <v>33.840000000000003</v>
      </c>
      <c r="K60" s="951">
        <f t="shared" si="30"/>
        <v>0.24229999999999999</v>
      </c>
      <c r="L60" s="952">
        <f t="shared" si="31"/>
        <v>42.03</v>
      </c>
      <c r="M60" s="952">
        <f t="shared" si="32"/>
        <v>25955.279999999999</v>
      </c>
      <c r="N60" s="952">
        <f t="shared" si="33"/>
        <v>32237.01</v>
      </c>
      <c r="O60" s="955">
        <f t="shared" si="43"/>
        <v>4.1568529221986785E-3</v>
      </c>
      <c r="P60" s="954">
        <f>INDEX('Orçamento Analítico'!$B:$M,MATCH(B60,'Orçamento Analítico'!$B:$B,0)+1,12)</f>
        <v>32.75</v>
      </c>
      <c r="Q60" s="951">
        <f t="shared" si="19"/>
        <v>0.30659999999999998</v>
      </c>
      <c r="R60" s="952">
        <f t="shared" si="60"/>
        <v>42.79</v>
      </c>
      <c r="S60" s="952">
        <f t="shared" si="61"/>
        <v>25119.25</v>
      </c>
      <c r="T60" s="952">
        <f t="shared" si="62"/>
        <v>32819.93</v>
      </c>
      <c r="U60" s="955">
        <f t="shared" si="44"/>
        <v>4.0722696086562026E-3</v>
      </c>
    </row>
    <row r="61" spans="2:21" s="956" customFormat="1" ht="31.5" x14ac:dyDescent="0.2">
      <c r="B61" s="945" t="s">
        <v>1452</v>
      </c>
      <c r="C61" s="946" t="str">
        <f>INDEX('Orçamento Analítico'!$B:$M,MATCH('ORÇ. SINTÉTICO'!B61,'Orçamento Analítico'!$B:$B,0)+1,2)</f>
        <v>00007791</v>
      </c>
      <c r="D61" s="946" t="str">
        <f>INDEX('Orçamento Analítico'!$B:$M,MATCH('ORÇ. SINTÉTICO'!B61,'Orçamento Analítico'!$B:$B,0)+1,3)</f>
        <v>SINAPI</v>
      </c>
      <c r="E61" s="946" t="str">
        <f>INDEX('Orçamento Analítico'!$B:$M,MATCH('ORÇ. SINTÉTICO'!B61,'Orçamento Analítico'!$B:$B,0)+1,4)</f>
        <v>TUBO DE CONCRETO SIMPLES PARA AGUAS PLUVIAIS, CLASSE PS1, COM ENCAIXE PONTA E BOLSA, DIAMETRO NOMINAL DE 600 MM</v>
      </c>
      <c r="F61" s="947"/>
      <c r="G61" s="948" t="str">
        <f>INDEX('Orçamento Analítico'!$B:$M,MATCH('ORÇ. SINTÉTICO'!$B61,'Orçamento Analítico'!$B:$B,0)+1,5)</f>
        <v>Material</v>
      </c>
      <c r="H61" s="947" t="str">
        <f>INDEX('Orçamento Analítico'!$B:$M,MATCH('ORÇ. SINTÉTICO'!B61,'Orçamento Analítico'!$B:$B,0)+1,7)</f>
        <v>M</v>
      </c>
      <c r="I61" s="960">
        <f>DRENAGEM!DC30-DRENAGEM!DC17</f>
        <v>628</v>
      </c>
      <c r="J61" s="950">
        <f>INDEX('Orçamento Analítico'!$B:$M,MATCH(B61,'Orçamento Analítico'!$B:$B,0)+1,10)</f>
        <v>154.41</v>
      </c>
      <c r="K61" s="951">
        <f t="shared" si="30"/>
        <v>0.1527</v>
      </c>
      <c r="L61" s="952">
        <f>TRUNC(J61*(1+K61),2)</f>
        <v>177.98</v>
      </c>
      <c r="M61" s="952">
        <f t="shared" si="32"/>
        <v>96969.48</v>
      </c>
      <c r="N61" s="952">
        <f>TRUNC($I61 * L61, 2)</f>
        <v>111771.44</v>
      </c>
      <c r="O61" s="955">
        <f t="shared" si="43"/>
        <v>1.4412547472062522E-2</v>
      </c>
      <c r="P61" s="954">
        <f>INDEX('Orçamento Analítico'!$B:$M,MATCH(B61,'Orçamento Analítico'!$B:$B,0)+1,12)</f>
        <v>154.41</v>
      </c>
      <c r="Q61" s="951">
        <f t="shared" si="19"/>
        <v>0.2092</v>
      </c>
      <c r="R61" s="952">
        <f t="shared" si="60"/>
        <v>186.71</v>
      </c>
      <c r="S61" s="952">
        <f t="shared" si="61"/>
        <v>96969.48</v>
      </c>
      <c r="T61" s="952">
        <f t="shared" si="62"/>
        <v>117253.88</v>
      </c>
      <c r="U61" s="955">
        <f t="shared" si="44"/>
        <v>1.4548763876736525E-2</v>
      </c>
    </row>
    <row r="62" spans="2:21" s="956" customFormat="1" ht="94.5" x14ac:dyDescent="0.2">
      <c r="B62" s="945" t="s">
        <v>424</v>
      </c>
      <c r="C62" s="946" t="str">
        <f>INDEX('Orçamento Analítico'!$B:$M,MATCH('ORÇ. SINTÉTICO'!B62,'Orçamento Analítico'!$B:$B,0)+1,2)</f>
        <v xml:space="preserve"> 92811 </v>
      </c>
      <c r="D62" s="946" t="str">
        <f>INDEX('Orçamento Analítico'!$B:$M,MATCH('ORÇ. SINTÉTICO'!B62,'Orçamento Analítico'!$B:$B,0)+1,3)</f>
        <v>SINAPI</v>
      </c>
      <c r="E62" s="946" t="str">
        <f>INDEX('Orçamento Analítico'!$B:$M,MATCH('ORÇ. SINTÉTICO'!B62,'Orçamento Analítico'!$B:$B,0)+1,4)</f>
        <v>ASSENTAMENTO DE TUBO DE CONCRETO PARA REDES COLETORAS DE ÁGUAS PLUVIAIS, DIÂMETRO DE 600 MM, JUNTA RÍGIDA, INSTALADO EM LOCAL COM BAIXO NÍVEL DE INTERFERÊNCIAS (NÃO INCLUI FORNECIMENTO). AF_03/2024</v>
      </c>
      <c r="F62" s="947"/>
      <c r="G62" s="948" t="str">
        <f>INDEX('Orçamento Analítico'!$B:$M,MATCH('ORÇ. SINTÉTICO'!$B62,'Orçamento Analítico'!$B:$B,0)+1,5)</f>
        <v>Assentamento de tubos de esgoto ou drenagem pluvial em concreto</v>
      </c>
      <c r="H62" s="947" t="str">
        <f>INDEX('Orçamento Analítico'!$B:$M,MATCH('ORÇ. SINTÉTICO'!B62,'Orçamento Analítico'!$B:$B,0)+1,7)</f>
        <v>M</v>
      </c>
      <c r="I62" s="960">
        <f>DRENAGEM!DC30-DRENAGEM!DC17</f>
        <v>628</v>
      </c>
      <c r="J62" s="950">
        <f>INDEX('Orçamento Analítico'!$B:$M,MATCH(B62,'Orçamento Analítico'!$B:$B,0)+1,10)</f>
        <v>53.77</v>
      </c>
      <c r="K62" s="951">
        <f t="shared" si="30"/>
        <v>0.24229999999999999</v>
      </c>
      <c r="L62" s="952">
        <f t="shared" si="31"/>
        <v>66.790000000000006</v>
      </c>
      <c r="M62" s="952">
        <f t="shared" si="32"/>
        <v>33767.56</v>
      </c>
      <c r="N62" s="952">
        <f t="shared" si="33"/>
        <v>41944.12</v>
      </c>
      <c r="O62" s="955">
        <f t="shared" si="43"/>
        <v>5.408551779183369E-3</v>
      </c>
      <c r="P62" s="954">
        <f>INDEX('Orçamento Analítico'!$B:$M,MATCH(B62,'Orçamento Analítico'!$B:$B,0)+1,12)</f>
        <v>52.08</v>
      </c>
      <c r="Q62" s="951">
        <f t="shared" si="19"/>
        <v>0.30659999999999998</v>
      </c>
      <c r="R62" s="952">
        <f t="shared" si="60"/>
        <v>68.040000000000006</v>
      </c>
      <c r="S62" s="952">
        <f t="shared" si="61"/>
        <v>32706.240000000002</v>
      </c>
      <c r="T62" s="952">
        <f t="shared" si="62"/>
        <v>42729.120000000003</v>
      </c>
      <c r="U62" s="955">
        <f t="shared" si="44"/>
        <v>5.3017936595423556E-3</v>
      </c>
    </row>
    <row r="63" spans="2:21" s="956" customFormat="1" ht="31.5" x14ac:dyDescent="0.2">
      <c r="B63" s="945" t="s">
        <v>1453</v>
      </c>
      <c r="C63" s="946" t="str">
        <f>INDEX('Orçamento Analítico'!$B:$M,MATCH('ORÇ. SINTÉTICO'!B63,'Orçamento Analítico'!$B:$B,0)+1,2)</f>
        <v xml:space="preserve"> 00007750 </v>
      </c>
      <c r="D63" s="946" t="str">
        <f>INDEX('Orçamento Analítico'!$B:$M,MATCH('ORÇ. SINTÉTICO'!B63,'Orçamento Analítico'!$B:$B,0)+1,3)</f>
        <v>SINAPI</v>
      </c>
      <c r="E63" s="946" t="str">
        <f>INDEX('Orçamento Analítico'!$B:$M,MATCH('ORÇ. SINTÉTICO'!B63,'Orçamento Analítico'!$B:$B,0)+1,4)</f>
        <v>TUBO DE CONCRETO ARMADO PARA AGUAS PLUVIAIS, CLASSE PA-1, COM ENCAIXE PONTA E BOLSA, DIAMETRO NOMINAL DE 800 MM</v>
      </c>
      <c r="F63" s="947"/>
      <c r="G63" s="948" t="str">
        <f>INDEX('Orçamento Analítico'!$B:$M,MATCH('ORÇ. SINTÉTICO'!$B63,'Orçamento Analítico'!$B:$B,0)+1,5)</f>
        <v>Material</v>
      </c>
      <c r="H63" s="947" t="str">
        <f>INDEX('Orçamento Analítico'!$B:$M,MATCH('ORÇ. SINTÉTICO'!B63,'Orçamento Analítico'!$B:$B,0)+1,7)</f>
        <v>M</v>
      </c>
      <c r="I63" s="959">
        <f>DRENAGEM!DD30</f>
        <v>77</v>
      </c>
      <c r="J63" s="950">
        <f>INDEX('Orçamento Analítico'!$B:$M,MATCH(B63,'Orçamento Analítico'!$B:$B,0)+1,10)</f>
        <v>414.3</v>
      </c>
      <c r="K63" s="951">
        <f t="shared" si="30"/>
        <v>0.1527</v>
      </c>
      <c r="L63" s="952">
        <f t="shared" si="31"/>
        <v>477.56</v>
      </c>
      <c r="M63" s="952">
        <f t="shared" si="32"/>
        <v>31901.1</v>
      </c>
      <c r="N63" s="952">
        <f t="shared" si="33"/>
        <v>36772.120000000003</v>
      </c>
      <c r="O63" s="955">
        <f t="shared" si="43"/>
        <v>4.7416399497794762E-3</v>
      </c>
      <c r="P63" s="954">
        <f>INDEX('Orçamento Analítico'!$B:$M,MATCH(B63,'Orçamento Analítico'!$B:$B,0)+1,12)</f>
        <v>414.3</v>
      </c>
      <c r="Q63" s="951">
        <f t="shared" si="19"/>
        <v>0.2092</v>
      </c>
      <c r="R63" s="952">
        <f t="shared" si="60"/>
        <v>500.97</v>
      </c>
      <c r="S63" s="952">
        <f t="shared" si="61"/>
        <v>31901.1</v>
      </c>
      <c r="T63" s="952">
        <f t="shared" si="62"/>
        <v>38574.69</v>
      </c>
      <c r="U63" s="955">
        <f t="shared" si="44"/>
        <v>4.786315441572677E-3</v>
      </c>
    </row>
    <row r="64" spans="2:21" s="956" customFormat="1" ht="94.5" x14ac:dyDescent="0.2">
      <c r="B64" s="945" t="s">
        <v>425</v>
      </c>
      <c r="C64" s="946" t="str">
        <f>INDEX('Orçamento Analítico'!$B:$M,MATCH('ORÇ. SINTÉTICO'!B64,'Orçamento Analítico'!$B:$B,0)+1,2)</f>
        <v xml:space="preserve"> 92813 </v>
      </c>
      <c r="D64" s="946" t="str">
        <f>INDEX('Orçamento Analítico'!$B:$M,MATCH('ORÇ. SINTÉTICO'!B64,'Orçamento Analítico'!$B:$B,0)+1,3)</f>
        <v>SINAPI</v>
      </c>
      <c r="E64" s="946" t="str">
        <f>INDEX('Orçamento Analítico'!$B:$M,MATCH('ORÇ. SINTÉTICO'!B64,'Orçamento Analítico'!$B:$B,0)+1,4)</f>
        <v>ASSENTAMENTO DE TUBO DE CONCRETO PARA REDES COLETORAS DE ÁGUAS PLUVIAIS, DIÂMETRO DE 800 MM, JUNTA RÍGIDA, INSTALADO EM LOCAL COM BAIXO NÍVEL DE INTERFERÊNCIAS (NÃO INCLUI FORNECIMENTO). AF_03/2024</v>
      </c>
      <c r="F64" s="947"/>
      <c r="G64" s="948" t="str">
        <f>INDEX('Orçamento Analítico'!$B:$M,MATCH('ORÇ. SINTÉTICO'!$B64,'Orçamento Analítico'!$B:$B,0)+1,5)</f>
        <v>Assentamento de tubos de esgoto ou drenagem pluvial em concreto</v>
      </c>
      <c r="H64" s="947" t="str">
        <f>INDEX('Orçamento Analítico'!$B:$M,MATCH('ORÇ. SINTÉTICO'!B64,'Orçamento Analítico'!$B:$B,0)+1,7)</f>
        <v>M</v>
      </c>
      <c r="I64" s="959">
        <f>DRENAGEM!DD30</f>
        <v>77</v>
      </c>
      <c r="J64" s="950">
        <f>INDEX('Orçamento Analítico'!$B:$M,MATCH(B64,'Orçamento Analítico'!$B:$B,0)+1,10)</f>
        <v>74.739999999999995</v>
      </c>
      <c r="K64" s="951">
        <f t="shared" si="30"/>
        <v>0.24229999999999999</v>
      </c>
      <c r="L64" s="952">
        <f t="shared" si="31"/>
        <v>92.84</v>
      </c>
      <c r="M64" s="952">
        <f t="shared" si="32"/>
        <v>5754.98</v>
      </c>
      <c r="N64" s="952">
        <f t="shared" si="33"/>
        <v>7148.68</v>
      </c>
      <c r="O64" s="955">
        <f t="shared" si="43"/>
        <v>9.2179800012045935E-4</v>
      </c>
      <c r="P64" s="954">
        <f>INDEX('Orçamento Analítico'!$B:$M,MATCH(B64,'Orçamento Analítico'!$B:$B,0)+1,12)</f>
        <v>72.430000000000007</v>
      </c>
      <c r="Q64" s="951">
        <f t="shared" si="19"/>
        <v>0.30659999999999998</v>
      </c>
      <c r="R64" s="952">
        <f t="shared" si="60"/>
        <v>94.63</v>
      </c>
      <c r="S64" s="952">
        <f t="shared" si="61"/>
        <v>5577.11</v>
      </c>
      <c r="T64" s="952">
        <f t="shared" si="62"/>
        <v>7286.51</v>
      </c>
      <c r="U64" s="955">
        <f t="shared" si="44"/>
        <v>9.0410409852091428E-4</v>
      </c>
    </row>
    <row r="65" spans="2:21" s="956" customFormat="1" ht="31.5" x14ac:dyDescent="0.2">
      <c r="B65" s="945" t="s">
        <v>1454</v>
      </c>
      <c r="C65" s="946" t="str">
        <f>INDEX('Orçamento Analítico'!$B:$M,MATCH('ORÇ. SINTÉTICO'!B65,'Orçamento Analítico'!$B:$B,0)+1,2)</f>
        <v xml:space="preserve"> 00007753 </v>
      </c>
      <c r="D65" s="946" t="str">
        <f>INDEX('Orçamento Analítico'!$B:$M,MATCH('ORÇ. SINTÉTICO'!B65,'Orçamento Analítico'!$B:$B,0)+1,3)</f>
        <v>SINAPI</v>
      </c>
      <c r="E65" s="946" t="str">
        <f>INDEX('Orçamento Analítico'!$B:$M,MATCH('ORÇ. SINTÉTICO'!B65,'Orçamento Analítico'!$B:$B,0)+1,4)</f>
        <v>TUBO DE CONCRETO ARMADO PARA AGUAS PLUVIAIS, CLASSE PA-1, COM ENCAIXE PONTA E BOLSA, DIAMETRO NOMINAL DE 1000 MM</v>
      </c>
      <c r="F65" s="947"/>
      <c r="G65" s="948" t="str">
        <f>INDEX('Orçamento Analítico'!$B:$M,MATCH('ORÇ. SINTÉTICO'!$B65,'Orçamento Analítico'!$B:$B,0)+1,5)</f>
        <v>Material</v>
      </c>
      <c r="H65" s="947" t="str">
        <f>INDEX('Orçamento Analítico'!$B:$M,MATCH('ORÇ. SINTÉTICO'!B65,'Orçamento Analítico'!$B:$B,0)+1,7)</f>
        <v>M</v>
      </c>
      <c r="I65" s="960">
        <f>DRENAGEM!DE30-DRENAGEM!DE14-DRENAGEM!DE15-DRENAGEM!DE16</f>
        <v>121</v>
      </c>
      <c r="J65" s="950">
        <f>INDEX('Orçamento Analítico'!$B:$M,MATCH(B65,'Orçamento Analítico'!$B:$B,0)+1,10)</f>
        <v>485.44</v>
      </c>
      <c r="K65" s="951">
        <f t="shared" si="30"/>
        <v>0.1527</v>
      </c>
      <c r="L65" s="952">
        <f t="shared" si="31"/>
        <v>559.55999999999995</v>
      </c>
      <c r="M65" s="952">
        <f t="shared" si="32"/>
        <v>58738.239999999998</v>
      </c>
      <c r="N65" s="952">
        <f t="shared" si="33"/>
        <v>67706.759999999995</v>
      </c>
      <c r="O65" s="955">
        <f t="shared" si="43"/>
        <v>8.730556684959449E-3</v>
      </c>
      <c r="P65" s="954">
        <f>INDEX('Orçamento Analítico'!$B:$M,MATCH(B65,'Orçamento Analítico'!$B:$B,0)+1,12)</f>
        <v>485.44</v>
      </c>
      <c r="Q65" s="951">
        <f t="shared" si="19"/>
        <v>0.2092</v>
      </c>
      <c r="R65" s="952">
        <f t="shared" si="60"/>
        <v>586.99</v>
      </c>
      <c r="S65" s="952">
        <f t="shared" si="61"/>
        <v>58738.239999999998</v>
      </c>
      <c r="T65" s="952">
        <f t="shared" si="62"/>
        <v>71025.789999999994</v>
      </c>
      <c r="U65" s="955">
        <f t="shared" si="44"/>
        <v>8.8128209306905167E-3</v>
      </c>
    </row>
    <row r="66" spans="2:21" s="956" customFormat="1" ht="94.5" x14ac:dyDescent="0.2">
      <c r="B66" s="945" t="s">
        <v>426</v>
      </c>
      <c r="C66" s="946" t="str">
        <f>INDEX('Orçamento Analítico'!$B:$M,MATCH('ORÇ. SINTÉTICO'!B66,'Orçamento Analítico'!$B:$B,0)+1,2)</f>
        <v xml:space="preserve"> 92848 </v>
      </c>
      <c r="D66" s="946" t="str">
        <f>INDEX('Orçamento Analítico'!$B:$M,MATCH('ORÇ. SINTÉTICO'!B66,'Orçamento Analítico'!$B:$B,0)+1,3)</f>
        <v>SINAPI</v>
      </c>
      <c r="E66" s="946" t="str">
        <f>INDEX('Orçamento Analítico'!$B:$M,MATCH('ORÇ. SINTÉTICO'!B66,'Orçamento Analítico'!$B:$B,0)+1,4)</f>
        <v>ASSENTAMENTO DE TUBO DE CONCRETO PARA REDES COLETORAS DE ESGOTO SANITÁRIO, DIÂMETRO DE 1000 MM, JUNTA ELÁSTICA, INSTALADO EM LOCAL COM BAIXO NÍVEL DE INTERFERÊNCIAS (NÃO INCLUI FORNECIMENTO). AF_03/2024</v>
      </c>
      <c r="F66" s="947"/>
      <c r="G66" s="948" t="str">
        <f>INDEX('Orçamento Analítico'!$B:$M,MATCH('ORÇ. SINTÉTICO'!$B66,'Orçamento Analítico'!$B:$B,0)+1,5)</f>
        <v>Assentamento de tubos de esgoto ou drenagem pluvial em concreto</v>
      </c>
      <c r="H66" s="947" t="str">
        <f>INDEX('Orçamento Analítico'!$B:$M,MATCH('ORÇ. SINTÉTICO'!B66,'Orçamento Analítico'!$B:$B,0)+1,7)</f>
        <v>M</v>
      </c>
      <c r="I66" s="960">
        <f>DRENAGEM!DE30-DRENAGEM!DE14-DRENAGEM!DE15-DRENAGEM!DE16</f>
        <v>121</v>
      </c>
      <c r="J66" s="950">
        <f>INDEX('Orçamento Analítico'!$B:$M,MATCH(B66,'Orçamento Analítico'!$B:$B,0)+1,10)</f>
        <v>79.900000000000006</v>
      </c>
      <c r="K66" s="951">
        <f t="shared" si="30"/>
        <v>0.24229999999999999</v>
      </c>
      <c r="L66" s="952">
        <f t="shared" si="31"/>
        <v>99.25</v>
      </c>
      <c r="M66" s="952">
        <f t="shared" si="32"/>
        <v>9667.9</v>
      </c>
      <c r="N66" s="952">
        <f t="shared" si="33"/>
        <v>12009.25</v>
      </c>
      <c r="O66" s="955">
        <f t="shared" si="43"/>
        <v>1.5485519890310695E-3</v>
      </c>
      <c r="P66" s="954">
        <f>INDEX('Orçamento Analítico'!$B:$M,MATCH(B66,'Orçamento Analítico'!$B:$B,0)+1,12)</f>
        <v>78.48</v>
      </c>
      <c r="Q66" s="951">
        <f t="shared" si="19"/>
        <v>0.30659999999999998</v>
      </c>
      <c r="R66" s="952">
        <f t="shared" si="60"/>
        <v>102.54</v>
      </c>
      <c r="S66" s="952">
        <f t="shared" si="61"/>
        <v>9496.08</v>
      </c>
      <c r="T66" s="952">
        <f t="shared" si="62"/>
        <v>12407.34</v>
      </c>
      <c r="U66" s="955">
        <f t="shared" si="44"/>
        <v>1.5394924244586886E-3</v>
      </c>
    </row>
    <row r="67" spans="2:21" s="956" customFormat="1" ht="31.5" x14ac:dyDescent="0.2">
      <c r="B67" s="945" t="s">
        <v>1455</v>
      </c>
      <c r="C67" s="946" t="str">
        <f>INDEX('Orçamento Analítico'!$B:$M,MATCH('ORÇ. SINTÉTICO'!B67,'Orçamento Analítico'!$B:$B,0)+1,2)</f>
        <v xml:space="preserve"> 00007757 </v>
      </c>
      <c r="D67" s="946" t="str">
        <f>INDEX('Orçamento Analítico'!$B:$M,MATCH('ORÇ. SINTÉTICO'!B67,'Orçamento Analítico'!$B:$B,0)+1,3)</f>
        <v>SINAPI</v>
      </c>
      <c r="E67" s="946" t="str">
        <f>INDEX('Orçamento Analítico'!$B:$M,MATCH('ORÇ. SINTÉTICO'!B67,'Orçamento Analítico'!$B:$B,0)+1,4)</f>
        <v>TUBO DE CONCRETO ARMADO PARA AGUAS PLUVIAIS, CLASSE PA-1, COM ENCAIXE PONTA E BOLSA, DIAMETRO NOMINAL DE 1200 MM</v>
      </c>
      <c r="F67" s="947"/>
      <c r="G67" s="948" t="str">
        <f>INDEX('Orçamento Analítico'!$B:$M,MATCH('ORÇ. SINTÉTICO'!$B67,'Orçamento Analítico'!$B:$B,0)+1,5)</f>
        <v>Material</v>
      </c>
      <c r="H67" s="947" t="str">
        <f>INDEX('Orçamento Analítico'!$B:$M,MATCH('ORÇ. SINTÉTICO'!B67,'Orçamento Analítico'!$B:$B,0)+1,7)</f>
        <v>M</v>
      </c>
      <c r="I67" s="959">
        <f>DRENAGEM!DF30</f>
        <v>40</v>
      </c>
      <c r="J67" s="950">
        <f>INDEX('Orçamento Analítico'!$B:$M,MATCH(B67,'Orçamento Analítico'!$B:$B,0)+1,10)</f>
        <v>725.02</v>
      </c>
      <c r="K67" s="951">
        <f>IF((OR($G65="MATERIAL",$G65="Equipamento")),K$5,K$4)</f>
        <v>0.1527</v>
      </c>
      <c r="L67" s="952">
        <f>TRUNC(J67*(1+K67),2)</f>
        <v>835.73</v>
      </c>
      <c r="M67" s="952">
        <f>TRUNC($I67 * J67, 2)</f>
        <v>29000.799999999999</v>
      </c>
      <c r="N67" s="952">
        <f>TRUNC($I67 * L67, 2)</f>
        <v>33429.199999999997</v>
      </c>
      <c r="O67" s="955">
        <f t="shared" si="43"/>
        <v>4.310581772526796E-3</v>
      </c>
      <c r="P67" s="954">
        <f>INDEX('Orçamento Analítico'!$B:$M,MATCH(B67,'Orçamento Analítico'!$B:$B,0)+1,12)</f>
        <v>725.02</v>
      </c>
      <c r="Q67" s="951">
        <f t="shared" si="19"/>
        <v>0.2092</v>
      </c>
      <c r="R67" s="952">
        <f t="shared" si="60"/>
        <v>876.69</v>
      </c>
      <c r="S67" s="952">
        <f t="shared" si="61"/>
        <v>29000.799999999999</v>
      </c>
      <c r="T67" s="952">
        <f t="shared" si="62"/>
        <v>35067.599999999999</v>
      </c>
      <c r="U67" s="955">
        <f t="shared" si="44"/>
        <v>4.3511586322247569E-3</v>
      </c>
    </row>
    <row r="68" spans="2:21" s="956" customFormat="1" ht="94.5" x14ac:dyDescent="0.2">
      <c r="B68" s="945" t="s">
        <v>427</v>
      </c>
      <c r="C68" s="946" t="str">
        <f>INDEX('Orçamento Analítico'!$B:$M,MATCH('ORÇ. SINTÉTICO'!B68,'Orçamento Analítico'!$B:$B,0)+1,2)</f>
        <v xml:space="preserve"> 92817 </v>
      </c>
      <c r="D68" s="946" t="str">
        <f>INDEX('Orçamento Analítico'!$B:$M,MATCH('ORÇ. SINTÉTICO'!B68,'Orçamento Analítico'!$B:$B,0)+1,3)</f>
        <v>SINAPI</v>
      </c>
      <c r="E68" s="946" t="str">
        <f>INDEX('Orçamento Analítico'!$B:$M,MATCH('ORÇ. SINTÉTICO'!B68,'Orçamento Analítico'!$B:$B,0)+1,4)</f>
        <v>ASSENTAMENTO DE TUBO DE CONCRETO PARA REDES COLETORAS DE ÁGUAS PLUVIAIS, DIÂMETRO DE 1200 MM, JUNTA RÍGIDA, INSTALADO EM LOCAL COM BAIXO NÍVEL DE INTERFERÊNCIAS (NÃO INCLUI FORNECIMENTO). AF_03/2024</v>
      </c>
      <c r="F68" s="947"/>
      <c r="G68" s="948" t="str">
        <f>INDEX('Orçamento Analítico'!$B:$M,MATCH('ORÇ. SINTÉTICO'!$B68,'Orçamento Analítico'!$B:$B,0)+1,5)</f>
        <v>Assentamento de tubos de esgoto ou drenagem pluvial em concreto</v>
      </c>
      <c r="H68" s="947" t="str">
        <f>INDEX('Orçamento Analítico'!$B:$M,MATCH('ORÇ. SINTÉTICO'!B68,'Orçamento Analítico'!$B:$B,0)+1,7)</f>
        <v>M</v>
      </c>
      <c r="I68" s="959">
        <f>DRENAGEM!DF30</f>
        <v>40</v>
      </c>
      <c r="J68" s="950">
        <f>INDEX('Orçamento Analítico'!$B:$M,MATCH(B68,'Orçamento Analítico'!$B:$B,0)+1,10)</f>
        <v>119.72</v>
      </c>
      <c r="K68" s="951">
        <f t="shared" si="30"/>
        <v>0.24229999999999999</v>
      </c>
      <c r="L68" s="952">
        <f t="shared" ref="L68:L69" si="63">TRUNC(J68*(1+K68),2)</f>
        <v>148.72</v>
      </c>
      <c r="M68" s="952">
        <f t="shared" ref="M68:M69" si="64">TRUNC($I68 * J68, 2)</f>
        <v>4788.8</v>
      </c>
      <c r="N68" s="952">
        <f t="shared" ref="N68:N69" si="65">TRUNC($I68 * L68, 2)</f>
        <v>5948.8</v>
      </c>
      <c r="O68" s="955">
        <f t="shared" si="43"/>
        <v>7.6707755041722234E-4</v>
      </c>
      <c r="P68" s="954">
        <f>INDEX('Orçamento Analítico'!$B:$M,MATCH(B68,'Orçamento Analítico'!$B:$B,0)+1,12)</f>
        <v>116.12</v>
      </c>
      <c r="Q68" s="951">
        <f t="shared" si="19"/>
        <v>0.30659999999999998</v>
      </c>
      <c r="R68" s="952">
        <f t="shared" si="60"/>
        <v>151.72</v>
      </c>
      <c r="S68" s="952">
        <f t="shared" si="61"/>
        <v>4644.8</v>
      </c>
      <c r="T68" s="952">
        <f t="shared" si="62"/>
        <v>6068.8</v>
      </c>
      <c r="U68" s="955">
        <f t="shared" si="44"/>
        <v>7.5301165483938459E-4</v>
      </c>
    </row>
    <row r="69" spans="2:21" s="956" customFormat="1" ht="63" x14ac:dyDescent="0.2">
      <c r="B69" s="945" t="s">
        <v>428</v>
      </c>
      <c r="C69" s="946" t="str">
        <f>INDEX('Orçamento Analítico'!$B:$M,MATCH('ORÇ. SINTÉTICO'!B69,'Orçamento Analítico'!$B:$B,0)+1,2)</f>
        <v xml:space="preserve"> 100947 </v>
      </c>
      <c r="D69" s="946" t="str">
        <f>INDEX('Orçamento Analítico'!$B:$M,MATCH('ORÇ. SINTÉTICO'!B69,'Orçamento Analítico'!$B:$B,0)+1,3)</f>
        <v>SINAPI</v>
      </c>
      <c r="E69" s="946" t="str">
        <f>INDEX('Orçamento Analítico'!$B:$M,MATCH('ORÇ. SINTÉTICO'!B69,'Orçamento Analítico'!$B:$B,0)+1,4)</f>
        <v>TRANSPORTE COM CAMINHÃO CARROCERIA 9T, EM VIA URBANA PAVIMENTADA, DMT ATÉ 30KM (UNIDADE: TXKM). AF_07/2020</v>
      </c>
      <c r="F69" s="947">
        <v>30</v>
      </c>
      <c r="G69" s="948" t="str">
        <f>INDEX('Orçamento Analítico'!$B:$M,MATCH('ORÇ. SINTÉTICO'!$B69,'Orçamento Analítico'!$B:$B,0)+1,5)</f>
        <v>Transporte, Carga e Descarga de Materiais</v>
      </c>
      <c r="H69" s="947" t="str">
        <f>INDEX('Orçamento Analítico'!$B:$M,MATCH('ORÇ. SINTÉTICO'!B69,'Orçamento Analítico'!$B:$B,0)+1,7)</f>
        <v>TXKM</v>
      </c>
      <c r="I69" s="959">
        <f>DRENAGEM!AW46</f>
        <v>16496.099999999999</v>
      </c>
      <c r="J69" s="950">
        <f>INDEX('Orçamento Analítico'!$B:$M,MATCH(B69,'Orçamento Analítico'!$B:$B,0)+1,10)</f>
        <v>2.2599999999999998</v>
      </c>
      <c r="K69" s="951">
        <f t="shared" si="30"/>
        <v>0.24229999999999999</v>
      </c>
      <c r="L69" s="952">
        <f t="shared" si="63"/>
        <v>2.8</v>
      </c>
      <c r="M69" s="952">
        <f t="shared" si="64"/>
        <v>37281.18</v>
      </c>
      <c r="N69" s="952">
        <f t="shared" si="65"/>
        <v>46189.08</v>
      </c>
      <c r="O69" s="955">
        <f t="shared" si="43"/>
        <v>5.9559249499773256E-3</v>
      </c>
      <c r="P69" s="954">
        <f>INDEX('Orçamento Analítico'!$B:$M,MATCH(B69,'Orçamento Analítico'!$B:$B,0)+1,12)</f>
        <v>2.23</v>
      </c>
      <c r="Q69" s="951">
        <f t="shared" si="19"/>
        <v>0.30659999999999998</v>
      </c>
      <c r="R69" s="952">
        <f t="shared" si="60"/>
        <v>2.91</v>
      </c>
      <c r="S69" s="952">
        <f t="shared" si="61"/>
        <v>36786.300000000003</v>
      </c>
      <c r="T69" s="952">
        <f t="shared" si="62"/>
        <v>48003.65</v>
      </c>
      <c r="U69" s="955">
        <f t="shared" si="44"/>
        <v>5.9562529536037806E-3</v>
      </c>
    </row>
    <row r="70" spans="2:21" s="956" customFormat="1" ht="63" x14ac:dyDescent="0.2">
      <c r="B70" s="945" t="s">
        <v>429</v>
      </c>
      <c r="C70" s="946" t="str">
        <f>INDEX('Orçamento Analítico'!$B:$M,MATCH('ORÇ. SINTÉTICO'!B70,'Orçamento Analítico'!$B:$B,0)+1,2)</f>
        <v xml:space="preserve"> 100948 </v>
      </c>
      <c r="D70" s="946" t="str">
        <f>INDEX('Orçamento Analítico'!$B:$M,MATCH('ORÇ. SINTÉTICO'!B70,'Orçamento Analítico'!$B:$B,0)+1,3)</f>
        <v>SINAPI</v>
      </c>
      <c r="E70" s="946" t="str">
        <f>INDEX('Orçamento Analítico'!$B:$M,MATCH('ORÇ. SINTÉTICO'!B70,'Orçamento Analítico'!$B:$B,0)+1,4)</f>
        <v>TRANSPORTE COM CAMINHÃO CARROCERIA 9T, EM VIA URBANA PAVIMENTADA, ADICIONAL PARA DMT EXCEDENTE A 30 KM (UNIDADE: TXKM). AF_07/2020</v>
      </c>
      <c r="F70" s="947">
        <f>DMT!F10-30</f>
        <v>301</v>
      </c>
      <c r="G70" s="948" t="str">
        <f>INDEX('Orçamento Analítico'!$B:$M,MATCH('ORÇ. SINTÉTICO'!$B70,'Orçamento Analítico'!$B:$B,0)+1,5)</f>
        <v>Transporte, Carga e Descarga de Materiais</v>
      </c>
      <c r="H70" s="947" t="str">
        <f>INDEX('Orçamento Analítico'!$B:$M,MATCH('ORÇ. SINTÉTICO'!B70,'Orçamento Analítico'!$B:$B,0)+1,7)</f>
        <v>TXKM</v>
      </c>
      <c r="I70" s="959">
        <f>DRENAGEM!AW47</f>
        <v>165510.87</v>
      </c>
      <c r="J70" s="950">
        <f>INDEX('Orçamento Analítico'!$B:$M,MATCH(B70,'Orçamento Analítico'!$B:$B,0)+1,10)</f>
        <v>0.89</v>
      </c>
      <c r="K70" s="951">
        <f t="shared" si="30"/>
        <v>0.24229999999999999</v>
      </c>
      <c r="L70" s="952">
        <f t="shared" si="31"/>
        <v>1.1000000000000001</v>
      </c>
      <c r="M70" s="952">
        <f t="shared" si="32"/>
        <v>147304.67000000001</v>
      </c>
      <c r="N70" s="952">
        <f t="shared" si="33"/>
        <v>182061.95</v>
      </c>
      <c r="O70" s="955">
        <f t="shared" si="43"/>
        <v>2.3476269941867741E-2</v>
      </c>
      <c r="P70" s="954">
        <f>INDEX('Orçamento Analítico'!$B:$M,MATCH(B70,'Orçamento Analítico'!$B:$B,0)+1,12)</f>
        <v>0.88</v>
      </c>
      <c r="Q70" s="951">
        <f t="shared" si="19"/>
        <v>0.30659999999999998</v>
      </c>
      <c r="R70" s="952">
        <f t="shared" si="60"/>
        <v>1.1399999999999999</v>
      </c>
      <c r="S70" s="952">
        <f t="shared" si="61"/>
        <v>145649.56</v>
      </c>
      <c r="T70" s="952">
        <f t="shared" si="62"/>
        <v>188682.39</v>
      </c>
      <c r="U70" s="955">
        <f t="shared" si="44"/>
        <v>2.3411553969969377E-2</v>
      </c>
    </row>
    <row r="71" spans="2:21" s="956" customFormat="1" ht="94.5" x14ac:dyDescent="0.2">
      <c r="B71" s="945" t="s">
        <v>974</v>
      </c>
      <c r="C71" s="946" t="str">
        <f>INDEX('Orçamento Analítico'!$B:$M,MATCH('ORÇ. SINTÉTICO'!B71,'Orçamento Analítico'!$B:$B,0)+1,2)</f>
        <v xml:space="preserve"> DRE.BLSC-TL </v>
      </c>
      <c r="D71" s="946" t="str">
        <f>INDEX('Orçamento Analítico'!$B:$M,MATCH('ORÇ. SINTÉTICO'!B71,'Orçamento Analítico'!$B:$B,0)+1,3)</f>
        <v>Próprio</v>
      </c>
      <c r="E71" s="946" t="str">
        <f>INDEX('Orçamento Analítico'!$B:$M,MATCH('ORÇ. SINTÉTICO'!B71,'Orçamento Analítico'!$B:$B,0)+1,4)</f>
        <v>BLSC - BOCA-DE-LOBO SIMPLES, EM CONCRETO SIMPLES FCK 20 MPA, INCLUINDO ESCAVAÇÃO, FORMA, ARMAÇÃO, CALÇAMENTO AO REDOR E GRELHA EM FOFO TIPO PESADA, CONFORME PROJETO</v>
      </c>
      <c r="F71" s="947"/>
      <c r="G71" s="948" t="str">
        <f>INDEX('Orçamento Analítico'!$B:$M,MATCH('ORÇ. SINTÉTICO'!$B71,'Orçamento Analítico'!$B:$B,0)+1,5)</f>
        <v>DROP - DRENAGEM/OBRAS DE CONTENÇÃO / POÇOS DE VISITA E CAIXAS</v>
      </c>
      <c r="H71" s="947" t="str">
        <f>INDEX('Orçamento Analítico'!$B:$M,MATCH('ORÇ. SINTÉTICO'!B71,'Orçamento Analítico'!$B:$B,0)+1,7)</f>
        <v>UND</v>
      </c>
      <c r="I71" s="959">
        <f>'DISP. DRENAGEM'!C4</f>
        <v>18</v>
      </c>
      <c r="J71" s="950">
        <f>INDEX('Orçamento Analítico'!$B:$M,MATCH(B71,'Orçamento Analítico'!$B:$B,0)+1,10)</f>
        <v>1831.84</v>
      </c>
      <c r="K71" s="951">
        <f t="shared" si="30"/>
        <v>0.24229999999999999</v>
      </c>
      <c r="L71" s="952">
        <f t="shared" ref="L71:L77" si="66">TRUNC(J71*(1+K71),2)</f>
        <v>2275.69</v>
      </c>
      <c r="M71" s="952">
        <f t="shared" ref="M71:M77" si="67">TRUNC($I71 * J71, 2)</f>
        <v>32973.120000000003</v>
      </c>
      <c r="N71" s="952">
        <f t="shared" ref="N71:N77" si="68">TRUNC($I71 * L71, 2)</f>
        <v>40962.42</v>
      </c>
      <c r="O71" s="955">
        <f t="shared" si="43"/>
        <v>5.2819648992673196E-3</v>
      </c>
      <c r="P71" s="954">
        <f>INDEX('Orçamento Analítico'!$B:$M,MATCH(B71,'Orçamento Analítico'!$B:$B,0)+1,12)</f>
        <v>1802.91</v>
      </c>
      <c r="Q71" s="951">
        <f t="shared" si="19"/>
        <v>0.30659999999999998</v>
      </c>
      <c r="R71" s="952">
        <f t="shared" si="60"/>
        <v>2355.6799999999998</v>
      </c>
      <c r="S71" s="952">
        <f t="shared" si="61"/>
        <v>32452.38</v>
      </c>
      <c r="T71" s="952">
        <f t="shared" si="62"/>
        <v>42402.239999999998</v>
      </c>
      <c r="U71" s="955">
        <f t="shared" si="44"/>
        <v>5.2612346611021531E-3</v>
      </c>
    </row>
    <row r="72" spans="2:21" s="956" customFormat="1" ht="47.25" x14ac:dyDescent="0.2">
      <c r="B72" s="945" t="s">
        <v>975</v>
      </c>
      <c r="C72" s="946" t="str">
        <f>INDEX('Orçamento Analítico'!$B:$M,MATCH('ORÇ. SINTÉTICO'!B72,'Orçamento Analítico'!$B:$B,0)+1,2)</f>
        <v xml:space="preserve"> DRE.BLDC-TL </v>
      </c>
      <c r="D72" s="946" t="str">
        <f>INDEX('Orçamento Analítico'!$B:$M,MATCH('ORÇ. SINTÉTICO'!B72,'Orçamento Analítico'!$B:$B,0)+1,3)</f>
        <v>Próprio</v>
      </c>
      <c r="E72" s="946" t="str">
        <f>INDEX('Orçamento Analítico'!$B:$M,MATCH('ORÇ. SINTÉTICO'!B72,'Orçamento Analítico'!$B:$B,0)+1,4)</f>
        <v>BLDC- TL - Boca-de-lobo dupla, em concreto simples fck 20 MPa, incluindo forma, escavação, calçamento ao redor e grelhas em FoFo tipo pesada, conforme projeto</v>
      </c>
      <c r="F72" s="947"/>
      <c r="G72" s="948" t="str">
        <f>INDEX('Orçamento Analítico'!$B:$M,MATCH('ORÇ. SINTÉTICO'!$B72,'Orçamento Analítico'!$B:$B,0)+1,5)</f>
        <v>SEDI - SERVIÇOS DIVERSOS</v>
      </c>
      <c r="H72" s="947" t="str">
        <f>INDEX('Orçamento Analítico'!$B:$M,MATCH('ORÇ. SINTÉTICO'!B72,'Orçamento Analítico'!$B:$B,0)+1,7)</f>
        <v>un</v>
      </c>
      <c r="I72" s="959">
        <f>'DISP. DRENAGEM'!C5</f>
        <v>20</v>
      </c>
      <c r="J72" s="950">
        <f>INDEX('Orçamento Analítico'!$B:$M,MATCH(B72,'Orçamento Analítico'!$B:$B,0)+1,10)</f>
        <v>3569.1</v>
      </c>
      <c r="K72" s="951">
        <f t="shared" si="30"/>
        <v>0.24229999999999999</v>
      </c>
      <c r="L72" s="952">
        <f t="shared" si="66"/>
        <v>4433.8900000000003</v>
      </c>
      <c r="M72" s="952">
        <f t="shared" si="67"/>
        <v>71382</v>
      </c>
      <c r="N72" s="952">
        <f t="shared" si="68"/>
        <v>88677.8</v>
      </c>
      <c r="O72" s="955">
        <f t="shared" si="43"/>
        <v>1.1434701049016333E-2</v>
      </c>
      <c r="P72" s="954">
        <f>INDEX('Orçamento Analítico'!$B:$M,MATCH(B72,'Orçamento Analítico'!$B:$B,0)+1,12)</f>
        <v>3514.21</v>
      </c>
      <c r="Q72" s="951">
        <f t="shared" si="19"/>
        <v>0.30659999999999998</v>
      </c>
      <c r="R72" s="952">
        <f t="shared" si="60"/>
        <v>4591.66</v>
      </c>
      <c r="S72" s="952">
        <f t="shared" si="61"/>
        <v>70284.2</v>
      </c>
      <c r="T72" s="952">
        <f t="shared" si="62"/>
        <v>91833.2</v>
      </c>
      <c r="U72" s="955">
        <f t="shared" si="44"/>
        <v>1.1394587052003059E-2</v>
      </c>
    </row>
    <row r="73" spans="2:21" s="956" customFormat="1" ht="47.25" x14ac:dyDescent="0.2">
      <c r="B73" s="945" t="s">
        <v>1193</v>
      </c>
      <c r="C73" s="946" t="str">
        <f>INDEX('Orçamento Analítico'!$B:$M,MATCH('ORÇ. SINTÉTICO'!B73,'Orçamento Analítico'!$B:$B,0)+1,2)</f>
        <v xml:space="preserve"> DRE.BLTC - TL </v>
      </c>
      <c r="D73" s="946" t="str">
        <f>INDEX('Orçamento Analítico'!$B:$M,MATCH('ORÇ. SINTÉTICO'!B73,'Orçamento Analítico'!$B:$B,0)+1,3)</f>
        <v>Próprio</v>
      </c>
      <c r="E73" s="946" t="str">
        <f>INDEX('Orçamento Analítico'!$B:$M,MATCH('ORÇ. SINTÉTICO'!B73,'Orçamento Analítico'!$B:$B,0)+1,4)</f>
        <v>BLTC - TL - Boca-de-lobo tripla, em concreto simples fck 20 MPa, incluindo forma, escavação, calçamento ao redor e grelhas em f°f° tipo pesada, conforme projeto</v>
      </c>
      <c r="F73" s="947"/>
      <c r="G73" s="948" t="str">
        <f>INDEX('Orçamento Analítico'!$B:$M,MATCH('ORÇ. SINTÉTICO'!$B73,'Orçamento Analítico'!$B:$B,0)+1,5)</f>
        <v>SEDI - SERVIÇOS DIVERSOS</v>
      </c>
      <c r="H73" s="947" t="str">
        <f>INDEX('Orçamento Analítico'!$B:$M,MATCH('ORÇ. SINTÉTICO'!B73,'Orçamento Analítico'!$B:$B,0)+1,7)</f>
        <v>un</v>
      </c>
      <c r="I73" s="959">
        <f>'DISP. DRENAGEM'!C6</f>
        <v>14</v>
      </c>
      <c r="J73" s="950">
        <f>INDEX('Orçamento Analítico'!$B:$M,MATCH(B73,'Orçamento Analítico'!$B:$B,0)+1,10)</f>
        <v>5214.9399999999996</v>
      </c>
      <c r="K73" s="951">
        <f t="shared" si="30"/>
        <v>0.24229999999999999</v>
      </c>
      <c r="L73" s="952">
        <f t="shared" si="66"/>
        <v>6478.51</v>
      </c>
      <c r="M73" s="952">
        <f t="shared" si="67"/>
        <v>73009.16</v>
      </c>
      <c r="N73" s="952">
        <f t="shared" si="68"/>
        <v>90699.14</v>
      </c>
      <c r="O73" s="955">
        <f t="shared" si="43"/>
        <v>1.1695345975011548E-2</v>
      </c>
      <c r="P73" s="954">
        <f>INDEX('Orçamento Analítico'!$B:$M,MATCH(B73,'Orçamento Analítico'!$B:$B,0)+1,12)</f>
        <v>5136.2299999999996</v>
      </c>
      <c r="Q73" s="951">
        <f t="shared" si="19"/>
        <v>0.30659999999999998</v>
      </c>
      <c r="R73" s="952">
        <f t="shared" si="60"/>
        <v>6710.99</v>
      </c>
      <c r="S73" s="952">
        <f t="shared" si="61"/>
        <v>71907.22</v>
      </c>
      <c r="T73" s="952">
        <f t="shared" si="62"/>
        <v>93953.86</v>
      </c>
      <c r="U73" s="955">
        <f t="shared" si="44"/>
        <v>1.1657716780442239E-2</v>
      </c>
    </row>
    <row r="74" spans="2:21" s="956" customFormat="1" x14ac:dyDescent="0.2">
      <c r="B74" s="945" t="s">
        <v>1194</v>
      </c>
      <c r="C74" s="946" t="str">
        <f>INDEX('Orçamento Analítico'!$B:$M,MATCH('ORÇ. SINTÉTICO'!B74,'Orçamento Analítico'!$B:$B,0)+1,2)</f>
        <v xml:space="preserve"> COT.GREL-PAR </v>
      </c>
      <c r="D74" s="946" t="str">
        <f>INDEX('Orçamento Analítico'!$B:$M,MATCH('ORÇ. SINTÉTICO'!B74,'Orçamento Analítico'!$B:$B,0)+1,3)</f>
        <v>Próprio</v>
      </c>
      <c r="E74" s="946" t="str">
        <f>INDEX('Orçamento Analítico'!$B:$M,MATCH('ORÇ. SINTÉTICO'!B74,'Orçamento Analítico'!$B:$B,0)+1,4)</f>
        <v>GRELHAS 50X100 ARTICULADA - FERRO FUNDIDO</v>
      </c>
      <c r="F74" s="947"/>
      <c r="G74" s="948" t="str">
        <f>INDEX('Orçamento Analítico'!$B:$M,MATCH('ORÇ. SINTÉTICO'!$B74,'Orçamento Analítico'!$B:$B,0)+1,5)</f>
        <v>Material</v>
      </c>
      <c r="H74" s="947" t="str">
        <f>INDEX('Orçamento Analítico'!$B:$M,MATCH('ORÇ. SINTÉTICO'!B74,'Orçamento Analítico'!$B:$B,0)+1,7)</f>
        <v>und</v>
      </c>
      <c r="I74" s="959">
        <f>'DISP. DRENAGEM'!C14</f>
        <v>100</v>
      </c>
      <c r="J74" s="950">
        <f>INDEX('Orçamento Analítico'!$B:$M,MATCH(B74,'Orçamento Analítico'!$B:$B,0)+1,10)</f>
        <v>802.02</v>
      </c>
      <c r="K74" s="951">
        <f>IF((OR($G65="MATERIAL",$G65="Equipamento")),K$5,K$4)</f>
        <v>0.1527</v>
      </c>
      <c r="L74" s="952">
        <f>TRUNC(J74*(1+K74),2)</f>
        <v>924.48</v>
      </c>
      <c r="M74" s="952">
        <f t="shared" ref="M74" si="69">TRUNC($I74 * J74, 2)</f>
        <v>80202</v>
      </c>
      <c r="N74" s="952">
        <f>TRUNC($I74 * L74, 2)</f>
        <v>92448</v>
      </c>
      <c r="O74" s="955">
        <f t="shared" si="43"/>
        <v>1.1920855530690453E-2</v>
      </c>
      <c r="P74" s="954">
        <f>INDEX('Orçamento Analítico'!$B:$M,MATCH(B74,'Orçamento Analítico'!$B:$B,0)+1,12)</f>
        <v>802.02</v>
      </c>
      <c r="Q74" s="951">
        <f t="shared" si="19"/>
        <v>0.2092</v>
      </c>
      <c r="R74" s="952">
        <f t="shared" si="60"/>
        <v>969.8</v>
      </c>
      <c r="S74" s="952">
        <f t="shared" si="61"/>
        <v>80202</v>
      </c>
      <c r="T74" s="952">
        <f t="shared" si="62"/>
        <v>96980</v>
      </c>
      <c r="U74" s="955">
        <f t="shared" si="44"/>
        <v>1.2033197713934142E-2</v>
      </c>
    </row>
    <row r="75" spans="2:21" s="930" customFormat="1" ht="63" x14ac:dyDescent="0.2">
      <c r="B75" s="920" t="s">
        <v>1195</v>
      </c>
      <c r="C75" s="921" t="str">
        <f>INDEX('Orçamento Analítico'!$B:$M,MATCH('ORÇ. SINTÉTICO'!B75,'Orçamento Analítico'!$B:$B,0)+1,2)</f>
        <v xml:space="preserve"> 100947 </v>
      </c>
      <c r="D75" s="921" t="str">
        <f>INDEX('Orçamento Analítico'!$B:$M,MATCH('ORÇ. SINTÉTICO'!B75,'Orçamento Analítico'!$B:$B,0)+1,3)</f>
        <v>SINAPI</v>
      </c>
      <c r="E75" s="921" t="str">
        <f>INDEX('Orçamento Analítico'!$B:$M,MATCH('ORÇ. SINTÉTICO'!B75,'Orçamento Analítico'!$B:$B,0)+1,4)</f>
        <v>TRANSPORTE COM CAMINHÃO CARROCERIA 9T, EM VIA URBANA PAVIMENTADA, DMT ATÉ 30KM (UNIDADE: TXKM). AF_07/2020</v>
      </c>
      <c r="F75" s="922">
        <f>30</f>
        <v>30</v>
      </c>
      <c r="G75" s="923" t="str">
        <f>INDEX('Orçamento Analítico'!$B:$M,MATCH('ORÇ. SINTÉTICO'!$B75,'Orçamento Analítico'!$B:$B,0)+1,5)</f>
        <v>Transporte, Carga e Descarga de Materiais</v>
      </c>
      <c r="H75" s="922" t="str">
        <f>INDEX('Orçamento Analítico'!$B:$M,MATCH('ORÇ. SINTÉTICO'!B75,'Orçamento Analítico'!$B:$B,0)+1,7)</f>
        <v>TXKM</v>
      </c>
      <c r="I75" s="931">
        <f>'DISP. DRENAGEM'!D38</f>
        <v>120</v>
      </c>
      <c r="J75" s="925">
        <f>INDEX('Orçamento Analítico'!$B:$M,MATCH(B75,'Orçamento Analítico'!$B:$B,0)+1,10)</f>
        <v>2.2599999999999998</v>
      </c>
      <c r="K75" s="926">
        <f t="shared" si="30"/>
        <v>0.24229999999999999</v>
      </c>
      <c r="L75" s="927">
        <f t="shared" si="66"/>
        <v>2.8</v>
      </c>
      <c r="M75" s="927">
        <f t="shared" si="67"/>
        <v>271.2</v>
      </c>
      <c r="N75" s="927">
        <f t="shared" si="68"/>
        <v>336</v>
      </c>
      <c r="O75" s="928">
        <f t="shared" ref="O75:O99" si="70">N75/$M$135</f>
        <v>4.3326058522758652E-5</v>
      </c>
      <c r="P75" s="929">
        <f>INDEX('Orçamento Analítico'!$B:$M,MATCH(B75,'Orçamento Analítico'!$B:$B,0)+1,12)</f>
        <v>2.23</v>
      </c>
      <c r="Q75" s="926">
        <f t="shared" si="19"/>
        <v>0.30659999999999998</v>
      </c>
      <c r="R75" s="927">
        <f t="shared" si="60"/>
        <v>2.91</v>
      </c>
      <c r="S75" s="927">
        <f t="shared" si="61"/>
        <v>267.60000000000002</v>
      </c>
      <c r="T75" s="927">
        <f t="shared" si="62"/>
        <v>349.2</v>
      </c>
      <c r="U75" s="928">
        <f t="shared" ref="U75" si="71">T75/$S$135</f>
        <v>4.3328445470259871E-5</v>
      </c>
    </row>
    <row r="76" spans="2:21" s="930" customFormat="1" ht="63" x14ac:dyDescent="0.2">
      <c r="B76" s="920" t="s">
        <v>1196</v>
      </c>
      <c r="C76" s="921" t="str">
        <f>INDEX('Orçamento Analítico'!$B:$M,MATCH('ORÇ. SINTÉTICO'!B76,'Orçamento Analítico'!$B:$B,0)+1,2)</f>
        <v xml:space="preserve"> 100948 </v>
      </c>
      <c r="D76" s="921" t="str">
        <f>INDEX('Orçamento Analítico'!$B:$M,MATCH('ORÇ. SINTÉTICO'!B76,'Orçamento Analítico'!$B:$B,0)+1,3)</f>
        <v>SINAPI</v>
      </c>
      <c r="E76" s="921" t="str">
        <f>INDEX('Orçamento Analítico'!$B:$M,MATCH('ORÇ. SINTÉTICO'!B76,'Orçamento Analítico'!$B:$B,0)+1,4)</f>
        <v>TRANSPORTE COM CAMINHÃO CARROCERIA 9T, EM VIA URBANA PAVIMENTADA, ADICIONAL PARA DMT EXCEDENTE A 30 KM (UNIDADE: TXKM). AF_07/2020</v>
      </c>
      <c r="F76" s="922">
        <f>DMT!F14-30</f>
        <v>733</v>
      </c>
      <c r="G76" s="923" t="str">
        <f>INDEX('Orçamento Analítico'!$B:$M,MATCH('ORÇ. SINTÉTICO'!$B76,'Orçamento Analítico'!$B:$B,0)+1,5)</f>
        <v>Transporte, Carga e Descarga de Materiais</v>
      </c>
      <c r="H76" s="922" t="str">
        <f>INDEX('Orçamento Analítico'!$B:$M,MATCH('ORÇ. SINTÉTICO'!B76,'Orçamento Analítico'!$B:$B,0)+1,7)</f>
        <v>TXKM</v>
      </c>
      <c r="I76" s="931">
        <f>'DISP. DRENAGEM'!D39</f>
        <v>2932</v>
      </c>
      <c r="J76" s="925">
        <f>INDEX('Orçamento Analítico'!$B:$M,MATCH(B76,'Orçamento Analítico'!$B:$B,0)+1,10)</f>
        <v>0.89</v>
      </c>
      <c r="K76" s="926">
        <f t="shared" si="30"/>
        <v>0.24229999999999999</v>
      </c>
      <c r="L76" s="927">
        <f t="shared" si="66"/>
        <v>1.1000000000000001</v>
      </c>
      <c r="M76" s="927">
        <f t="shared" si="67"/>
        <v>2609.48</v>
      </c>
      <c r="N76" s="927">
        <f t="shared" si="68"/>
        <v>3225.2</v>
      </c>
      <c r="O76" s="928">
        <f t="shared" si="70"/>
        <v>4.1587858317738454E-4</v>
      </c>
      <c r="P76" s="929">
        <f>INDEX('Orçamento Analítico'!$B:$M,MATCH(B76,'Orçamento Analítico'!$B:$B,0)+1,12)</f>
        <v>0.88</v>
      </c>
      <c r="Q76" s="926">
        <f t="shared" si="19"/>
        <v>0.30659999999999998</v>
      </c>
      <c r="R76" s="927">
        <f t="shared" si="60"/>
        <v>1.1399999999999999</v>
      </c>
      <c r="S76" s="927">
        <f t="shared" si="61"/>
        <v>2580.16</v>
      </c>
      <c r="T76" s="927">
        <f t="shared" si="62"/>
        <v>3342.48</v>
      </c>
      <c r="U76" s="928">
        <f t="shared" ref="U76:U128" si="72">T76/$S$135</f>
        <v>4.1473213750124342E-4</v>
      </c>
    </row>
    <row r="77" spans="2:21" s="956" customFormat="1" ht="63" x14ac:dyDescent="0.2">
      <c r="B77" s="945" t="s">
        <v>1197</v>
      </c>
      <c r="C77" s="946" t="str">
        <f>INDEX('Orçamento Analítico'!$B:$M,MATCH('ORÇ. SINTÉTICO'!B77,'Orçamento Analítico'!$B:$B,0)+1,2)</f>
        <v xml:space="preserve"> DRE.PV-01 </v>
      </c>
      <c r="D77" s="946" t="str">
        <f>INDEX('Orçamento Analítico'!$B:$M,MATCH('ORÇ. SINTÉTICO'!B77,'Orçamento Analítico'!$B:$B,0)+1,3)</f>
        <v>Próprio</v>
      </c>
      <c r="E77" s="946" t="str">
        <f>INDEX('Orçamento Analítico'!$B:$M,MATCH('ORÇ. SINTÉTICO'!B77,'Orçamento Analítico'!$B:$B,0)+1,4)</f>
        <v>PV-1 - POÇO DE VISITA 2,32 X 2,32 M, EM ALV. DE TIJ. COM. DE 1 VEZ ASS. E REV. INTERNO COM ARG. DE CIMENTO 1:3, LASTRO BRITA 12 CM, BERÇO 18 CM EM CONC. FCK=15 MPA, LAJE 12 CM EM CONC. ARMADO FCK=20 MPA, INCL. FORMA, ESC. MANUAL E REATERRO</v>
      </c>
      <c r="F77" s="947"/>
      <c r="G77" s="948" t="str">
        <f>INDEX('Orçamento Analítico'!$B:$M,MATCH('ORÇ. SINTÉTICO'!$B77,'Orçamento Analítico'!$B:$B,0)+1,5)</f>
        <v>SEDI - SERVIÇOS DIVERSOS</v>
      </c>
      <c r="H77" s="947" t="str">
        <f>INDEX('Orçamento Analítico'!$B:$M,MATCH('ORÇ. SINTÉTICO'!B77,'Orçamento Analítico'!$B:$B,0)+1,7)</f>
        <v>un</v>
      </c>
      <c r="I77" s="959">
        <f>'DISP. DRENAGEM'!C9</f>
        <v>17</v>
      </c>
      <c r="J77" s="950">
        <f>INDEX('Orçamento Analítico'!$B:$M,MATCH(B77,'Orçamento Analítico'!$B:$B,0)+1,10)</f>
        <v>5472.65</v>
      </c>
      <c r="K77" s="951">
        <f t="shared" si="30"/>
        <v>0.24229999999999999</v>
      </c>
      <c r="L77" s="952">
        <f t="shared" si="66"/>
        <v>6798.67</v>
      </c>
      <c r="M77" s="952">
        <f t="shared" si="67"/>
        <v>93035.05</v>
      </c>
      <c r="N77" s="952">
        <f t="shared" si="68"/>
        <v>115577.39</v>
      </c>
      <c r="O77" s="955">
        <f t="shared" si="70"/>
        <v>1.4903311794784824E-2</v>
      </c>
      <c r="P77" s="954">
        <f>INDEX('Orçamento Analítico'!$B:$M,MATCH(B77,'Orçamento Analítico'!$B:$B,0)+1,12)</f>
        <v>5309.49</v>
      </c>
      <c r="Q77" s="951">
        <f t="shared" si="19"/>
        <v>0.30659999999999998</v>
      </c>
      <c r="R77" s="952">
        <f t="shared" si="60"/>
        <v>6937.37</v>
      </c>
      <c r="S77" s="952">
        <f t="shared" si="61"/>
        <v>90261.33</v>
      </c>
      <c r="T77" s="952">
        <f t="shared" si="62"/>
        <v>117935.29</v>
      </c>
      <c r="U77" s="955">
        <f t="shared" si="72"/>
        <v>1.4633312662612497E-2</v>
      </c>
    </row>
    <row r="78" spans="2:21" s="956" customFormat="1" ht="47.25" x14ac:dyDescent="0.2">
      <c r="B78" s="945" t="s">
        <v>1456</v>
      </c>
      <c r="C78" s="946" t="str">
        <f>INDEX('Orçamento Analítico'!$B:$M,MATCH('ORÇ. SINTÉTICO'!B78,'Orçamento Analítico'!$B:$B,0)+1,2)</f>
        <v xml:space="preserve"> 99319 </v>
      </c>
      <c r="D78" s="946" t="str">
        <f>INDEX('Orçamento Analítico'!$B:$M,MATCH('ORÇ. SINTÉTICO'!B78,'Orçamento Analítico'!$B:$B,0)+1,3)</f>
        <v>SINAPI</v>
      </c>
      <c r="E78" s="946" t="str">
        <f>INDEX('Orçamento Analítico'!$B:$M,MATCH('ORÇ. SINTÉTICO'!B78,'Orçamento Analítico'!$B:$B,0)+1,4)</f>
        <v>CHAMINÉ CIRCULAR PARA POÇO DE VISITA PARA DRENAGEM, EM ALVENARIA COM TIJOLOS CERÂMICOS MACIÇOS, DIÂMETRO INTERNO = 0,6 M. AF_12/2020</v>
      </c>
      <c r="F78" s="947"/>
      <c r="G78" s="948" t="str">
        <f>INDEX('Orçamento Analítico'!$B:$M,MATCH('ORÇ. SINTÉTICO'!$B78,'Orçamento Analítico'!$B:$B,0)+1,5)</f>
        <v>Poços de Visita e Caixas para Bocas de Lobo</v>
      </c>
      <c r="H78" s="947" t="str">
        <f>INDEX('Orçamento Analítico'!$B:$M,MATCH('ORÇ. SINTÉTICO'!B78,'Orçamento Analítico'!$B:$B,0)+1,7)</f>
        <v>M</v>
      </c>
      <c r="I78" s="959">
        <f>'DISP. DRENAGEM'!C15</f>
        <v>13.200000000000003</v>
      </c>
      <c r="J78" s="950">
        <f>INDEX('Orçamento Analítico'!$B:$M,MATCH(B78,'Orçamento Analítico'!$B:$B,0)+1,10)</f>
        <v>928.23</v>
      </c>
      <c r="K78" s="951">
        <f>IF((OR($G78="MATERIAL",$G78="Equipamento")),K$5,K$4)</f>
        <v>0.24229999999999999</v>
      </c>
      <c r="L78" s="952">
        <f t="shared" si="31"/>
        <v>1153.1400000000001</v>
      </c>
      <c r="M78" s="952">
        <f t="shared" si="32"/>
        <v>12252.63</v>
      </c>
      <c r="N78" s="952">
        <f t="shared" si="33"/>
        <v>15221.44</v>
      </c>
      <c r="O78" s="955">
        <f t="shared" si="70"/>
        <v>1.9627529769067247E-3</v>
      </c>
      <c r="P78" s="954">
        <f>INDEX('Orçamento Analítico'!$B:$M,MATCH(B78,'Orçamento Analítico'!$B:$B,0)+1,12)</f>
        <v>900</v>
      </c>
      <c r="Q78" s="951">
        <f t="shared" si="19"/>
        <v>0.30659999999999998</v>
      </c>
      <c r="R78" s="952">
        <f t="shared" si="60"/>
        <v>1175.94</v>
      </c>
      <c r="S78" s="952">
        <f t="shared" si="61"/>
        <v>11880</v>
      </c>
      <c r="T78" s="952">
        <f t="shared" si="62"/>
        <v>15522.4</v>
      </c>
      <c r="U78" s="955">
        <f t="shared" si="72"/>
        <v>1.9260064775703373E-3</v>
      </c>
    </row>
    <row r="79" spans="2:21" s="956" customFormat="1" ht="31.5" x14ac:dyDescent="0.2">
      <c r="B79" s="945" t="s">
        <v>1198</v>
      </c>
      <c r="C79" s="946" t="str">
        <f>INDEX('Orçamento Analítico'!$B:$M,MATCH('ORÇ. SINTÉTICO'!B79,'Orçamento Analítico'!$B:$B,0)+1,2)</f>
        <v xml:space="preserve"> 98114 </v>
      </c>
      <c r="D79" s="946" t="str">
        <f>INDEX('Orçamento Analítico'!$B:$M,MATCH('ORÇ. SINTÉTICO'!B79,'Orçamento Analítico'!$B:$B,0)+1,3)</f>
        <v>SINAPI</v>
      </c>
      <c r="E79" s="946" t="str">
        <f>INDEX('Orçamento Analítico'!$B:$M,MATCH('ORÇ. SINTÉTICO'!B79,'Orçamento Analítico'!$B:$B,0)+1,4)</f>
        <v>TAMPA CIRCULAR PARA ESGOTO E DRENAGEM, EM FERRO FUNDIDO, DIÂMETRO INTERNO = 0,6 M. AF_12/2020</v>
      </c>
      <c r="F79" s="947"/>
      <c r="G79" s="948" t="str">
        <f>INDEX('Orçamento Analítico'!$B:$M,MATCH('ORÇ. SINTÉTICO'!$B79,'Orçamento Analítico'!$B:$B,0)+1,5)</f>
        <v>Caixas Enterradas</v>
      </c>
      <c r="H79" s="947" t="str">
        <f>INDEX('Orçamento Analítico'!$B:$M,MATCH('ORÇ. SINTÉTICO'!B79,'Orçamento Analítico'!$B:$B,0)+1,7)</f>
        <v>UN</v>
      </c>
      <c r="I79" s="959">
        <f>'DISP. DRENAGEM'!C16</f>
        <v>16</v>
      </c>
      <c r="J79" s="950">
        <f>INDEX('Orçamento Analítico'!$B:$M,MATCH(B79,'Orçamento Analítico'!$B:$B,0)+1,10)</f>
        <v>592.80999999999995</v>
      </c>
      <c r="K79" s="951">
        <f t="shared" si="30"/>
        <v>0.24229999999999999</v>
      </c>
      <c r="L79" s="952">
        <f t="shared" ref="L79:L80" si="73">TRUNC(J79*(1+K79),2)</f>
        <v>736.44</v>
      </c>
      <c r="M79" s="952">
        <f t="shared" ref="M79:M80" si="74">TRUNC($I79 * J79, 2)</f>
        <v>9484.9599999999991</v>
      </c>
      <c r="N79" s="952">
        <f t="shared" ref="N79:N80" si="75">TRUNC($I79 * L79, 2)</f>
        <v>11783.04</v>
      </c>
      <c r="O79" s="955">
        <f t="shared" si="70"/>
        <v>1.5193829780238278E-3</v>
      </c>
      <c r="P79" s="954">
        <f>INDEX('Orçamento Analítico'!$B:$M,MATCH(B79,'Orçamento Analítico'!$B:$B,0)+1,12)</f>
        <v>589.72</v>
      </c>
      <c r="Q79" s="951">
        <f t="shared" si="19"/>
        <v>0.30659999999999998</v>
      </c>
      <c r="R79" s="952">
        <f t="shared" si="60"/>
        <v>770.52</v>
      </c>
      <c r="S79" s="952">
        <f t="shared" si="61"/>
        <v>9435.52</v>
      </c>
      <c r="T79" s="952">
        <f t="shared" si="62"/>
        <v>12328.32</v>
      </c>
      <c r="U79" s="955">
        <f t="shared" si="72"/>
        <v>1.5296876886022742E-3</v>
      </c>
    </row>
    <row r="80" spans="2:21" s="956" customFormat="1" ht="31.5" x14ac:dyDescent="0.2">
      <c r="B80" s="945" t="s">
        <v>1233</v>
      </c>
      <c r="C80" s="946" t="str">
        <f>INDEX('Orçamento Analítico'!$B:$M,MATCH('ORÇ. SINTÉTICO'!B80,'Orçamento Analítico'!$B:$B,0)+1,2)</f>
        <v xml:space="preserve"> DRE.ALTE </v>
      </c>
      <c r="D80" s="946" t="str">
        <f>INDEX('Orçamento Analítico'!$B:$M,MATCH('ORÇ. SINTÉTICO'!B80,'Orçamento Analítico'!$B:$B,0)+1,3)</f>
        <v>Próprio</v>
      </c>
      <c r="E80" s="946" t="str">
        <f>INDEX('Orçamento Analítico'!$B:$M,MATCH('ORÇ. SINTÉTICO'!B80,'Orçamento Analítico'!$B:$B,0)+1,4)</f>
        <v>ALONGAMENTO DE CHAMINÉ D=0,60 M PARA POÇO DE VISITA, EM ALVENARIA</v>
      </c>
      <c r="F80" s="947"/>
      <c r="G80" s="948" t="str">
        <f>INDEX('Orçamento Analítico'!$B:$M,MATCH('ORÇ. SINTÉTICO'!$B80,'Orçamento Analítico'!$B:$B,0)+1,5)</f>
        <v>SEDI - SERVIÇOS DIVERSOS</v>
      </c>
      <c r="H80" s="947" t="str">
        <f>INDEX('Orçamento Analítico'!$B:$M,MATCH('ORÇ. SINTÉTICO'!B80,'Orçamento Analítico'!$B:$B,0)+1,7)</f>
        <v>UND</v>
      </c>
      <c r="I80" s="959">
        <f>'DISP. DRENAGEM'!C17</f>
        <v>22</v>
      </c>
      <c r="J80" s="950">
        <f>INDEX('Orçamento Analítico'!$B:$M,MATCH(B80,'Orçamento Analítico'!$B:$B,0)+1,10)</f>
        <v>338.62</v>
      </c>
      <c r="K80" s="951">
        <f t="shared" si="30"/>
        <v>0.24229999999999999</v>
      </c>
      <c r="L80" s="952">
        <f t="shared" si="73"/>
        <v>420.66</v>
      </c>
      <c r="M80" s="952">
        <f t="shared" si="74"/>
        <v>7449.64</v>
      </c>
      <c r="N80" s="952">
        <f t="shared" si="75"/>
        <v>9254.52</v>
      </c>
      <c r="O80" s="955">
        <f t="shared" si="70"/>
        <v>1.1933389140477394E-3</v>
      </c>
      <c r="P80" s="954">
        <f>INDEX('Orçamento Analítico'!$B:$M,MATCH(B80,'Orçamento Analítico'!$B:$B,0)+1,12)</f>
        <v>329.72</v>
      </c>
      <c r="Q80" s="951">
        <f t="shared" si="19"/>
        <v>0.30659999999999998</v>
      </c>
      <c r="R80" s="952">
        <f t="shared" si="60"/>
        <v>430.81</v>
      </c>
      <c r="S80" s="952">
        <f t="shared" si="61"/>
        <v>7253.84</v>
      </c>
      <c r="T80" s="952">
        <f t="shared" si="62"/>
        <v>9477.82</v>
      </c>
      <c r="U80" s="955">
        <f t="shared" si="72"/>
        <v>1.1760000201802359E-3</v>
      </c>
    </row>
    <row r="81" spans="2:21" s="930" customFormat="1" x14ac:dyDescent="0.2">
      <c r="B81" s="920" t="s">
        <v>1234</v>
      </c>
      <c r="C81" s="921" t="str">
        <f>INDEX('Orçamento Analítico'!$B:$M,MATCH('ORÇ. SINTÉTICO'!B81,'Orçamento Analítico'!$B:$B,0)+1,2)</f>
        <v xml:space="preserve"> COT.EAI.MS</v>
      </c>
      <c r="D81" s="921" t="str">
        <f>INDEX('Orçamento Analítico'!$B:$M,MATCH('ORÇ. SINTÉTICO'!B81,'Orçamento Analítico'!$B:$B,0)+1,3)</f>
        <v>Próprio</v>
      </c>
      <c r="E81" s="921" t="str">
        <f>INDEX('Orçamento Analítico'!$B:$M,MATCH('ORÇ. SINTÉTICO'!B81,'Orçamento Analítico'!$B:$B,0)+1,4)</f>
        <v>EMULSÃO ASFALTICA PARA IMPRIMAÇÃO</v>
      </c>
      <c r="F81" s="922"/>
      <c r="G81" s="923" t="str">
        <f>INDEX('Orçamento Analítico'!$B:$M,MATCH('ORÇ. SINTÉTICO'!$B81,'Orçamento Analítico'!$B:$B,0)+1,5)</f>
        <v>Material</v>
      </c>
      <c r="H81" s="922" t="str">
        <f>INDEX('Orçamento Analítico'!$B:$M,MATCH('ORÇ. SINTÉTICO'!B81,'Orçamento Analítico'!$B:$B,0)+1,7)</f>
        <v>T</v>
      </c>
      <c r="I81" s="931">
        <f>'DISP. DRENAGEM'!G33</f>
        <v>0.02</v>
      </c>
      <c r="J81" s="925">
        <f>INDEX('Orçamento Analítico'!$B:$M,MATCH(B81,'Orçamento Analítico'!$B:$B,0)+1,10)</f>
        <v>3000</v>
      </c>
      <c r="K81" s="926">
        <f>IF((OR($G81="MATERIAL",$G81="Equipamento")),K$5,K$4)</f>
        <v>0.1527</v>
      </c>
      <c r="L81" s="927">
        <f t="shared" si="31"/>
        <v>3458.1</v>
      </c>
      <c r="M81" s="927">
        <f t="shared" si="32"/>
        <v>60</v>
      </c>
      <c r="N81" s="927">
        <f t="shared" si="33"/>
        <v>69.16</v>
      </c>
      <c r="O81" s="928">
        <f t="shared" si="70"/>
        <v>8.91794704593449E-6</v>
      </c>
      <c r="P81" s="929">
        <f>INDEX('Orçamento Analítico'!$B:$M,MATCH(B81,'Orçamento Analítico'!$B:$B,0)+1,12)</f>
        <v>3000</v>
      </c>
      <c r="Q81" s="926">
        <f t="shared" si="19"/>
        <v>0.2092</v>
      </c>
      <c r="R81" s="927">
        <f t="shared" si="60"/>
        <v>3627.6</v>
      </c>
      <c r="S81" s="927">
        <f t="shared" si="61"/>
        <v>60</v>
      </c>
      <c r="T81" s="927">
        <f t="shared" si="62"/>
        <v>72.55</v>
      </c>
      <c r="U81" s="928">
        <f t="shared" si="72"/>
        <v>9.0019436393681364E-6</v>
      </c>
    </row>
    <row r="82" spans="2:21" s="930" customFormat="1" ht="63" x14ac:dyDescent="0.2">
      <c r="B82" s="920" t="s">
        <v>1329</v>
      </c>
      <c r="C82" s="921" t="str">
        <f>INDEX('Orçamento Analítico'!$B:$M,MATCH('ORÇ. SINTÉTICO'!B82,'Orçamento Analítico'!$B:$B,0)+1,2)</f>
        <v xml:space="preserve"> 102330 </v>
      </c>
      <c r="D82" s="921" t="str">
        <f>INDEX('Orçamento Analítico'!$B:$M,MATCH('ORÇ. SINTÉTICO'!B82,'Orçamento Analítico'!$B:$B,0)+1,3)</f>
        <v>SINAPI</v>
      </c>
      <c r="E82" s="921" t="str">
        <f>INDEX('Orçamento Analítico'!$B:$M,MATCH('ORÇ. SINTÉTICO'!B82,'Orçamento Analítico'!$B:$B,0)+1,4)</f>
        <v>TRANSPORTE COM CAMINHÃO TANQUE DE TRANSPORTE DE MATERIAL ASFÁLTICO DE 30000 L, EM VIA URBANA PAVIMENTADA, DMT ATÉ 30KM (UNIDADE: TXKM). AF_07/2020</v>
      </c>
      <c r="F82" s="922">
        <f>30</f>
        <v>30</v>
      </c>
      <c r="G82" s="923" t="str">
        <f>INDEX('Orçamento Analítico'!$B:$M,MATCH('ORÇ. SINTÉTICO'!$B82,'Orçamento Analítico'!$B:$B,0)+1,5)</f>
        <v>Transporte, Carga e Descarga de Materiais</v>
      </c>
      <c r="H82" s="922" t="str">
        <f>INDEX('Orçamento Analítico'!$B:$M,MATCH('ORÇ. SINTÉTICO'!B82,'Orçamento Analítico'!$B:$B,0)+1,7)</f>
        <v>TXKM</v>
      </c>
      <c r="I82" s="931">
        <f>'DISP. DRENAGEM'!H33</f>
        <v>0.41</v>
      </c>
      <c r="J82" s="925">
        <f>INDEX('Orçamento Analítico'!$B:$M,MATCH(B82,'Orçamento Analítico'!$B:$B,0)+1,10)</f>
        <v>1.41</v>
      </c>
      <c r="K82" s="926">
        <f>IF((OR($G82="MATERIAL",$G82="Equipamento")),K$5,K$4)</f>
        <v>0.24229999999999999</v>
      </c>
      <c r="L82" s="927">
        <f t="shared" ref="L82:L83" si="76">TRUNC(J82*(1+K82),2)</f>
        <v>1.75</v>
      </c>
      <c r="M82" s="927">
        <f t="shared" ref="M82:M83" si="77">TRUNC($I82 * J82, 2)</f>
        <v>0.56999999999999995</v>
      </c>
      <c r="N82" s="927">
        <f t="shared" ref="N82:N83" si="78">TRUNC($I82 * L82, 2)</f>
        <v>0.71</v>
      </c>
      <c r="O82" s="928">
        <f t="shared" si="70"/>
        <v>9.1552087949876918E-8</v>
      </c>
      <c r="P82" s="929">
        <f>INDEX('Orçamento Analítico'!$B:$M,MATCH(B82,'Orçamento Analítico'!$B:$B,0)+1,12)</f>
        <v>1.4</v>
      </c>
      <c r="Q82" s="926">
        <f t="shared" si="19"/>
        <v>0.30659999999999998</v>
      </c>
      <c r="R82" s="927">
        <f t="shared" si="60"/>
        <v>1.82</v>
      </c>
      <c r="S82" s="927">
        <f t="shared" si="61"/>
        <v>0.56999999999999995</v>
      </c>
      <c r="T82" s="927">
        <f t="shared" si="62"/>
        <v>0.74</v>
      </c>
      <c r="U82" s="928">
        <f t="shared" si="72"/>
        <v>9.1818584329874873E-8</v>
      </c>
    </row>
    <row r="83" spans="2:21" s="930" customFormat="1" ht="63" x14ac:dyDescent="0.2">
      <c r="B83" s="920" t="s">
        <v>1330</v>
      </c>
      <c r="C83" s="921" t="str">
        <f>INDEX('Orçamento Analítico'!$B:$M,MATCH('ORÇ. SINTÉTICO'!B83,'Orçamento Analítico'!$B:$B,0)+1,2)</f>
        <v xml:space="preserve"> 102331 </v>
      </c>
      <c r="D83" s="921" t="str">
        <f>INDEX('Orçamento Analítico'!$B:$M,MATCH('ORÇ. SINTÉTICO'!B83,'Orçamento Analítico'!$B:$B,0)+1,3)</f>
        <v>SINAPI</v>
      </c>
      <c r="E83" s="921" t="str">
        <f>INDEX('Orçamento Analítico'!$B:$M,MATCH('ORÇ. SINTÉTICO'!B83,'Orçamento Analítico'!$B:$B,0)+1,4)</f>
        <v>TRANSPORTE COM CAMINHÃO TANQUE DE TRANSPORTE DE MATERIAL ASFÁLTICO DE 30000 L, EM VIA URBANA PAVIMENTADA, ADICIONAL PARA DMT EXCEDENTE A 30 KM (UNIDADE: TXKM). AF_07/2020</v>
      </c>
      <c r="F83" s="922">
        <f>DMT!F7-30</f>
        <v>308</v>
      </c>
      <c r="G83" s="923" t="str">
        <f>INDEX('Orçamento Analítico'!$B:$M,MATCH('ORÇ. SINTÉTICO'!$B83,'Orçamento Analítico'!$B:$B,0)+1,5)</f>
        <v>Transporte, Carga e Descarga de Materiais</v>
      </c>
      <c r="H83" s="922" t="str">
        <f>INDEX('Orçamento Analítico'!$B:$M,MATCH('ORÇ. SINTÉTICO'!B83,'Orçamento Analítico'!$B:$B,0)+1,7)</f>
        <v>TXKM</v>
      </c>
      <c r="I83" s="931">
        <f>'DISP. DRENAGEM'!I33</f>
        <v>129.28</v>
      </c>
      <c r="J83" s="925">
        <f>INDEX('Orçamento Analítico'!$B:$M,MATCH(B83,'Orçamento Analítico'!$B:$B,0)+1,10)</f>
        <v>0.55000000000000004</v>
      </c>
      <c r="K83" s="926">
        <f t="shared" si="30"/>
        <v>0.24229999999999999</v>
      </c>
      <c r="L83" s="927">
        <f t="shared" si="76"/>
        <v>0.68</v>
      </c>
      <c r="M83" s="927">
        <f t="shared" si="77"/>
        <v>71.099999999999994</v>
      </c>
      <c r="N83" s="927">
        <f t="shared" si="78"/>
        <v>87.91</v>
      </c>
      <c r="O83" s="928">
        <f t="shared" si="70"/>
        <v>1.1335695847427717E-5</v>
      </c>
      <c r="P83" s="929">
        <f>INDEX('Orçamento Analítico'!$B:$M,MATCH(B83,'Orçamento Analítico'!$B:$B,0)+1,12)</f>
        <v>0.54</v>
      </c>
      <c r="Q83" s="926">
        <f t="shared" si="19"/>
        <v>0.30659999999999998</v>
      </c>
      <c r="R83" s="927">
        <f t="shared" si="60"/>
        <v>0.7</v>
      </c>
      <c r="S83" s="927">
        <f t="shared" si="61"/>
        <v>69.81</v>
      </c>
      <c r="T83" s="927">
        <f t="shared" si="62"/>
        <v>90.49</v>
      </c>
      <c r="U83" s="928">
        <f t="shared" si="72"/>
        <v>1.1227923913527535E-5</v>
      </c>
    </row>
    <row r="84" spans="2:21" s="956" customFormat="1" ht="47.25" x14ac:dyDescent="0.2">
      <c r="B84" s="945" t="s">
        <v>1331</v>
      </c>
      <c r="C84" s="946" t="str">
        <f>INDEX('Orçamento Analítico'!$B:$M,MATCH('ORÇ. SINTÉTICO'!B84,'Orçamento Analítico'!$B:$B,0)+1,2)</f>
        <v xml:space="preserve"> 94293 </v>
      </c>
      <c r="D84" s="946" t="str">
        <f>INDEX('Orçamento Analítico'!$B:$M,MATCH('ORÇ. SINTÉTICO'!B84,'Orçamento Analítico'!$B:$B,0)+1,3)</f>
        <v>SINAPI</v>
      </c>
      <c r="E84" s="946" t="str">
        <f>INDEX('Orçamento Analítico'!$B:$M,MATCH('ORÇ. SINTÉTICO'!B84,'Orçamento Analítico'!$B:$B,0)+1,4)</f>
        <v>EXECUÇÃO DE SARJETÃO DE CONCRETO USINADO, MOLDADA  IN LOCO  EM TRECHO RETO, 100 CM BASE X 20 CM ALTURA. AF_01/2024</v>
      </c>
      <c r="F84" s="947"/>
      <c r="G84" s="948" t="str">
        <f>INDEX('Orçamento Analítico'!$B:$M,MATCH('ORÇ. SINTÉTICO'!$B84,'Orçamento Analítico'!$B:$B,0)+1,5)</f>
        <v>Guias e sarjetas</v>
      </c>
      <c r="H84" s="947" t="str">
        <f>INDEX('Orçamento Analítico'!$B:$M,MATCH('ORÇ. SINTÉTICO'!B84,'Orçamento Analítico'!$B:$B,0)+1,7)</f>
        <v>M</v>
      </c>
      <c r="I84" s="959">
        <f>'DISP. DRENAGEM'!C27</f>
        <v>85</v>
      </c>
      <c r="J84" s="950">
        <f>INDEX('Orçamento Analítico'!$B:$M,MATCH(B84,'Orçamento Analítico'!$B:$B,0)+1,10)</f>
        <v>194.18</v>
      </c>
      <c r="K84" s="951">
        <f t="shared" si="30"/>
        <v>0.24229999999999999</v>
      </c>
      <c r="L84" s="952">
        <f t="shared" si="31"/>
        <v>241.22</v>
      </c>
      <c r="M84" s="952">
        <f t="shared" si="32"/>
        <v>16505.3</v>
      </c>
      <c r="N84" s="952">
        <f t="shared" si="33"/>
        <v>20503.7</v>
      </c>
      <c r="O84" s="955">
        <f t="shared" si="70"/>
        <v>2.6438824587294244E-3</v>
      </c>
      <c r="P84" s="954">
        <f>INDEX('Orçamento Analítico'!$B:$M,MATCH(B84,'Orçamento Analítico'!$B:$B,0)+1,12)</f>
        <v>191.98</v>
      </c>
      <c r="Q84" s="951">
        <f t="shared" si="19"/>
        <v>0.30659999999999998</v>
      </c>
      <c r="R84" s="952">
        <f t="shared" si="60"/>
        <v>250.84</v>
      </c>
      <c r="S84" s="952">
        <f t="shared" si="61"/>
        <v>16318.3</v>
      </c>
      <c r="T84" s="952">
        <f t="shared" si="62"/>
        <v>21321.4</v>
      </c>
      <c r="U84" s="955">
        <f t="shared" si="72"/>
        <v>2.6455415728797219E-3</v>
      </c>
    </row>
    <row r="85" spans="2:21" s="956" customFormat="1" ht="63" x14ac:dyDescent="0.2">
      <c r="B85" s="945" t="s">
        <v>1332</v>
      </c>
      <c r="C85" s="946" t="str">
        <f>INDEX('Orçamento Analítico'!$B:$M,MATCH('ORÇ. SINTÉTICO'!B85,'Orçamento Analítico'!$B:$B,0)+1,2)</f>
        <v xml:space="preserve"> 91093 </v>
      </c>
      <c r="D85" s="946" t="str">
        <f>INDEX('Orçamento Analítico'!$B:$M,MATCH('ORÇ. SINTÉTICO'!B85,'Orçamento Analítico'!$B:$B,0)+1,3)</f>
        <v>SINAPI</v>
      </c>
      <c r="E85" s="946" t="str">
        <f>INDEX('Orçamento Analítico'!$B:$M,MATCH('ORÇ. SINTÉTICO'!B85,'Orçamento Analítico'!$B:$B,0)+1,4)</f>
        <v>EXECUÇÃO DE REVESTIMENTO DE CONCRETO PROJETADO COM ESPESSURA DE 10 CM, ARMADO COM TELA, INCLINAÇÃO DE 90°, APLICAÇÃO DESCONTÍNUA, UTILIZANDO EQUIPAMENTO DE PROJEÇÃO COM 3 M3/H DE CAPACIDADE. AF_07/2024</v>
      </c>
      <c r="F85" s="947"/>
      <c r="G85" s="948" t="str">
        <f>INDEX('Orçamento Analítico'!$B:$M,MATCH('ORÇ. SINTÉTICO'!$B85,'Orçamento Analítico'!$B:$B,0)+1,5)</f>
        <v>Concreto Projetado</v>
      </c>
      <c r="H85" s="947" t="str">
        <f>INDEX('Orçamento Analítico'!$B:$M,MATCH('ORÇ. SINTÉTICO'!B85,'Orçamento Analítico'!$B:$B,0)+1,7)</f>
        <v>m²</v>
      </c>
      <c r="I85" s="959">
        <f>'DISP. DRENAGEM'!C32</f>
        <v>19.12</v>
      </c>
      <c r="J85" s="950">
        <f>INDEX('Orçamento Analítico'!$B:$M,MATCH(B85,'Orçamento Analítico'!$B:$B,0)+1,10)</f>
        <v>317.20999999999998</v>
      </c>
      <c r="K85" s="951">
        <f>IF((OR($G85="MATERIAL",$G85="Equipamento")),K$5,K$4)</f>
        <v>0.24229999999999999</v>
      </c>
      <c r="L85" s="952">
        <f t="shared" si="31"/>
        <v>394.06</v>
      </c>
      <c r="M85" s="952">
        <f t="shared" si="32"/>
        <v>6065.05</v>
      </c>
      <c r="N85" s="952">
        <f t="shared" si="33"/>
        <v>7534.42</v>
      </c>
      <c r="O85" s="955">
        <f t="shared" si="70"/>
        <v>9.7153786266381925E-4</v>
      </c>
      <c r="P85" s="954">
        <f>INDEX('Orçamento Analítico'!$B:$M,MATCH(B85,'Orçamento Analítico'!$B:$B,0)+1,12)</f>
        <v>305.20999999999998</v>
      </c>
      <c r="Q85" s="951">
        <f t="shared" si="19"/>
        <v>0.30659999999999998</v>
      </c>
      <c r="R85" s="952">
        <f t="shared" si="60"/>
        <v>398.78</v>
      </c>
      <c r="S85" s="952">
        <f t="shared" si="61"/>
        <v>5835.61</v>
      </c>
      <c r="T85" s="952">
        <f t="shared" si="62"/>
        <v>7624.67</v>
      </c>
      <c r="U85" s="955">
        <f t="shared" si="72"/>
        <v>9.4606270997630681E-4</v>
      </c>
    </row>
    <row r="86" spans="2:21" s="930" customFormat="1" ht="63" x14ac:dyDescent="0.2">
      <c r="B86" s="920" t="s">
        <v>1482</v>
      </c>
      <c r="C86" s="921" t="str">
        <f>INDEX('Orçamento Analítico'!$B:$M,MATCH('ORÇ. SINTÉTICO'!B86,'Orçamento Analítico'!$B:$B,0)+1,2)</f>
        <v xml:space="preserve"> 100978 </v>
      </c>
      <c r="D86" s="921" t="str">
        <f>INDEX('Orçamento Analítico'!$B:$M,MATCH('ORÇ. SINTÉTICO'!B86,'Orçamento Analítico'!$B:$B,0)+1,3)</f>
        <v>SINAPI</v>
      </c>
      <c r="E86" s="921" t="str">
        <f>INDEX('Orçamento Analítico'!$B:$M,MATCH('ORÇ. SINTÉTICO'!B86,'Orçamento Analítico'!$B:$B,0)+1,4)</f>
        <v>CARGA, MANOBRA E DESCARGA DE SOLOS E MATERIAIS GRANULARES EM CAMINHÃO BASCULANTE 10 M³ - CARGA COM ESCAVADEIRA HIDRÁULICA (CAÇAMBA DE 1,20 M³ / 155 HP) E DESCARGA LIVRE (UNIDADE: M3). AF_07/2020</v>
      </c>
      <c r="F86" s="922"/>
      <c r="G86" s="923" t="str">
        <f>INDEX('Orçamento Analítico'!$B:$M,MATCH('ORÇ. SINTÉTICO'!$B86,'Orçamento Analítico'!$B:$B,0)+1,5)</f>
        <v>Transporte, Carga e Descarga de Materiais</v>
      </c>
      <c r="H86" s="922" t="str">
        <f>INDEX('Orçamento Analítico'!$B:$M,MATCH('ORÇ. SINTÉTICO'!B86,'Orçamento Analítico'!$B:$B,0)+1,7)</f>
        <v>m³</v>
      </c>
      <c r="I86" s="931">
        <f>'DISP. DRENAGEM'!J33</f>
        <v>79.7</v>
      </c>
      <c r="J86" s="925">
        <f>INDEX('Orçamento Analítico'!$B:$M,MATCH(B86,'Orçamento Analítico'!$B:$B,0)+1,10)</f>
        <v>7.03</v>
      </c>
      <c r="K86" s="926">
        <f>IF((OR($G86="MATERIAL",$G86="Equipamento")),K$5,K$4)</f>
        <v>0.24229999999999999</v>
      </c>
      <c r="L86" s="927">
        <f t="shared" ref="L86:L87" si="79">TRUNC(J86*(1+K86),2)</f>
        <v>8.73</v>
      </c>
      <c r="M86" s="927">
        <f t="shared" ref="M86" si="80">TRUNC($I86 * J86, 2)</f>
        <v>560.29</v>
      </c>
      <c r="N86" s="927">
        <f t="shared" si="33"/>
        <v>695.78</v>
      </c>
      <c r="O86" s="943">
        <f t="shared" si="70"/>
        <v>8.9718467258824457E-5</v>
      </c>
      <c r="P86" s="929">
        <f>INDEX('Orçamento Analítico'!$B:$M,MATCH(B86,'Orçamento Analítico'!$B:$B,0)+1,12)</f>
        <v>6.95</v>
      </c>
      <c r="Q86" s="926">
        <f t="shared" si="19"/>
        <v>0.30659999999999998</v>
      </c>
      <c r="R86" s="927">
        <f t="shared" ref="R86:R87" si="81">TRUNC(P86*(1+Q86),2)</f>
        <v>9.08</v>
      </c>
      <c r="S86" s="927">
        <f t="shared" ref="S86:S87" si="82">TRUNC($I86 * P86, 2)</f>
        <v>553.91</v>
      </c>
      <c r="T86" s="927">
        <f t="shared" ref="T86:T87" si="83">TRUNC($I86 * R86, 2)</f>
        <v>723.67</v>
      </c>
      <c r="U86" s="943">
        <f t="shared" si="72"/>
        <v>8.9792371516216944E-5</v>
      </c>
    </row>
    <row r="87" spans="2:21" s="956" customFormat="1" ht="63" x14ac:dyDescent="0.2">
      <c r="B87" s="945" t="s">
        <v>1483</v>
      </c>
      <c r="C87" s="946" t="str">
        <f>INDEX('Orçamento Analítico'!$B:$M,MATCH('ORÇ. SINTÉTICO'!B87,'Orçamento Analítico'!$B:$B,0)+1,2)</f>
        <v xml:space="preserve"> 95875 </v>
      </c>
      <c r="D87" s="946" t="str">
        <f>INDEX('Orçamento Analítico'!$B:$M,MATCH('ORÇ. SINTÉTICO'!B87,'Orçamento Analítico'!$B:$B,0)+1,3)</f>
        <v>SINAPI</v>
      </c>
      <c r="E87" s="946" t="str">
        <f>INDEX('Orçamento Analítico'!$B:$M,MATCH('ORÇ. SINTÉTICO'!B87,'Orçamento Analítico'!$B:$B,0)+1,4)</f>
        <v>TRANSPORTE COM CAMINHÃO BASCULANTE DE 10 M³, EM VIA URBANA PAVIMENTADA, DMT ATÉ 30 KM (UNIDADE: M3XKM). AF_07/2020</v>
      </c>
      <c r="F87" s="947">
        <f>DMT!F9</f>
        <v>18.2</v>
      </c>
      <c r="G87" s="948" t="str">
        <f>INDEX('Orçamento Analítico'!$B:$M,MATCH('ORÇ. SINTÉTICO'!$B87,'Orçamento Analítico'!$B:$B,0)+1,5)</f>
        <v>Transporte, Carga e Descarga de Materiais</v>
      </c>
      <c r="H87" s="947" t="str">
        <f>INDEX('Orçamento Analítico'!$B:$M,MATCH('ORÇ. SINTÉTICO'!B87,'Orçamento Analítico'!$B:$B,0)+1,7)</f>
        <v>M3XKM</v>
      </c>
      <c r="I87" s="959">
        <f>'DISP. DRENAGEM'!K33</f>
        <v>1450.53</v>
      </c>
      <c r="J87" s="950">
        <f>INDEX('Orçamento Analítico'!$B:$M,MATCH(B87,'Orçamento Analítico'!$B:$B,0)+1,10)</f>
        <v>2.5</v>
      </c>
      <c r="K87" s="951">
        <f>IF((OR($G87="MATERIAL",$G87="Equipamento")),K$5,K$4)</f>
        <v>0.24229999999999999</v>
      </c>
      <c r="L87" s="952">
        <f t="shared" si="79"/>
        <v>3.1</v>
      </c>
      <c r="M87" s="952">
        <f>TRUNC($I87 * J87, 2)</f>
        <v>3626.32</v>
      </c>
      <c r="N87" s="952">
        <f t="shared" si="33"/>
        <v>4496.6400000000003</v>
      </c>
      <c r="O87" s="961">
        <f t="shared" si="70"/>
        <v>5.7982645177314729E-4</v>
      </c>
      <c r="P87" s="954">
        <f>INDEX('Orçamento Analítico'!$B:$M,MATCH(B87,'Orçamento Analítico'!$B:$B,0)+1,12)</f>
        <v>2.48</v>
      </c>
      <c r="Q87" s="951">
        <f t="shared" si="19"/>
        <v>0.30659999999999998</v>
      </c>
      <c r="R87" s="952">
        <f t="shared" si="81"/>
        <v>3.24</v>
      </c>
      <c r="S87" s="952">
        <f t="shared" si="82"/>
        <v>3597.31</v>
      </c>
      <c r="T87" s="952">
        <f t="shared" si="83"/>
        <v>4699.71</v>
      </c>
      <c r="U87" s="961">
        <f t="shared" si="72"/>
        <v>5.8313610670399486E-4</v>
      </c>
    </row>
    <row r="88" spans="2:21" x14ac:dyDescent="0.2">
      <c r="B88" s="719" t="s">
        <v>375</v>
      </c>
      <c r="C88" s="840"/>
      <c r="D88" s="840"/>
      <c r="E88" s="720" t="s">
        <v>376</v>
      </c>
      <c r="F88" s="601"/>
      <c r="G88" s="726"/>
      <c r="H88" s="841"/>
      <c r="I88" s="721">
        <v>1</v>
      </c>
      <c r="J88" s="620"/>
      <c r="K88" s="602"/>
      <c r="L88" s="603"/>
      <c r="M88" s="603">
        <f>TRUNC(M89+M96+M111,2)</f>
        <v>3466590.1</v>
      </c>
      <c r="N88" s="603">
        <f>TRUNC(N89+N96+N111,2)</f>
        <v>4292066.47</v>
      </c>
      <c r="O88" s="624">
        <f t="shared" si="70"/>
        <v>0.55344739006782784</v>
      </c>
      <c r="P88" s="842"/>
      <c r="Q88" s="602"/>
      <c r="R88" s="603"/>
      <c r="S88" s="603">
        <f>TRUNC(S89+S96+S111,2)</f>
        <v>3443522.14</v>
      </c>
      <c r="T88" s="603">
        <f>TRUNC(T89+T96+T111,2)</f>
        <v>4484712.8099999996</v>
      </c>
      <c r="U88" s="624">
        <f t="shared" ref="U88:U89" si="84">T88/$M$135</f>
        <v>0.57828848114233755</v>
      </c>
    </row>
    <row r="89" spans="2:21" x14ac:dyDescent="0.2">
      <c r="B89" s="719" t="s">
        <v>430</v>
      </c>
      <c r="C89" s="840"/>
      <c r="D89" s="840"/>
      <c r="E89" s="720" t="s">
        <v>431</v>
      </c>
      <c r="F89" s="601"/>
      <c r="G89" s="726"/>
      <c r="H89" s="841"/>
      <c r="I89" s="722">
        <v>1</v>
      </c>
      <c r="J89" s="620"/>
      <c r="K89" s="602"/>
      <c r="L89" s="603"/>
      <c r="M89" s="603">
        <f>TRUNC(SUM(M90:M95),2)</f>
        <v>224262.77</v>
      </c>
      <c r="N89" s="603">
        <f>TRUNC(SUM(N90:N95),2)</f>
        <v>278211.86</v>
      </c>
      <c r="O89" s="624">
        <f t="shared" si="70"/>
        <v>3.5874474190730768E-2</v>
      </c>
      <c r="P89" s="842"/>
      <c r="Q89" s="602"/>
      <c r="R89" s="603"/>
      <c r="S89" s="603">
        <f>TRUNC(SUM(S90:S95),2)</f>
        <v>221710.34</v>
      </c>
      <c r="T89" s="603">
        <f>TRUNC(SUM(T90:T95),2)</f>
        <v>289578.32</v>
      </c>
      <c r="U89" s="624">
        <f t="shared" si="84"/>
        <v>3.7340140592982539E-2</v>
      </c>
    </row>
    <row r="90" spans="2:21" s="941" customFormat="1" ht="63" x14ac:dyDescent="0.2">
      <c r="B90" s="932" t="s">
        <v>432</v>
      </c>
      <c r="C90" s="933" t="str">
        <f>INDEX('Orçamento Analítico'!$B:$M,MATCH('ORÇ. SINTÉTICO'!B90,'Orçamento Analítico'!$B:$B,0)+1,2)</f>
        <v xml:space="preserve"> 101138 </v>
      </c>
      <c r="D90" s="933" t="str">
        <f>INDEX('Orçamento Analítico'!$B:$M,MATCH('ORÇ. SINTÉTICO'!B90,'Orçamento Analítico'!$B:$B,0)+1,3)</f>
        <v>SINAPI</v>
      </c>
      <c r="E90" s="933" t="str">
        <f>INDEX('Orçamento Analítico'!$B:$M,MATCH('ORÇ. SINTÉTICO'!B90,'Orçamento Analítico'!$B:$B,0)+1,4)</f>
        <v>ESCAVAÇÃO HORIZONTAL, INCLUINDO CARGA, DESCARGA E TRANSPORTE EM SOLO DE 1A CATEGORIA COM TRATOR DE ESTEIRAS (125HP/LÂMINA: 2,70M3) E CAMINHÃO BASCULANTE DE 10M3, DMT ATÉ 200M. AF_07/2020</v>
      </c>
      <c r="F90" s="934"/>
      <c r="G90" s="935" t="str">
        <f>INDEX('Orçamento Analítico'!$B:$M,MATCH('ORÇ. SINTÉTICO'!$B90,'Orçamento Analítico'!$B:$B,0)+1,5)</f>
        <v>Escavação Horizontal</v>
      </c>
      <c r="H90" s="934" t="str">
        <f>INDEX('Orçamento Analítico'!$B:$M,MATCH('ORÇ. SINTÉTICO'!B90,'Orçamento Analítico'!$B:$B,0)+1,7)</f>
        <v>m³</v>
      </c>
      <c r="I90" s="944">
        <f>PAVIMENTAÇÃO!R20</f>
        <v>121.74</v>
      </c>
      <c r="J90" s="937">
        <f>INDEX('Orçamento Analítico'!$B:$M,MATCH(B90,'Orçamento Analítico'!$B:$B,0)+1,10)</f>
        <v>15.25</v>
      </c>
      <c r="K90" s="938">
        <f t="shared" si="30"/>
        <v>0.24229999999999999</v>
      </c>
      <c r="L90" s="939">
        <f t="shared" ref="L90:L93" si="85">TRUNC(J90*(1+K90),2)</f>
        <v>18.940000000000001</v>
      </c>
      <c r="M90" s="939">
        <f t="shared" ref="M90" si="86">TRUNC($I90 * J90, 2)</f>
        <v>1856.53</v>
      </c>
      <c r="N90" s="939">
        <f t="shared" ref="N90" si="87">TRUNC($I90 * L90, 2)</f>
        <v>2305.75</v>
      </c>
      <c r="O90" s="928">
        <f t="shared" si="70"/>
        <v>2.9731862928229395E-4</v>
      </c>
      <c r="P90" s="940">
        <f>INDEX('Orçamento Analítico'!$B:$M,MATCH(B90,'Orçamento Analítico'!$B:$B,0)+1,12)</f>
        <v>15.03</v>
      </c>
      <c r="Q90" s="938">
        <f t="shared" si="19"/>
        <v>0.30659999999999998</v>
      </c>
      <c r="R90" s="939">
        <f t="shared" ref="R90" si="88">TRUNC(P90*(1+Q90),2)</f>
        <v>19.63</v>
      </c>
      <c r="S90" s="939">
        <f t="shared" ref="S90" si="89">TRUNC($I90 * P90, 2)</f>
        <v>1829.75</v>
      </c>
      <c r="T90" s="939">
        <f t="shared" ref="T90" si="90">TRUNC($I90 * R90, 2)</f>
        <v>2389.75</v>
      </c>
      <c r="U90" s="928">
        <f t="shared" si="72"/>
        <v>2.9651819175988982E-4</v>
      </c>
    </row>
    <row r="91" spans="2:21" s="956" customFormat="1" ht="31.5" x14ac:dyDescent="0.2">
      <c r="B91" s="945" t="s">
        <v>433</v>
      </c>
      <c r="C91" s="946" t="str">
        <f>INDEX('Orçamento Analítico'!$B:$M,MATCH('ORÇ. SINTÉTICO'!B91,'Orçamento Analítico'!$B:$B,0)+1,2)</f>
        <v xml:space="preserve"> 101118 </v>
      </c>
      <c r="D91" s="946" t="str">
        <f>INDEX('Orçamento Analítico'!$B:$M,MATCH('ORÇ. SINTÉTICO'!B91,'Orçamento Analítico'!$B:$B,0)+1,3)</f>
        <v>SINAPI</v>
      </c>
      <c r="E91" s="946" t="str">
        <f>INDEX('Orçamento Analítico'!$B:$M,MATCH('ORÇ. SINTÉTICO'!B91,'Orçamento Analítico'!$B:$B,0)+1,4)</f>
        <v>ESCAVAÇÃO HORIZONTAL EM SOLO DE 1A CATEGORIA COM TRATOR DE ESTEIRAS (125HP/LÂMINA: 2,70M3). AF_07/2020</v>
      </c>
      <c r="F91" s="947"/>
      <c r="G91" s="948" t="str">
        <f>INDEX('Orçamento Analítico'!$B:$M,MATCH('ORÇ. SINTÉTICO'!$B91,'Orçamento Analítico'!$B:$B,0)+1,5)</f>
        <v>Escavação Horizontal</v>
      </c>
      <c r="H91" s="947" t="str">
        <f>INDEX('Orçamento Analítico'!$B:$M,MATCH('ORÇ. SINTÉTICO'!B91,'Orçamento Analítico'!$B:$B,0)+1,7)</f>
        <v>m³</v>
      </c>
      <c r="I91" s="962">
        <f>PAVIMENTAÇÃO!R21</f>
        <v>7818.46</v>
      </c>
      <c r="J91" s="950">
        <f>INDEX('Orçamento Analítico'!$B:$M,MATCH(B91,'Orçamento Analítico'!$B:$B,0)+1,10)</f>
        <v>3.91</v>
      </c>
      <c r="K91" s="951">
        <f t="shared" si="30"/>
        <v>0.24229999999999999</v>
      </c>
      <c r="L91" s="952">
        <f t="shared" si="85"/>
        <v>4.8499999999999996</v>
      </c>
      <c r="M91" s="952">
        <f t="shared" ref="M91:M95" si="91">TRUNC($I91 * J91, 2)</f>
        <v>30570.17</v>
      </c>
      <c r="N91" s="952">
        <f t="shared" ref="N91:N95" si="92">TRUNC($I91 * L91, 2)</f>
        <v>37919.53</v>
      </c>
      <c r="O91" s="955">
        <f t="shared" si="70"/>
        <v>4.8895945712366141E-3</v>
      </c>
      <c r="P91" s="954">
        <f>INDEX('Orçamento Analítico'!$B:$M,MATCH(B91,'Orçamento Analítico'!$B:$B,0)+1,12)</f>
        <v>3.83</v>
      </c>
      <c r="Q91" s="951">
        <f t="shared" si="19"/>
        <v>0.30659999999999998</v>
      </c>
      <c r="R91" s="952">
        <f t="shared" ref="R91:R95" si="93">TRUNC(P91*(1+Q91),2)</f>
        <v>5</v>
      </c>
      <c r="S91" s="952">
        <f t="shared" ref="S91:S95" si="94">TRUNC($I91 * P91, 2)</f>
        <v>29944.7</v>
      </c>
      <c r="T91" s="952">
        <f t="shared" ref="T91:T95" si="95">TRUNC($I91 * R91, 2)</f>
        <v>39092.300000000003</v>
      </c>
      <c r="U91" s="955">
        <f t="shared" si="72"/>
        <v>4.850540059728064E-3</v>
      </c>
    </row>
    <row r="92" spans="2:21" s="956" customFormat="1" ht="63" x14ac:dyDescent="0.2">
      <c r="B92" s="945" t="s">
        <v>434</v>
      </c>
      <c r="C92" s="946" t="str">
        <f>INDEX('Orçamento Analítico'!$B:$M,MATCH('ORÇ. SINTÉTICO'!B92,'Orçamento Analítico'!$B:$B,0)+1,2)</f>
        <v xml:space="preserve"> 96386 </v>
      </c>
      <c r="D92" s="946" t="str">
        <f>INDEX('Orçamento Analítico'!$B:$M,MATCH('ORÇ. SINTÉTICO'!B92,'Orçamento Analítico'!$B:$B,0)+1,3)</f>
        <v>SINAPI</v>
      </c>
      <c r="E92" s="946" t="str">
        <f>INDEX('Orçamento Analítico'!$B:$M,MATCH('ORÇ. SINTÉTICO'!B92,'Orçamento Analítico'!$B:$B,0)+1,4)</f>
        <v>EXECUÇÃO E COMPACTAÇÃO DE CORPO DE ATERRO (95% DE ENERGIA DO PROCTOR NORMAL) COM SOLO PREDOMINANTEMENTE ARENOSO ESPESSURA 15CM - EXCLUSIVE MATERIAL, ESCAVAÇÃO, CARGA E TRANSPORTE. AF_09/2024</v>
      </c>
      <c r="F92" s="947"/>
      <c r="G92" s="948" t="str">
        <f>INDEX('Orçamento Analítico'!$B:$M,MATCH('ORÇ. SINTÉTICO'!$B92,'Orçamento Analítico'!$B:$B,0)+1,5)</f>
        <v>Aterros, Bases, Sub bases e Imprimações</v>
      </c>
      <c r="H92" s="947" t="str">
        <f>INDEX('Orçamento Analítico'!$B:$M,MATCH('ORÇ. SINTÉTICO'!B92,'Orçamento Analítico'!$B:$B,0)+1,7)</f>
        <v>m³</v>
      </c>
      <c r="I92" s="962">
        <f>PAVIMENTAÇÃO!R22</f>
        <v>93.65</v>
      </c>
      <c r="J92" s="950">
        <f>INDEX('Orçamento Analítico'!$B:$M,MATCH(B92,'Orçamento Analítico'!$B:$B,0)+1,10)</f>
        <v>6.83</v>
      </c>
      <c r="K92" s="951">
        <f t="shared" si="30"/>
        <v>0.24229999999999999</v>
      </c>
      <c r="L92" s="952">
        <f t="shared" si="85"/>
        <v>8.48</v>
      </c>
      <c r="M92" s="952">
        <f t="shared" si="91"/>
        <v>639.62</v>
      </c>
      <c r="N92" s="952">
        <f t="shared" si="92"/>
        <v>794.15</v>
      </c>
      <c r="O92" s="955">
        <f t="shared" si="70"/>
        <v>1.0240294457097852E-4</v>
      </c>
      <c r="P92" s="954">
        <f>INDEX('Orçamento Analítico'!$B:$M,MATCH(B92,'Orçamento Analítico'!$B:$B,0)+1,12)</f>
        <v>6.71</v>
      </c>
      <c r="Q92" s="951">
        <f t="shared" si="19"/>
        <v>0.30659999999999998</v>
      </c>
      <c r="R92" s="952">
        <f t="shared" si="93"/>
        <v>8.76</v>
      </c>
      <c r="S92" s="952">
        <f t="shared" si="94"/>
        <v>628.39</v>
      </c>
      <c r="T92" s="952">
        <f t="shared" si="95"/>
        <v>820.37</v>
      </c>
      <c r="U92" s="955">
        <f t="shared" si="72"/>
        <v>1.0179082706310736E-4</v>
      </c>
    </row>
    <row r="93" spans="2:21" s="930" customFormat="1" ht="63" x14ac:dyDescent="0.2">
      <c r="B93" s="920" t="s">
        <v>435</v>
      </c>
      <c r="C93" s="921" t="str">
        <f>INDEX('Orçamento Analítico'!$B:$M,MATCH('ORÇ. SINTÉTICO'!B93,'Orçamento Analítico'!$B:$B,0)+1,2)</f>
        <v xml:space="preserve"> 100978 </v>
      </c>
      <c r="D93" s="921" t="str">
        <f>INDEX('Orçamento Analítico'!$B:$M,MATCH('ORÇ. SINTÉTICO'!B93,'Orçamento Analítico'!$B:$B,0)+1,3)</f>
        <v>SINAPI</v>
      </c>
      <c r="E93" s="921" t="str">
        <f>INDEX('Orçamento Analítico'!$B:$M,MATCH('ORÇ. SINTÉTICO'!B93,'Orçamento Analítico'!$B:$B,0)+1,4)</f>
        <v>CARGA, MANOBRA E DESCARGA DE SOLOS E MATERIAIS GRANULARES EM CAMINHÃO BASCULANTE 10 M³ - CARGA COM ESCAVADEIRA HIDRÁULICA (CAÇAMBA DE 1,20 M³ / 155 HP) E DESCARGA LIVRE (UNIDADE: M3). AF_07/2020</v>
      </c>
      <c r="F93" s="922"/>
      <c r="G93" s="923" t="str">
        <f>INDEX('Orçamento Analítico'!$B:$M,MATCH('ORÇ. SINTÉTICO'!$B93,'Orçamento Analítico'!$B:$B,0)+1,5)</f>
        <v>Transporte, Carga e Descarga de Materiais</v>
      </c>
      <c r="H93" s="922" t="str">
        <f>INDEX('Orçamento Analítico'!$B:$M,MATCH('ORÇ. SINTÉTICO'!B93,'Orçamento Analítico'!$B:$B,0)+1,7)</f>
        <v>m³</v>
      </c>
      <c r="I93" s="931">
        <f>PAVIMENTAÇÃO!R23</f>
        <v>8991.2199999999993</v>
      </c>
      <c r="J93" s="925">
        <f>INDEX('Orçamento Analítico'!$B:$M,MATCH(B93,'Orçamento Analítico'!$B:$B,0)+1,10)</f>
        <v>7.03</v>
      </c>
      <c r="K93" s="926">
        <f t="shared" si="30"/>
        <v>0.24229999999999999</v>
      </c>
      <c r="L93" s="927">
        <f t="shared" si="85"/>
        <v>8.73</v>
      </c>
      <c r="M93" s="927">
        <f t="shared" si="91"/>
        <v>63208.27</v>
      </c>
      <c r="N93" s="927">
        <f t="shared" si="92"/>
        <v>78493.350000000006</v>
      </c>
      <c r="O93" s="928">
        <f t="shared" si="70"/>
        <v>1.0121450820676722E-2</v>
      </c>
      <c r="P93" s="929">
        <f>INDEX('Orçamento Analítico'!$B:$M,MATCH(B93,'Orçamento Analítico'!$B:$B,0)+1,12)</f>
        <v>6.95</v>
      </c>
      <c r="Q93" s="926">
        <f t="shared" si="19"/>
        <v>0.30659999999999998</v>
      </c>
      <c r="R93" s="927">
        <f t="shared" si="93"/>
        <v>9.08</v>
      </c>
      <c r="S93" s="927">
        <f t="shared" si="94"/>
        <v>62488.97</v>
      </c>
      <c r="T93" s="927">
        <f t="shared" si="95"/>
        <v>81640.27</v>
      </c>
      <c r="U93" s="928">
        <f t="shared" si="72"/>
        <v>1.0129856777984803E-2</v>
      </c>
    </row>
    <row r="94" spans="2:21" s="956" customFormat="1" ht="63" x14ac:dyDescent="0.2">
      <c r="B94" s="945" t="s">
        <v>436</v>
      </c>
      <c r="C94" s="946" t="str">
        <f>INDEX('Orçamento Analítico'!$B:$M,MATCH('ORÇ. SINTÉTICO'!B94,'Orçamento Analítico'!$B:$B,0)+1,2)</f>
        <v xml:space="preserve"> 95875 </v>
      </c>
      <c r="D94" s="946" t="str">
        <f>INDEX('Orçamento Analítico'!$B:$M,MATCH('ORÇ. SINTÉTICO'!B94,'Orçamento Analítico'!$B:$B,0)+1,3)</f>
        <v>SINAPI</v>
      </c>
      <c r="E94" s="946" t="str">
        <f>INDEX('Orçamento Analítico'!$B:$M,MATCH('ORÇ. SINTÉTICO'!B94,'Orçamento Analítico'!$B:$B,0)+1,4)</f>
        <v>TRANSPORTE COM CAMINHÃO BASCULANTE DE 10 M³, EM VIA URBANA PAVIMENTADA, DMT ATÉ 30 KM (UNIDADE: M3XKM). AF_07/2020</v>
      </c>
      <c r="F94" s="947">
        <f>DMT!F13</f>
        <v>4.5999999999999996</v>
      </c>
      <c r="G94" s="948" t="str">
        <f>INDEX('Orçamento Analítico'!$B:$M,MATCH('ORÇ. SINTÉTICO'!$B94,'Orçamento Analítico'!$B:$B,0)+1,5)</f>
        <v>Transporte, Carga e Descarga de Materiais</v>
      </c>
      <c r="H94" s="947" t="str">
        <f>INDEX('Orçamento Analítico'!$B:$M,MATCH('ORÇ. SINTÉTICO'!B94,'Orçamento Analítico'!$B:$B,0)+1,7)</f>
        <v>M3XKM</v>
      </c>
      <c r="I94" s="962">
        <f>PAVIMENTAÇÃO!R24</f>
        <v>46754.39</v>
      </c>
      <c r="J94" s="950">
        <f>INDEX('Orçamento Analítico'!$B:$M,MATCH(B94,'Orçamento Analítico'!$B:$B,0)+1,10)</f>
        <v>2.5</v>
      </c>
      <c r="K94" s="951">
        <f t="shared" si="30"/>
        <v>0.24229999999999999</v>
      </c>
      <c r="L94" s="952">
        <f t="shared" ref="L94" si="96">TRUNC(J94*(1+K94),2)</f>
        <v>3.1</v>
      </c>
      <c r="M94" s="952">
        <f t="shared" si="91"/>
        <v>116885.97</v>
      </c>
      <c r="N94" s="952">
        <f t="shared" si="92"/>
        <v>144938.6</v>
      </c>
      <c r="O94" s="961">
        <f t="shared" si="70"/>
        <v>1.8689340076805679E-2</v>
      </c>
      <c r="P94" s="954">
        <f>INDEX('Orçamento Analítico'!$B:$M,MATCH(B94,'Orçamento Analítico'!$B:$B,0)+1,12)</f>
        <v>2.48</v>
      </c>
      <c r="Q94" s="951">
        <f t="shared" si="19"/>
        <v>0.30659999999999998</v>
      </c>
      <c r="R94" s="952">
        <f t="shared" si="93"/>
        <v>3.24</v>
      </c>
      <c r="S94" s="952">
        <f t="shared" si="94"/>
        <v>115950.88</v>
      </c>
      <c r="T94" s="952">
        <f t="shared" si="95"/>
        <v>151484.22</v>
      </c>
      <c r="U94" s="961"/>
    </row>
    <row r="95" spans="2:21" s="930" customFormat="1" ht="47.25" x14ac:dyDescent="0.2">
      <c r="B95" s="920" t="s">
        <v>1265</v>
      </c>
      <c r="C95" s="921" t="str">
        <f>INDEX('Orçamento Analítico'!$B:$M,MATCH('ORÇ. SINTÉTICO'!B95,'Orçamento Analítico'!$B:$B,0)+1,2)</f>
        <v xml:space="preserve"> 100574 </v>
      </c>
      <c r="D95" s="921" t="str">
        <f>INDEX('Orçamento Analítico'!$B:$M,MATCH('ORÇ. SINTÉTICO'!B95,'Orçamento Analítico'!$B:$B,0)+1,3)</f>
        <v>SINAPI</v>
      </c>
      <c r="E95" s="921" t="str">
        <f>INDEX('Orçamento Analítico'!$B:$M,MATCH('ORÇ. SINTÉTICO'!B95,'Orçamento Analítico'!$B:$B,0)+1,4)</f>
        <v>ESPALHAMENTO DE MATERIAL COM TRATOR DE ESTEIRAS. AF_09/2024</v>
      </c>
      <c r="F95" s="922"/>
      <c r="G95" s="923" t="str">
        <f>INDEX('Orçamento Analítico'!$B:$M,MATCH('ORÇ. SINTÉTICO'!$B95,'Orçamento Analítico'!$B:$B,0)+1,5)</f>
        <v>Aterros, Bases, Sub bases e Imprimações</v>
      </c>
      <c r="H95" s="922" t="str">
        <f>INDEX('Orçamento Analítico'!$B:$M,MATCH('ORÇ. SINTÉTICO'!B95,'Orçamento Analítico'!$B:$B,0)+1,7)</f>
        <v>m³</v>
      </c>
      <c r="I95" s="931">
        <f>PAVIMENTAÇÃO!R25</f>
        <v>7818.46</v>
      </c>
      <c r="J95" s="925">
        <f>INDEX('Orçamento Analítico'!$B:$M,MATCH(B95,'Orçamento Analítico'!$B:$B,0)+1,10)</f>
        <v>1.42</v>
      </c>
      <c r="K95" s="926">
        <f t="shared" si="30"/>
        <v>0.24229999999999999</v>
      </c>
      <c r="L95" s="927">
        <f t="shared" si="31"/>
        <v>1.76</v>
      </c>
      <c r="M95" s="927">
        <f t="shared" si="91"/>
        <v>11102.21</v>
      </c>
      <c r="N95" s="927">
        <f t="shared" si="92"/>
        <v>13760.48</v>
      </c>
      <c r="O95" s="928">
        <f t="shared" si="70"/>
        <v>1.7743671481584822E-3</v>
      </c>
      <c r="P95" s="929">
        <f>INDEX('Orçamento Analítico'!$B:$M,MATCH(B95,'Orçamento Analítico'!$B:$B,0)+1,12)</f>
        <v>1.39</v>
      </c>
      <c r="Q95" s="926">
        <f t="shared" si="19"/>
        <v>0.30659999999999998</v>
      </c>
      <c r="R95" s="927">
        <f t="shared" si="93"/>
        <v>1.81</v>
      </c>
      <c r="S95" s="927">
        <f t="shared" si="94"/>
        <v>10867.65</v>
      </c>
      <c r="T95" s="927">
        <f t="shared" si="95"/>
        <v>14151.41</v>
      </c>
      <c r="U95" s="928">
        <f t="shared" si="72"/>
        <v>1.7558951790157223E-3</v>
      </c>
    </row>
    <row r="96" spans="2:21" x14ac:dyDescent="0.2">
      <c r="B96" s="719" t="s">
        <v>437</v>
      </c>
      <c r="C96" s="840"/>
      <c r="D96" s="840"/>
      <c r="E96" s="720" t="s">
        <v>438</v>
      </c>
      <c r="F96" s="601"/>
      <c r="G96" s="726"/>
      <c r="H96" s="841"/>
      <c r="I96" s="722"/>
      <c r="J96" s="620"/>
      <c r="K96" s="602"/>
      <c r="L96" s="603"/>
      <c r="M96" s="603">
        <f>TRUNC(SUM(M97:M110),2)</f>
        <v>2735179.24</v>
      </c>
      <c r="N96" s="603">
        <f>TRUNC(SUM(N97:N110),2)</f>
        <v>3383900.62</v>
      </c>
      <c r="O96" s="624">
        <f t="shared" si="70"/>
        <v>0.43634248898011696</v>
      </c>
      <c r="P96" s="842"/>
      <c r="Q96" s="602"/>
      <c r="R96" s="603"/>
      <c r="S96" s="603">
        <f>TRUNC(SUM(S97:S110),2)</f>
        <v>2725660.3</v>
      </c>
      <c r="T96" s="603">
        <f>TRUNC(SUM(T97:T110),2)</f>
        <v>3546870.09</v>
      </c>
      <c r="U96" s="624">
        <f t="shared" ref="U96" si="97">T96/$M$135</f>
        <v>0.45735684848798291</v>
      </c>
    </row>
    <row r="97" spans="2:21" s="956" customFormat="1" ht="56.25" customHeight="1" x14ac:dyDescent="0.2">
      <c r="B97" s="945" t="s">
        <v>439</v>
      </c>
      <c r="C97" s="946" t="str">
        <f>INDEX('Orçamento Analítico'!$B:$M,MATCH('ORÇ. SINTÉTICO'!B97,'Orçamento Analítico'!$B:$B,0)+1,2)</f>
        <v xml:space="preserve"> 100577 </v>
      </c>
      <c r="D97" s="946" t="str">
        <f>INDEX('Orçamento Analítico'!$B:$M,MATCH('ORÇ. SINTÉTICO'!B97,'Orçamento Analítico'!$B:$B,0)+1,3)</f>
        <v>SINAPI</v>
      </c>
      <c r="E97" s="946" t="str">
        <f>INDEX('Orçamento Analítico'!$B:$M,MATCH('ORÇ. SINTÉTICO'!B97,'Orçamento Analítico'!$B:$B,0)+1,4)</f>
        <v>REGULARIZAÇÃO E COMPACTAÇÃO DE SUBLEITO DE SOLO PREDOMINANTEMENTE ARENOSO, PARA OBRAS DE CONSTRUÇÃO DE PAVIMENTOS. AF_09/2024</v>
      </c>
      <c r="F97" s="947"/>
      <c r="G97" s="948" t="str">
        <f>INDEX('Orçamento Analítico'!$B:$M,MATCH('ORÇ. SINTÉTICO'!$B97,'Orçamento Analítico'!$B:$B,0)+1,5)</f>
        <v>Aterros, Bases, Sub bases e Imprimações</v>
      </c>
      <c r="H97" s="947" t="str">
        <f>INDEX('Orçamento Analítico'!$B:$M,MATCH('ORÇ. SINTÉTICO'!B97,'Orçamento Analítico'!$B:$B,0)+1,7)</f>
        <v>m²</v>
      </c>
      <c r="I97" s="959">
        <f>PAVIMENTAÇÃO!P18</f>
        <v>31000.51</v>
      </c>
      <c r="J97" s="950">
        <f>INDEX('Orçamento Analítico'!$B:$M,MATCH(B97,'Orçamento Analítico'!$B:$B,0)+1,10)</f>
        <v>1.49</v>
      </c>
      <c r="K97" s="951">
        <f t="shared" si="30"/>
        <v>0.24229999999999999</v>
      </c>
      <c r="L97" s="952">
        <f t="shared" si="31"/>
        <v>1.85</v>
      </c>
      <c r="M97" s="952">
        <f t="shared" si="32"/>
        <v>46190.75</v>
      </c>
      <c r="N97" s="952">
        <f t="shared" si="33"/>
        <v>57350.94</v>
      </c>
      <c r="O97" s="955">
        <f t="shared" si="70"/>
        <v>7.3952088773072038E-3</v>
      </c>
      <c r="P97" s="954">
        <f>INDEX('Orçamento Analítico'!$B:$M,MATCH(B97,'Orçamento Analítico'!$B:$B,0)+1,12)</f>
        <v>1.46</v>
      </c>
      <c r="Q97" s="951">
        <f t="shared" si="19"/>
        <v>0.30659999999999998</v>
      </c>
      <c r="R97" s="952">
        <f t="shared" ref="R97" si="98">TRUNC(P97*(1+Q97),2)</f>
        <v>1.9</v>
      </c>
      <c r="S97" s="952">
        <f t="shared" ref="S97" si="99">TRUNC($I97 * P97, 2)</f>
        <v>45260.74</v>
      </c>
      <c r="T97" s="952">
        <f t="shared" ref="T97" si="100">TRUNC($I97 * R97, 2)</f>
        <v>58900.959999999999</v>
      </c>
      <c r="U97" s="955">
        <f t="shared" si="72"/>
        <v>7.3083821119872784E-3</v>
      </c>
    </row>
    <row r="98" spans="2:21" s="956" customFormat="1" ht="47.25" x14ac:dyDescent="0.2">
      <c r="B98" s="945" t="s">
        <v>440</v>
      </c>
      <c r="C98" s="946" t="str">
        <f>INDEX('Orçamento Analítico'!$B:$M,MATCH('ORÇ. SINTÉTICO'!B98,'Orçamento Analítico'!$B:$B,0)+1,2)</f>
        <v xml:space="preserve"> 96396 </v>
      </c>
      <c r="D98" s="946" t="str">
        <f>INDEX('Orçamento Analítico'!$B:$M,MATCH('ORÇ. SINTÉTICO'!B98,'Orçamento Analítico'!$B:$B,0)+1,3)</f>
        <v>SINAPI</v>
      </c>
      <c r="E98" s="946" t="str">
        <f>INDEX('Orçamento Analítico'!$B:$M,MATCH('ORÇ. SINTÉTICO'!B98,'Orçamento Analítico'!$B:$B,0)+1,4)</f>
        <v>CONSTRUÇÃO DE BASE E SUB-BASE PARA PAVIMENTAÇÃO DE BRITA GRADUADA SIMPLES, COM ESPESSURA DE 15 CM - EXCLUSIVE CARGA E TRANSPORTE. AF_09/2024</v>
      </c>
      <c r="F98" s="947"/>
      <c r="G98" s="948" t="str">
        <f>INDEX('Orçamento Analítico'!$B:$M,MATCH('ORÇ. SINTÉTICO'!$B98,'Orçamento Analítico'!$B:$B,0)+1,5)</f>
        <v>Aterros, Bases, Sub bases e Imprimações</v>
      </c>
      <c r="H98" s="947" t="str">
        <f>INDEX('Orçamento Analítico'!$B:$M,MATCH('ORÇ. SINTÉTICO'!B98,'Orçamento Analítico'!$B:$B,0)+1,7)</f>
        <v>m³</v>
      </c>
      <c r="I98" s="959">
        <f>PAVIMENTAÇÃO!W18</f>
        <v>4157.8599999999997</v>
      </c>
      <c r="J98" s="950">
        <f>INDEX('Orçamento Analítico'!$B:$M,MATCH(B98,'Orçamento Analítico'!$B:$B,0)+1,10)</f>
        <v>172.61</v>
      </c>
      <c r="K98" s="951">
        <f t="shared" si="30"/>
        <v>0.24229999999999999</v>
      </c>
      <c r="L98" s="952">
        <f t="shared" si="31"/>
        <v>214.43</v>
      </c>
      <c r="M98" s="952">
        <f t="shared" ref="M98:M110" si="101">TRUNC($I98 * J98, 2)</f>
        <v>717688.21</v>
      </c>
      <c r="N98" s="952">
        <f t="shared" ref="N98:N110" si="102">TRUNC($I98 * L98, 2)</f>
        <v>891569.91</v>
      </c>
      <c r="O98" s="955">
        <f t="shared" si="70"/>
        <v>0.11496491100532936</v>
      </c>
      <c r="P98" s="954">
        <f>INDEX('Orçamento Analítico'!$B:$M,MATCH(B98,'Orçamento Analítico'!$B:$B,0)+1,12)</f>
        <v>172.13</v>
      </c>
      <c r="Q98" s="951">
        <f t="shared" si="19"/>
        <v>0.30659999999999998</v>
      </c>
      <c r="R98" s="952">
        <f t="shared" ref="R98:R110" si="103">TRUNC(P98*(1+Q98),2)</f>
        <v>224.9</v>
      </c>
      <c r="S98" s="952">
        <f t="shared" ref="S98:S110" si="104">TRUNC($I98 * P98, 2)</f>
        <v>715692.44</v>
      </c>
      <c r="T98" s="952">
        <f t="shared" ref="T98:T110" si="105">TRUNC($I98 * R98, 2)</f>
        <v>935102.71</v>
      </c>
      <c r="U98" s="955">
        <f t="shared" si="72"/>
        <v>0.11602676626382367</v>
      </c>
    </row>
    <row r="99" spans="2:21" s="941" customFormat="1" ht="63" x14ac:dyDescent="0.2">
      <c r="B99" s="932" t="s">
        <v>441</v>
      </c>
      <c r="C99" s="933" t="str">
        <f>INDEX('Orçamento Analítico'!$B:$M,MATCH('ORÇ. SINTÉTICO'!B99,'Orçamento Analítico'!$B:$B,0)+1,2)</f>
        <v xml:space="preserve"> 100978 </v>
      </c>
      <c r="D99" s="933" t="str">
        <f>INDEX('Orçamento Analítico'!$B:$M,MATCH('ORÇ. SINTÉTICO'!B99,'Orçamento Analítico'!$B:$B,0)+1,3)</f>
        <v>SINAPI</v>
      </c>
      <c r="E99" s="933" t="str">
        <f>INDEX('Orçamento Analítico'!$B:$M,MATCH('ORÇ. SINTÉTICO'!B99,'Orçamento Analítico'!$B:$B,0)+1,4)</f>
        <v>CARGA, MANOBRA E DESCARGA DE SOLOS E MATERIAIS GRANULARES EM CAMINHÃO BASCULANTE 10 M³ - CARGA COM ESCAVADEIRA HIDRÁULICA (CAÇAMBA DE 1,20 M³ / 155 HP) E DESCARGA LIVRE (UNIDADE: M3). AF_07/2020</v>
      </c>
      <c r="F99" s="934"/>
      <c r="G99" s="935" t="str">
        <f>INDEX('Orçamento Analítico'!$B:$M,MATCH('ORÇ. SINTÉTICO'!$B99,'Orçamento Analítico'!$B:$B,0)+1,5)</f>
        <v>Transporte, Carga e Descarga de Materiais</v>
      </c>
      <c r="H99" s="934" t="str">
        <f>INDEX('Orçamento Analítico'!$B:$M,MATCH('ORÇ. SINTÉTICO'!B99,'Orçamento Analítico'!$B:$B,0)+1,7)</f>
        <v>m³</v>
      </c>
      <c r="I99" s="936">
        <f>PAVIMENTAÇÃO!W20</f>
        <v>6098.12</v>
      </c>
      <c r="J99" s="937">
        <f>INDEX('Orçamento Analítico'!$B:$M,MATCH(B99,'Orçamento Analítico'!$B:$B,0)+1,10)</f>
        <v>7.03</v>
      </c>
      <c r="K99" s="938">
        <f t="shared" si="30"/>
        <v>0.24229999999999999</v>
      </c>
      <c r="L99" s="939">
        <f t="shared" si="31"/>
        <v>8.73</v>
      </c>
      <c r="M99" s="939">
        <f t="shared" si="101"/>
        <v>42869.78</v>
      </c>
      <c r="N99" s="939">
        <f t="shared" si="102"/>
        <v>53236.58</v>
      </c>
      <c r="O99" s="928">
        <f t="shared" si="70"/>
        <v>6.864676132831914E-3</v>
      </c>
      <c r="P99" s="940">
        <f>INDEX('Orçamento Analítico'!$B:$M,MATCH(B99,'Orçamento Analítico'!$B:$B,0)+1,12)</f>
        <v>6.95</v>
      </c>
      <c r="Q99" s="938">
        <f t="shared" si="19"/>
        <v>0.30659999999999998</v>
      </c>
      <c r="R99" s="939">
        <f t="shared" si="103"/>
        <v>9.08</v>
      </c>
      <c r="S99" s="939">
        <f t="shared" si="104"/>
        <v>42381.93</v>
      </c>
      <c r="T99" s="939">
        <f t="shared" si="105"/>
        <v>55370.92</v>
      </c>
      <c r="U99" s="928">
        <f t="shared" si="72"/>
        <v>6.8703776857334522E-3</v>
      </c>
    </row>
    <row r="100" spans="2:21" s="956" customFormat="1" ht="63" x14ac:dyDescent="0.2">
      <c r="B100" s="945" t="s">
        <v>442</v>
      </c>
      <c r="C100" s="946" t="str">
        <f>INDEX('Orçamento Analítico'!$B:$M,MATCH('ORÇ. SINTÉTICO'!B100,'Orçamento Analítico'!$B:$B,0)+1,2)</f>
        <v xml:space="preserve"> 95875 </v>
      </c>
      <c r="D100" s="946" t="str">
        <f>INDEX('Orçamento Analítico'!$B:$M,MATCH('ORÇ. SINTÉTICO'!B100,'Orçamento Analítico'!$B:$B,0)+1,3)</f>
        <v>SINAPI</v>
      </c>
      <c r="E100" s="946" t="str">
        <f>INDEX('Orçamento Analítico'!$B:$M,MATCH('ORÇ. SINTÉTICO'!B100,'Orçamento Analítico'!$B:$B,0)+1,4)</f>
        <v>TRANSPORTE COM CAMINHÃO BASCULANTE DE 10 M³, EM VIA URBANA PAVIMENTADA, DMT ATÉ 30 KM (UNIDADE: M3XKM). AF_07/2020</v>
      </c>
      <c r="F100" s="947">
        <f>DMT!F9</f>
        <v>18.2</v>
      </c>
      <c r="G100" s="948" t="str">
        <f>INDEX('Orçamento Analítico'!$B:$M,MATCH('ORÇ. SINTÉTICO'!$B100,'Orçamento Analítico'!$B:$B,0)+1,5)</f>
        <v>Transporte, Carga e Descarga de Materiais</v>
      </c>
      <c r="H100" s="947" t="str">
        <f>INDEX('Orçamento Analítico'!$B:$M,MATCH('ORÇ. SINTÉTICO'!B100,'Orçamento Analítico'!$B:$B,0)+1,7)</f>
        <v>M3XKM</v>
      </c>
      <c r="I100" s="959">
        <f>PAVIMENTAÇÃO!W21</f>
        <v>110985.78</v>
      </c>
      <c r="J100" s="950">
        <f>INDEX('Orçamento Analítico'!$B:$M,MATCH(B100,'Orçamento Analítico'!$B:$B,0)+1,10)</f>
        <v>2.5</v>
      </c>
      <c r="K100" s="951">
        <f t="shared" si="30"/>
        <v>0.24229999999999999</v>
      </c>
      <c r="L100" s="952">
        <f t="shared" si="31"/>
        <v>3.1</v>
      </c>
      <c r="M100" s="952">
        <f t="shared" si="101"/>
        <v>277464.45</v>
      </c>
      <c r="N100" s="952">
        <f t="shared" si="102"/>
        <v>344055.91</v>
      </c>
      <c r="O100" s="955">
        <f t="shared" ref="O100:O129" si="106">N100/$M$135</f>
        <v>4.4364840749288641E-2</v>
      </c>
      <c r="P100" s="954">
        <f>INDEX('Orçamento Analítico'!$B:$M,MATCH(B100,'Orçamento Analítico'!$B:$B,0)+1,12)</f>
        <v>2.48</v>
      </c>
      <c r="Q100" s="951">
        <f t="shared" si="19"/>
        <v>0.30659999999999998</v>
      </c>
      <c r="R100" s="952">
        <f t="shared" si="103"/>
        <v>3.24</v>
      </c>
      <c r="S100" s="952">
        <f t="shared" si="104"/>
        <v>275244.73</v>
      </c>
      <c r="T100" s="952">
        <f t="shared" si="105"/>
        <v>359593.92</v>
      </c>
      <c r="U100" s="955">
        <f t="shared" si="72"/>
        <v>4.4618114416257126E-2</v>
      </c>
    </row>
    <row r="101" spans="2:21" s="956" customFormat="1" ht="31.5" x14ac:dyDescent="0.2">
      <c r="B101" s="945" t="s">
        <v>443</v>
      </c>
      <c r="C101" s="946" t="str">
        <f>INDEX('Orçamento Analítico'!$B:$M,MATCH('ORÇ. SINTÉTICO'!B101,'Orçamento Analítico'!$B:$B,0)+1,2)</f>
        <v xml:space="preserve"> PAV.IMPRIM. </v>
      </c>
      <c r="D101" s="946" t="str">
        <f>INDEX('Orçamento Analítico'!$B:$M,MATCH('ORÇ. SINTÉTICO'!B101,'Orçamento Analítico'!$B:$B,0)+1,3)</f>
        <v>Próprio</v>
      </c>
      <c r="E101" s="946" t="str">
        <f>INDEX('Orçamento Analítico'!$B:$M,MATCH('ORÇ. SINTÉTICO'!B101,'Orçamento Analítico'!$B:$B,0)+1,4)</f>
        <v>EXECUÇÃO DE IMPRIMAÇÃO COM EMULSÃO ASFÁLTICA A BASE DÁGUA. (SEM FORNECIMENTO DO EAI)</v>
      </c>
      <c r="F101" s="947"/>
      <c r="G101" s="948" t="str">
        <f>INDEX('Orçamento Analítico'!$B:$M,MATCH('ORÇ. SINTÉTICO'!$B101,'Orçamento Analítico'!$B:$B,0)+1,5)</f>
        <v>PAVI - PAVIMENTAÇÃO</v>
      </c>
      <c r="H101" s="947" t="str">
        <f>INDEX('Orçamento Analítico'!$B:$M,MATCH('ORÇ. SINTÉTICO'!B101,'Orçamento Analítico'!$B:$B,0)+1,7)</f>
        <v>m²</v>
      </c>
      <c r="I101" s="959">
        <f>PAVIMENTAÇÃO!X18</f>
        <v>27207.08</v>
      </c>
      <c r="J101" s="950">
        <f>INDEX('Orçamento Analítico'!$B:$M,MATCH(B101,'Orçamento Analítico'!$B:$B,0)+1,10)</f>
        <v>1.1399999999999999</v>
      </c>
      <c r="K101" s="951">
        <f t="shared" si="30"/>
        <v>0.24229999999999999</v>
      </c>
      <c r="L101" s="952">
        <f t="shared" si="31"/>
        <v>1.41</v>
      </c>
      <c r="M101" s="952">
        <f t="shared" si="101"/>
        <v>31016.07</v>
      </c>
      <c r="N101" s="952">
        <f t="shared" si="102"/>
        <v>38361.980000000003</v>
      </c>
      <c r="O101" s="955">
        <f t="shared" si="106"/>
        <v>4.9466469956217177E-3</v>
      </c>
      <c r="P101" s="954">
        <f>INDEX('Orçamento Analítico'!$B:$M,MATCH(B101,'Orçamento Analítico'!$B:$B,0)+1,12)</f>
        <v>1.1200000000000001</v>
      </c>
      <c r="Q101" s="951">
        <f t="shared" si="19"/>
        <v>0.30659999999999998</v>
      </c>
      <c r="R101" s="952">
        <f t="shared" si="103"/>
        <v>1.46</v>
      </c>
      <c r="S101" s="952">
        <f t="shared" si="104"/>
        <v>30471.919999999998</v>
      </c>
      <c r="T101" s="952">
        <f t="shared" si="105"/>
        <v>39722.33</v>
      </c>
      <c r="U101" s="955">
        <f t="shared" si="72"/>
        <v>4.9287136579515113E-3</v>
      </c>
    </row>
    <row r="102" spans="2:21" s="956" customFormat="1" x14ac:dyDescent="0.2">
      <c r="B102" s="945" t="s">
        <v>1457</v>
      </c>
      <c r="C102" s="946" t="str">
        <f>INDEX('Orçamento Analítico'!$B:$M,MATCH('ORÇ. SINTÉTICO'!B102,'Orçamento Analítico'!$B:$B,0)+1,2)</f>
        <v xml:space="preserve"> COT.EAI.MS</v>
      </c>
      <c r="D102" s="946" t="str">
        <f>INDEX('Orçamento Analítico'!$B:$M,MATCH('ORÇ. SINTÉTICO'!B102,'Orçamento Analítico'!$B:$B,0)+1,3)</f>
        <v>Próprio</v>
      </c>
      <c r="E102" s="946" t="str">
        <f>INDEX('Orçamento Analítico'!$B:$M,MATCH('ORÇ. SINTÉTICO'!B102,'Orçamento Analítico'!$B:$B,0)+1,4)</f>
        <v>EMULSÃO ASFALTICA PARA IMPRIMAÇÃO</v>
      </c>
      <c r="F102" s="947"/>
      <c r="G102" s="948" t="str">
        <f>INDEX('Orçamento Analítico'!$B:$M,MATCH('ORÇ. SINTÉTICO'!$B102,'Orçamento Analítico'!$B:$B,0)+1,5)</f>
        <v>Material</v>
      </c>
      <c r="H102" s="947" t="str">
        <f>INDEX('Orçamento Analítico'!$B:$M,MATCH('ORÇ. SINTÉTICO'!B102,'Orçamento Analítico'!$B:$B,0)+1,7)</f>
        <v>T</v>
      </c>
      <c r="I102" s="959">
        <f>PAVIMENTAÇÃO!Y18</f>
        <v>32.64</v>
      </c>
      <c r="J102" s="950">
        <f>INDEX('Orçamento Analítico'!$B:$M,MATCH(B102,'Orçamento Analítico'!$B:$B,0)+1,10)</f>
        <v>3000</v>
      </c>
      <c r="K102" s="951">
        <f t="shared" si="30"/>
        <v>0.1527</v>
      </c>
      <c r="L102" s="952">
        <f t="shared" si="31"/>
        <v>3458.1</v>
      </c>
      <c r="M102" s="952">
        <f t="shared" si="101"/>
        <v>97920</v>
      </c>
      <c r="N102" s="952">
        <f t="shared" si="102"/>
        <v>112872.38</v>
      </c>
      <c r="O102" s="955">
        <f t="shared" si="106"/>
        <v>1.4554509944890041E-2</v>
      </c>
      <c r="P102" s="954">
        <f>INDEX('Orçamento Analítico'!$B:$M,MATCH(B102,'Orçamento Analítico'!$B:$B,0)+1,12)</f>
        <v>3000</v>
      </c>
      <c r="Q102" s="951">
        <f t="shared" si="19"/>
        <v>0.2092</v>
      </c>
      <c r="R102" s="952">
        <f t="shared" si="103"/>
        <v>3627.6</v>
      </c>
      <c r="S102" s="952">
        <f t="shared" si="104"/>
        <v>97920</v>
      </c>
      <c r="T102" s="952">
        <f t="shared" si="105"/>
        <v>118404.86</v>
      </c>
      <c r="U102" s="955">
        <f t="shared" si="72"/>
        <v>1.4691576517536524E-2</v>
      </c>
    </row>
    <row r="103" spans="2:21" s="956" customFormat="1" ht="63" x14ac:dyDescent="0.2">
      <c r="B103" s="945" t="s">
        <v>444</v>
      </c>
      <c r="C103" s="946" t="str">
        <f>INDEX('Orçamento Analítico'!$B:$M,MATCH('ORÇ. SINTÉTICO'!B103,'Orçamento Analítico'!$B:$B,0)+1,2)</f>
        <v xml:space="preserve"> 102330 </v>
      </c>
      <c r="D103" s="946" t="str">
        <f>INDEX('Orçamento Analítico'!$B:$M,MATCH('ORÇ. SINTÉTICO'!B103,'Orçamento Analítico'!$B:$B,0)+1,3)</f>
        <v>SINAPI</v>
      </c>
      <c r="E103" s="946" t="str">
        <f>INDEX('Orçamento Analítico'!$B:$M,MATCH('ORÇ. SINTÉTICO'!B103,'Orçamento Analítico'!$B:$B,0)+1,4)</f>
        <v>TRANSPORTE COM CAMINHÃO TANQUE DE TRANSPORTE DE MATERIAL ASFÁLTICO DE 30000 L, EM VIA URBANA PAVIMENTADA, DMT ATÉ 30KM (UNIDADE: TXKM). AF_07/2020</v>
      </c>
      <c r="F103" s="947">
        <v>30</v>
      </c>
      <c r="G103" s="948" t="str">
        <f>INDEX('Orçamento Analítico'!$B:$M,MATCH('ORÇ. SINTÉTICO'!$B103,'Orçamento Analítico'!$B:$B,0)+1,5)</f>
        <v>Transporte, Carga e Descarga de Materiais</v>
      </c>
      <c r="H103" s="947" t="str">
        <f>INDEX('Orçamento Analítico'!$B:$M,MATCH('ORÇ. SINTÉTICO'!B103,'Orçamento Analítico'!$B:$B,0)+1,7)</f>
        <v>TXKM</v>
      </c>
      <c r="I103" s="959">
        <f>PAVIMENTAÇÃO!AA20</f>
        <v>979.2</v>
      </c>
      <c r="J103" s="950">
        <f>INDEX('Orçamento Analítico'!$B:$M,MATCH(B103,'Orçamento Analítico'!$B:$B,0)+1,10)</f>
        <v>1.41</v>
      </c>
      <c r="K103" s="951">
        <f t="shared" si="30"/>
        <v>0.24229999999999999</v>
      </c>
      <c r="L103" s="952">
        <f t="shared" si="31"/>
        <v>1.75</v>
      </c>
      <c r="M103" s="952">
        <f t="shared" si="101"/>
        <v>1380.67</v>
      </c>
      <c r="N103" s="952">
        <f t="shared" si="102"/>
        <v>1713.6</v>
      </c>
      <c r="O103" s="955">
        <f t="shared" si="106"/>
        <v>2.2096289846606912E-4</v>
      </c>
      <c r="P103" s="954">
        <f>INDEX('Orçamento Analítico'!$B:$M,MATCH(B103,'Orçamento Analítico'!$B:$B,0)+1,12)</f>
        <v>1.4</v>
      </c>
      <c r="Q103" s="951">
        <f t="shared" si="19"/>
        <v>0.30659999999999998</v>
      </c>
      <c r="R103" s="952">
        <f t="shared" si="103"/>
        <v>1.82</v>
      </c>
      <c r="S103" s="952">
        <f t="shared" si="104"/>
        <v>1370.88</v>
      </c>
      <c r="T103" s="952">
        <f t="shared" si="105"/>
        <v>1782.14</v>
      </c>
      <c r="U103" s="955">
        <f t="shared" si="72"/>
        <v>2.2112644848330164E-4</v>
      </c>
    </row>
    <row r="104" spans="2:21" s="956" customFormat="1" ht="63" x14ac:dyDescent="0.2">
      <c r="B104" s="945" t="s">
        <v>445</v>
      </c>
      <c r="C104" s="946" t="str">
        <f>INDEX('Orçamento Analítico'!$B:$M,MATCH('ORÇ. SINTÉTICO'!B104,'Orçamento Analítico'!$B:$B,0)+1,2)</f>
        <v xml:space="preserve"> 102331 </v>
      </c>
      <c r="D104" s="946" t="str">
        <f>INDEX('Orçamento Analítico'!$B:$M,MATCH('ORÇ. SINTÉTICO'!B104,'Orçamento Analítico'!$B:$B,0)+1,3)</f>
        <v>SINAPI</v>
      </c>
      <c r="E104" s="946" t="str">
        <f>INDEX('Orçamento Analítico'!$B:$M,MATCH('ORÇ. SINTÉTICO'!B104,'Orçamento Analítico'!$B:$B,0)+1,4)</f>
        <v>TRANSPORTE COM CAMINHÃO TANQUE DE TRANSPORTE DE MATERIAL ASFÁLTICO DE 30000 L, EM VIA URBANA PAVIMENTADA, ADICIONAL PARA DMT EXCEDENTE A 30 KM (UNIDADE: TXKM). AF_07/2020</v>
      </c>
      <c r="F104" s="947">
        <f>DMT!F7-30</f>
        <v>308</v>
      </c>
      <c r="G104" s="948" t="str">
        <f>INDEX('Orçamento Analítico'!$B:$M,MATCH('ORÇ. SINTÉTICO'!$B104,'Orçamento Analítico'!$B:$B,0)+1,5)</f>
        <v>Transporte, Carga e Descarga de Materiais</v>
      </c>
      <c r="H104" s="947" t="str">
        <f>INDEX('Orçamento Analítico'!$B:$M,MATCH('ORÇ. SINTÉTICO'!B104,'Orçamento Analítico'!$B:$B,0)+1,7)</f>
        <v>TXKM</v>
      </c>
      <c r="I104" s="959">
        <f>PAVIMENTAÇÃO!AA21</f>
        <v>10053.120000000001</v>
      </c>
      <c r="J104" s="950">
        <f>INDEX('Orçamento Analítico'!$B:$M,MATCH(B104,'Orçamento Analítico'!$B:$B,0)+1,10)</f>
        <v>0.55000000000000004</v>
      </c>
      <c r="K104" s="951">
        <f t="shared" si="30"/>
        <v>0.24229999999999999</v>
      </c>
      <c r="L104" s="952">
        <f t="shared" ref="L104" si="107">TRUNC(J104*(1+K104),2)</f>
        <v>0.68</v>
      </c>
      <c r="M104" s="952">
        <f t="shared" si="101"/>
        <v>5529.21</v>
      </c>
      <c r="N104" s="952">
        <f t="shared" si="102"/>
        <v>6836.12</v>
      </c>
      <c r="O104" s="955">
        <f t="shared" si="106"/>
        <v>8.8149444996607409E-4</v>
      </c>
      <c r="P104" s="954">
        <f>INDEX('Orçamento Analítico'!$B:$M,MATCH(B104,'Orçamento Analítico'!$B:$B,0)+1,12)</f>
        <v>0.54</v>
      </c>
      <c r="Q104" s="951">
        <f t="shared" si="19"/>
        <v>0.30659999999999998</v>
      </c>
      <c r="R104" s="952">
        <f t="shared" si="103"/>
        <v>0.7</v>
      </c>
      <c r="S104" s="952">
        <f t="shared" si="104"/>
        <v>5428.68</v>
      </c>
      <c r="T104" s="952">
        <f t="shared" si="105"/>
        <v>7037.18</v>
      </c>
      <c r="U104" s="955">
        <f t="shared" si="72"/>
        <v>8.7316743956014707E-4</v>
      </c>
    </row>
    <row r="105" spans="2:21" s="956" customFormat="1" ht="31.5" x14ac:dyDescent="0.2">
      <c r="B105" s="945" t="s">
        <v>446</v>
      </c>
      <c r="C105" s="946" t="str">
        <f>INDEX('Orçamento Analítico'!$B:$M,MATCH('ORÇ. SINTÉTICO'!B105,'Orçamento Analítico'!$B:$B,0)+1,2)</f>
        <v xml:space="preserve"> PAV.PINT.LIG. </v>
      </c>
      <c r="D105" s="946" t="str">
        <f>INDEX('Orçamento Analítico'!$B:$M,MATCH('ORÇ. SINTÉTICO'!B105,'Orçamento Analítico'!$B:$B,0)+1,3)</f>
        <v>Próprio</v>
      </c>
      <c r="E105" s="946" t="str">
        <f>INDEX('Orçamento Analítico'!$B:$M,MATCH('ORÇ. SINTÉTICO'!B105,'Orçamento Analítico'!$B:$B,0)+1,4)</f>
        <v>EXECUÇÃO DE PINTURA DE LIGAÇÃO COM EMULSÃO ASFÁLTICA. (REF. SINAPI 96402). (EXCLUSIVE INSUMO)</v>
      </c>
      <c r="F105" s="947"/>
      <c r="G105" s="948" t="str">
        <f>INDEX('Orçamento Analítico'!$B:$M,MATCH('ORÇ. SINTÉTICO'!$B105,'Orçamento Analítico'!$B:$B,0)+1,5)</f>
        <v>PAVI - PAVIMENTAÇÃO</v>
      </c>
      <c r="H105" s="947" t="str">
        <f>INDEX('Orçamento Analítico'!$B:$M,MATCH('ORÇ. SINTÉTICO'!B105,'Orçamento Analítico'!$B:$B,0)+1,7)</f>
        <v>m²</v>
      </c>
      <c r="I105" s="959">
        <f>PAVIMENTAÇÃO!Z18</f>
        <v>27207.08</v>
      </c>
      <c r="J105" s="950">
        <f>INDEX('Orçamento Analítico'!$B:$M,MATCH(B105,'Orçamento Analítico'!$B:$B,0)+1,10)</f>
        <v>0.98</v>
      </c>
      <c r="K105" s="951">
        <f t="shared" ref="K105" si="108">IF((OR($G105="MATERIAL",$G105="Equipamento")),K$5,K$4)</f>
        <v>0.24229999999999999</v>
      </c>
      <c r="L105" s="952">
        <f t="shared" ref="L105" si="109">TRUNC(J105*(1+K105),2)</f>
        <v>1.21</v>
      </c>
      <c r="M105" s="952">
        <f t="shared" si="101"/>
        <v>26662.93</v>
      </c>
      <c r="N105" s="952">
        <f t="shared" si="102"/>
        <v>32920.559999999998</v>
      </c>
      <c r="O105" s="955">
        <f t="shared" si="106"/>
        <v>4.2449943725059152E-3</v>
      </c>
      <c r="P105" s="954">
        <f>INDEX('Orçamento Analítico'!$B:$M,MATCH(B105,'Orçamento Analítico'!$B:$B,0)+1,12)</f>
        <v>0.95</v>
      </c>
      <c r="Q105" s="951">
        <f t="shared" ref="Q105:Q110" si="110">IF((OR($G105="MATERIAL",$G105="Equipamento")),Q$5,Q$4)</f>
        <v>0.30659999999999998</v>
      </c>
      <c r="R105" s="952">
        <f t="shared" si="103"/>
        <v>1.24</v>
      </c>
      <c r="S105" s="952">
        <f t="shared" si="104"/>
        <v>25846.720000000001</v>
      </c>
      <c r="T105" s="952">
        <f t="shared" si="105"/>
        <v>33736.769999999997</v>
      </c>
      <c r="U105" s="955">
        <f t="shared" si="72"/>
        <v>4.1860303530575575E-3</v>
      </c>
    </row>
    <row r="106" spans="2:21" s="956" customFormat="1" ht="31.5" x14ac:dyDescent="0.2">
      <c r="B106" s="945" t="s">
        <v>1458</v>
      </c>
      <c r="C106" s="946" t="str">
        <f>INDEX('Orçamento Analítico'!$B:$M,MATCH('ORÇ. SINTÉTICO'!B106,'Orçamento Analítico'!$B:$B,0)+1,2)</f>
        <v xml:space="preserve"> COT.RR-2C.MS </v>
      </c>
      <c r="D106" s="946" t="str">
        <f>INDEX('Orçamento Analítico'!$B:$M,MATCH('ORÇ. SINTÉTICO'!B106,'Orçamento Analítico'!$B:$B,0)+1,3)</f>
        <v>Próprio</v>
      </c>
      <c r="E106" s="946" t="str">
        <f>INDEX('Orçamento Analítico'!$B:$M,MATCH('ORÇ. SINTÉTICO'!B106,'Orçamento Analítico'!$B:$B,0)+1,4)</f>
        <v>EMULSAO ASFALTICA CATIONICA RR-2C PARA USO EM PAVIMENTACAO ASFALTICA</v>
      </c>
      <c r="F106" s="947"/>
      <c r="G106" s="948" t="str">
        <f>INDEX('Orçamento Analítico'!$B:$M,MATCH('ORÇ. SINTÉTICO'!$B106,'Orçamento Analítico'!$B:$B,0)+1,5)</f>
        <v>Material</v>
      </c>
      <c r="H106" s="947" t="str">
        <f>INDEX('Orçamento Analítico'!$B:$M,MATCH('ORÇ. SINTÉTICO'!B106,'Orçamento Analítico'!$B:$B,0)+1,7)</f>
        <v>T</v>
      </c>
      <c r="I106" s="959">
        <f>PAVIMENTAÇÃO!AA18</f>
        <v>12.24</v>
      </c>
      <c r="J106" s="950">
        <f>INDEX('Orçamento Analítico'!$B:$M,MATCH(B106,'Orçamento Analítico'!$B:$B,0)+1,10)</f>
        <v>3700</v>
      </c>
      <c r="K106" s="951">
        <f t="shared" ref="K106:K131" si="111">IF((OR($G106="MATERIAL",$G106="Equipamento")),K$5,K$4)</f>
        <v>0.1527</v>
      </c>
      <c r="L106" s="952">
        <f t="shared" ref="L106:L113" si="112">TRUNC(J106*(1+K106),2)</f>
        <v>4264.99</v>
      </c>
      <c r="M106" s="952">
        <f t="shared" si="101"/>
        <v>45288</v>
      </c>
      <c r="N106" s="952">
        <f t="shared" si="102"/>
        <v>52203.47</v>
      </c>
      <c r="O106" s="955">
        <f t="shared" si="106"/>
        <v>6.731460108068678E-3</v>
      </c>
      <c r="P106" s="954">
        <f>INDEX('Orçamento Analítico'!$B:$M,MATCH(B106,'Orçamento Analítico'!$B:$B,0)+1,12)</f>
        <v>3700</v>
      </c>
      <c r="Q106" s="951">
        <f t="shared" si="110"/>
        <v>0.2092</v>
      </c>
      <c r="R106" s="952">
        <f t="shared" si="103"/>
        <v>4474.04</v>
      </c>
      <c r="S106" s="952">
        <f t="shared" si="104"/>
        <v>45288</v>
      </c>
      <c r="T106" s="952">
        <f t="shared" si="105"/>
        <v>54762.239999999998</v>
      </c>
      <c r="U106" s="955">
        <f t="shared" si="72"/>
        <v>6.7948531777470896E-3</v>
      </c>
    </row>
    <row r="107" spans="2:21" s="956" customFormat="1" ht="63" x14ac:dyDescent="0.2">
      <c r="B107" s="945" t="s">
        <v>447</v>
      </c>
      <c r="C107" s="946" t="str">
        <f>INDEX('Orçamento Analítico'!$B:$M,MATCH('ORÇ. SINTÉTICO'!B107,'Orçamento Analítico'!$B:$B,0)+1,2)</f>
        <v xml:space="preserve"> 102330 </v>
      </c>
      <c r="D107" s="946" t="str">
        <f>INDEX('Orçamento Analítico'!$B:$M,MATCH('ORÇ. SINTÉTICO'!B107,'Orçamento Analítico'!$B:$B,0)+1,3)</f>
        <v>SINAPI</v>
      </c>
      <c r="E107" s="946" t="str">
        <f>INDEX('Orçamento Analítico'!$B:$M,MATCH('ORÇ. SINTÉTICO'!B107,'Orçamento Analítico'!$B:$B,0)+1,4)</f>
        <v>TRANSPORTE COM CAMINHÃO TANQUE DE TRANSPORTE DE MATERIAL ASFÁLTICO DE 30000 L, EM VIA URBANA PAVIMENTADA, DMT ATÉ 30KM (UNIDADE: TXKM). AF_07/2020</v>
      </c>
      <c r="F107" s="947">
        <v>30</v>
      </c>
      <c r="G107" s="948" t="str">
        <f>INDEX('Orçamento Analítico'!$B:$M,MATCH('ORÇ. SINTÉTICO'!$B107,'Orçamento Analítico'!$B:$B,0)+1,5)</f>
        <v>Transporte, Carga e Descarga de Materiais</v>
      </c>
      <c r="H107" s="947" t="str">
        <f>INDEX('Orçamento Analítico'!$B:$M,MATCH('ORÇ. SINTÉTICO'!B107,'Orçamento Analítico'!$B:$B,0)+1,7)</f>
        <v>TXKM</v>
      </c>
      <c r="I107" s="959">
        <f>PAVIMENTAÇÃO!AA22</f>
        <v>367.2</v>
      </c>
      <c r="J107" s="950">
        <f>INDEX('Orçamento Analítico'!$B:$M,MATCH(B107,'Orçamento Analítico'!$B:$B,0)+1,10)</f>
        <v>1.41</v>
      </c>
      <c r="K107" s="951">
        <f t="shared" si="111"/>
        <v>0.24229999999999999</v>
      </c>
      <c r="L107" s="952">
        <f t="shared" si="112"/>
        <v>1.75</v>
      </c>
      <c r="M107" s="952">
        <f t="shared" si="101"/>
        <v>517.75</v>
      </c>
      <c r="N107" s="952">
        <f t="shared" si="102"/>
        <v>642.6</v>
      </c>
      <c r="O107" s="955">
        <f t="shared" si="106"/>
        <v>8.2861086924775935E-5</v>
      </c>
      <c r="P107" s="954">
        <f>INDEX('Orçamento Analítico'!$B:$M,MATCH(B107,'Orçamento Analítico'!$B:$B,0)+1,12)</f>
        <v>1.4</v>
      </c>
      <c r="Q107" s="951">
        <f t="shared" si="110"/>
        <v>0.30659999999999998</v>
      </c>
      <c r="R107" s="952">
        <f t="shared" si="103"/>
        <v>1.82</v>
      </c>
      <c r="S107" s="952">
        <f t="shared" si="104"/>
        <v>514.08000000000004</v>
      </c>
      <c r="T107" s="952">
        <f t="shared" si="105"/>
        <v>668.3</v>
      </c>
      <c r="U107" s="955">
        <f t="shared" si="72"/>
        <v>8.2922107983318064E-5</v>
      </c>
    </row>
    <row r="108" spans="2:21" s="956" customFormat="1" ht="63" x14ac:dyDescent="0.2">
      <c r="B108" s="945" t="s">
        <v>448</v>
      </c>
      <c r="C108" s="946" t="str">
        <f>INDEX('Orçamento Analítico'!$B:$M,MATCH('ORÇ. SINTÉTICO'!B108,'Orçamento Analítico'!$B:$B,0)+1,2)</f>
        <v xml:space="preserve"> 102331 </v>
      </c>
      <c r="D108" s="946" t="str">
        <f>INDEX('Orçamento Analítico'!$B:$M,MATCH('ORÇ. SINTÉTICO'!B108,'Orçamento Analítico'!$B:$B,0)+1,3)</f>
        <v>SINAPI</v>
      </c>
      <c r="E108" s="946" t="str">
        <f>INDEX('Orçamento Analítico'!$B:$M,MATCH('ORÇ. SINTÉTICO'!B108,'Orçamento Analítico'!$B:$B,0)+1,4)</f>
        <v>TRANSPORTE COM CAMINHÃO TANQUE DE TRANSPORTE DE MATERIAL ASFÁLTICO DE 30000 L, EM VIA URBANA PAVIMENTADA, ADICIONAL PARA DMT EXCEDENTE A 30 KM (UNIDADE: TXKM). AF_07/2020</v>
      </c>
      <c r="F108" s="947">
        <f>DMT!F8-30</f>
        <v>308</v>
      </c>
      <c r="G108" s="948" t="str">
        <f>INDEX('Orçamento Analítico'!$B:$M,MATCH('ORÇ. SINTÉTICO'!$B108,'Orçamento Analítico'!$B:$B,0)+1,5)</f>
        <v>Transporte, Carga e Descarga de Materiais</v>
      </c>
      <c r="H108" s="947" t="str">
        <f>INDEX('Orçamento Analítico'!$B:$M,MATCH('ORÇ. SINTÉTICO'!B108,'Orçamento Analítico'!$B:$B,0)+1,7)</f>
        <v>TXKM</v>
      </c>
      <c r="I108" s="959">
        <f>PAVIMENTAÇÃO!AA23</f>
        <v>3769.92</v>
      </c>
      <c r="J108" s="950">
        <f>INDEX('Orçamento Analítico'!$B:$M,MATCH(B108,'Orçamento Analítico'!$B:$B,0)+1,10)</f>
        <v>0.55000000000000004</v>
      </c>
      <c r="K108" s="951">
        <f t="shared" si="111"/>
        <v>0.24229999999999999</v>
      </c>
      <c r="L108" s="952">
        <f t="shared" si="112"/>
        <v>0.68</v>
      </c>
      <c r="M108" s="952">
        <f t="shared" si="101"/>
        <v>2073.4499999999998</v>
      </c>
      <c r="N108" s="952">
        <f t="shared" si="102"/>
        <v>2563.54</v>
      </c>
      <c r="O108" s="955">
        <f t="shared" si="106"/>
        <v>3.3055977400426407E-4</v>
      </c>
      <c r="P108" s="954">
        <f>INDEX('Orçamento Analítico'!$B:$M,MATCH(B108,'Orçamento Analítico'!$B:$B,0)+1,12)</f>
        <v>0.54</v>
      </c>
      <c r="Q108" s="951">
        <f t="shared" si="110"/>
        <v>0.30659999999999998</v>
      </c>
      <c r="R108" s="952">
        <f t="shared" si="103"/>
        <v>0.7</v>
      </c>
      <c r="S108" s="952">
        <f t="shared" si="104"/>
        <v>2035.75</v>
      </c>
      <c r="T108" s="952">
        <f t="shared" si="105"/>
        <v>2638.94</v>
      </c>
      <c r="U108" s="955">
        <f t="shared" si="72"/>
        <v>3.2743747963713511E-4</v>
      </c>
    </row>
    <row r="109" spans="2:21" s="956" customFormat="1" ht="47.25" x14ac:dyDescent="0.2">
      <c r="B109" s="945" t="s">
        <v>449</v>
      </c>
      <c r="C109" s="946" t="str">
        <f>INDEX('Orçamento Analítico'!$B:$M,MATCH('ORÇ. SINTÉTICO'!B109,'Orçamento Analítico'!$B:$B,0)+1,2)</f>
        <v xml:space="preserve"> PAV.CBUQ-30/45 </v>
      </c>
      <c r="D109" s="946" t="str">
        <f>INDEX('Orçamento Analítico'!$B:$M,MATCH('ORÇ. SINTÉTICO'!B109,'Orçamento Analítico'!$B:$B,0)+1,3)</f>
        <v>Próprio</v>
      </c>
      <c r="E109" s="946" t="str">
        <f>INDEX('Orçamento Analítico'!$B:$M,MATCH('ORÇ. SINTÉTICO'!B109,'Orçamento Analítico'!$B:$B,0)+1,4)</f>
        <v>EXECUÇÃO DE PAVIMENTO COM APLICAÇÃO DE CONCRETO ASFÁLTICO, CAMADA DE ROLAMENTO - EXCLUSIVE CARGA E TRANSPORTE. (REF. SINAPI 95995)</v>
      </c>
      <c r="F109" s="947"/>
      <c r="G109" s="948" t="str">
        <f>INDEX('Orçamento Analítico'!$B:$M,MATCH('ORÇ. SINTÉTICO'!$B109,'Orçamento Analítico'!$B:$B,0)+1,5)</f>
        <v>PAVI - PAVIMENTAÇÃO</v>
      </c>
      <c r="H109" s="947" t="str">
        <f>INDEX('Orçamento Analítico'!$B:$M,MATCH('ORÇ. SINTÉTICO'!B109,'Orçamento Analítico'!$B:$B,0)+1,7)</f>
        <v>m³</v>
      </c>
      <c r="I109" s="959">
        <f>PAVIMENTAÇÃO!AD18</f>
        <v>816.21</v>
      </c>
      <c r="J109" s="950">
        <f>INDEX('Orçamento Analítico'!$B:$M,MATCH(B109,'Orçamento Analítico'!$B:$B,0)+1,10)</f>
        <v>1737.71</v>
      </c>
      <c r="K109" s="951">
        <f t="shared" si="111"/>
        <v>0.24229999999999999</v>
      </c>
      <c r="L109" s="952">
        <f t="shared" ref="L109" si="113">TRUNC(J109*(1+K109),2)</f>
        <v>2158.75</v>
      </c>
      <c r="M109" s="952">
        <f t="shared" si="101"/>
        <v>1418336.27</v>
      </c>
      <c r="N109" s="952">
        <f t="shared" si="102"/>
        <v>1761993.33</v>
      </c>
      <c r="O109" s="961">
        <f t="shared" si="106"/>
        <v>0.22720305396515003</v>
      </c>
      <c r="P109" s="954">
        <f>INDEX('Orçamento Analítico'!$B:$M,MATCH(B109,'Orçamento Analítico'!$B:$B,0)+1,12)</f>
        <v>1735.02</v>
      </c>
      <c r="Q109" s="951">
        <f t="shared" si="110"/>
        <v>0.30659999999999998</v>
      </c>
      <c r="R109" s="952">
        <f t="shared" si="103"/>
        <v>2266.9699999999998</v>
      </c>
      <c r="S109" s="952">
        <f t="shared" si="104"/>
        <v>1416140.67</v>
      </c>
      <c r="T109" s="952">
        <f t="shared" si="105"/>
        <v>1850323.58</v>
      </c>
      <c r="U109" s="961">
        <f t="shared" si="72"/>
        <v>0.22958661036187294</v>
      </c>
    </row>
    <row r="110" spans="2:21" s="956" customFormat="1" ht="63" x14ac:dyDescent="0.2">
      <c r="B110" s="945" t="s">
        <v>450</v>
      </c>
      <c r="C110" s="946" t="str">
        <f>INDEX('Orçamento Analítico'!$B:$M,MATCH('ORÇ. SINTÉTICO'!B110,'Orçamento Analítico'!$B:$B,0)+1,2)</f>
        <v xml:space="preserve"> 95875 </v>
      </c>
      <c r="D110" s="946" t="str">
        <f>INDEX('Orçamento Analítico'!$B:$M,MATCH('ORÇ. SINTÉTICO'!B110,'Orçamento Analítico'!$B:$B,0)+1,3)</f>
        <v>SINAPI</v>
      </c>
      <c r="E110" s="946" t="str">
        <f>INDEX('Orçamento Analítico'!$B:$M,MATCH('ORÇ. SINTÉTICO'!B110,'Orçamento Analítico'!$B:$B,0)+1,4)</f>
        <v>TRANSPORTE COM CAMINHÃO BASCULANTE DE 10 M³, EM VIA URBANA PAVIMENTADA, DMT ATÉ 30 KM (UNIDADE: M3XKM). AF_07/2020</v>
      </c>
      <c r="F110" s="947">
        <f>DMT!F6</f>
        <v>10.9</v>
      </c>
      <c r="G110" s="948" t="str">
        <f>INDEX('Orçamento Analítico'!$B:$M,MATCH('ORÇ. SINTÉTICO'!$B110,'Orçamento Analítico'!$B:$B,0)+1,5)</f>
        <v>Transporte, Carga e Descarga de Materiais</v>
      </c>
      <c r="H110" s="947" t="str">
        <f>INDEX('Orçamento Analítico'!$B:$M,MATCH('ORÇ. SINTÉTICO'!B110,'Orçamento Analítico'!$B:$B,0)+1,7)</f>
        <v>M3XKM</v>
      </c>
      <c r="I110" s="959">
        <f>PAVIMENTAÇÃO!AA24</f>
        <v>8896.68</v>
      </c>
      <c r="J110" s="950">
        <f>INDEX('Orçamento Analítico'!$B:$M,MATCH(B110,'Orçamento Analítico'!$B:$B,0)+1,10)</f>
        <v>2.5</v>
      </c>
      <c r="K110" s="951">
        <f t="shared" si="111"/>
        <v>0.24229999999999999</v>
      </c>
      <c r="L110" s="952">
        <f>TRUNC(J110*(1+K110),2)</f>
        <v>3.1</v>
      </c>
      <c r="M110" s="952">
        <f t="shared" si="101"/>
        <v>22241.7</v>
      </c>
      <c r="N110" s="952">
        <f t="shared" si="102"/>
        <v>27579.7</v>
      </c>
      <c r="O110" s="955">
        <f t="shared" si="106"/>
        <v>3.5563086197622825E-3</v>
      </c>
      <c r="P110" s="954">
        <f>INDEX('Orçamento Analítico'!$B:$M,MATCH(B110,'Orçamento Analítico'!$B:$B,0)+1,12)</f>
        <v>2.48</v>
      </c>
      <c r="Q110" s="951">
        <f t="shared" si="110"/>
        <v>0.30659999999999998</v>
      </c>
      <c r="R110" s="952">
        <f t="shared" si="103"/>
        <v>3.24</v>
      </c>
      <c r="S110" s="952">
        <f t="shared" si="104"/>
        <v>22063.759999999998</v>
      </c>
      <c r="T110" s="952">
        <f t="shared" si="105"/>
        <v>28825.24</v>
      </c>
      <c r="U110" s="955">
        <f t="shared" si="72"/>
        <v>3.5766117969849762E-3</v>
      </c>
    </row>
    <row r="111" spans="2:21" x14ac:dyDescent="0.2">
      <c r="B111" s="719" t="s">
        <v>451</v>
      </c>
      <c r="C111" s="840"/>
      <c r="D111" s="840"/>
      <c r="E111" s="720" t="s">
        <v>976</v>
      </c>
      <c r="F111" s="601"/>
      <c r="G111" s="843"/>
      <c r="H111" s="841"/>
      <c r="I111" s="721"/>
      <c r="J111" s="620"/>
      <c r="K111" s="602"/>
      <c r="L111" s="603"/>
      <c r="M111" s="603">
        <f>TRUNC(SUM(M112:M115),2)</f>
        <v>507148.09</v>
      </c>
      <c r="N111" s="603">
        <f>TRUNC(SUM(N112:N115),2)</f>
        <v>629953.99</v>
      </c>
      <c r="O111" s="624">
        <f t="shared" si="106"/>
        <v>8.1230426896980124E-2</v>
      </c>
      <c r="P111" s="842"/>
      <c r="Q111" s="602"/>
      <c r="R111" s="603"/>
      <c r="S111" s="603">
        <f>TRUNC(SUM(S112:S115),2)</f>
        <v>496151.5</v>
      </c>
      <c r="T111" s="603">
        <f>TRUNC(SUM(T112:T115),2)</f>
        <v>648264.4</v>
      </c>
      <c r="U111" s="624">
        <f t="shared" ref="U111" si="114">T111/$M$135</f>
        <v>8.3591492061372105E-2</v>
      </c>
    </row>
    <row r="112" spans="2:21" s="956" customFormat="1" ht="47.25" x14ac:dyDescent="0.2">
      <c r="B112" s="945" t="s">
        <v>452</v>
      </c>
      <c r="C112" s="946" t="str">
        <f>INDEX('Orçamento Analítico'!$B:$M,MATCH('ORÇ. SINTÉTICO'!B112,'Orçamento Analítico'!$B:$B,0)+1,2)</f>
        <v xml:space="preserve"> O.C-MF.SARJ.TL </v>
      </c>
      <c r="D112" s="946" t="str">
        <f>INDEX('Orçamento Analítico'!$B:$M,MATCH('ORÇ. SINTÉTICO'!B112,'Orçamento Analítico'!$B:$B,0)+1,3)</f>
        <v>Próprio</v>
      </c>
      <c r="E112" s="946" t="str">
        <f>INDEX('Orçamento Analítico'!$B:$M,MATCH('ORÇ. SINTÉTICO'!B112,'Orçamento Analítico'!$B:$B,0)+1,4)</f>
        <v>Meio-fio com sarjeta, concreto fck=20 MPa, seção 615 cm², moldado no local com extrusora, inclusive escavação e pintura a cal em uma demão</v>
      </c>
      <c r="F112" s="947"/>
      <c r="G112" s="948" t="str">
        <f>INDEX('Orçamento Analítico'!$B:$M,MATCH('ORÇ. SINTÉTICO'!$B112,'Orçamento Analítico'!$B:$B,0)+1,5)</f>
        <v>SEDI - SERVIÇOS DIVERSOS</v>
      </c>
      <c r="H112" s="947" t="str">
        <f>INDEX('Orçamento Analítico'!$B:$M,MATCH('ORÇ. SINTÉTICO'!B112,'Orçamento Analítico'!$B:$B,0)+1,7)</f>
        <v>m</v>
      </c>
      <c r="I112" s="962">
        <f>PAVIMENTAÇÃO!AF18</f>
        <v>6997.37</v>
      </c>
      <c r="J112" s="950">
        <f>INDEX('Orçamento Analítico'!$B:$M,MATCH(B112,'Orçamento Analítico'!$B:$B,0)+1,10)</f>
        <v>69.98</v>
      </c>
      <c r="K112" s="951">
        <f t="shared" si="111"/>
        <v>0.24229999999999999</v>
      </c>
      <c r="L112" s="952">
        <f t="shared" si="112"/>
        <v>86.93</v>
      </c>
      <c r="M112" s="952">
        <f t="shared" ref="M112:M113" si="115">TRUNC($I112 * J112, 2)</f>
        <v>489675.95</v>
      </c>
      <c r="N112" s="952">
        <f t="shared" ref="N112:N113" si="116">TRUNC($I112 * L112, 2)</f>
        <v>608281.37</v>
      </c>
      <c r="O112" s="955">
        <f t="shared" si="106"/>
        <v>7.8435816175368489E-2</v>
      </c>
      <c r="P112" s="954">
        <f>INDEX('Orçamento Analítico'!$B:$M,MATCH(B112,'Orçamento Analítico'!$B:$B,0)+1,12)</f>
        <v>68.430000000000007</v>
      </c>
      <c r="Q112" s="951">
        <f t="shared" ref="Q112:Q129" si="117">IF((OR($G112="MATERIAL",$G112="Equipamento")),Q$5,Q$4)</f>
        <v>0.30659999999999998</v>
      </c>
      <c r="R112" s="952">
        <f t="shared" ref="R112" si="118">TRUNC(P112*(1+Q112),2)</f>
        <v>89.41</v>
      </c>
      <c r="S112" s="952">
        <f t="shared" ref="S112" si="119">TRUNC($I112 * P112, 2)</f>
        <v>478830.02</v>
      </c>
      <c r="T112" s="952">
        <f t="shared" ref="T112" si="120">TRUNC($I112 * R112, 2)</f>
        <v>625634.85</v>
      </c>
      <c r="U112" s="955">
        <f t="shared" si="72"/>
        <v>7.7628251668153528E-2</v>
      </c>
    </row>
    <row r="113" spans="2:21" s="930" customFormat="1" ht="63" x14ac:dyDescent="0.2">
      <c r="B113" s="920" t="s">
        <v>453</v>
      </c>
      <c r="C113" s="921" t="str">
        <f>INDEX('Orçamento Analítico'!$B:$M,MATCH('ORÇ. SINTÉTICO'!B113,'Orçamento Analítico'!$B:$B,0)+1,2)</f>
        <v xml:space="preserve"> 100978 </v>
      </c>
      <c r="D113" s="921" t="str">
        <f>INDEX('Orçamento Analítico'!$B:$M,MATCH('ORÇ. SINTÉTICO'!B113,'Orçamento Analítico'!$B:$B,0)+1,3)</f>
        <v>SINAPI</v>
      </c>
      <c r="E113" s="921" t="str">
        <f>INDEX('Orçamento Analítico'!$B:$M,MATCH('ORÇ. SINTÉTICO'!B113,'Orçamento Analítico'!$B:$B,0)+1,4)</f>
        <v>CARGA, MANOBRA E DESCARGA DE SOLOS E MATERIAIS GRANULARES EM CAMINHÃO BASCULANTE 10 M³ - CARGA COM ESCAVADEIRA HIDRÁULICA (CAÇAMBA DE 1,20 M³ / 155 HP) E DESCARGA LIVRE (UNIDADE: M3). AF_07/2020</v>
      </c>
      <c r="F113" s="922"/>
      <c r="G113" s="923" t="str">
        <f>INDEX('Orçamento Analítico'!$B:$M,MATCH('ORÇ. SINTÉTICO'!$B113,'Orçamento Analítico'!$B:$B,0)+1,5)</f>
        <v>Transporte, Carga e Descarga de Materiais</v>
      </c>
      <c r="H113" s="922" t="str">
        <f>INDEX('Orçamento Analítico'!$B:$M,MATCH('ORÇ. SINTÉTICO'!B113,'Orçamento Analítico'!$B:$B,0)+1,7)</f>
        <v>m³</v>
      </c>
      <c r="I113" s="931">
        <f>PAVIMENTAÇÃO!AJ20</f>
        <v>301.27</v>
      </c>
      <c r="J113" s="925">
        <f>INDEX('Orçamento Analítico'!$B:$M,MATCH(B113,'Orçamento Analítico'!$B:$B,0)+1,10)</f>
        <v>7.03</v>
      </c>
      <c r="K113" s="926">
        <f t="shared" si="111"/>
        <v>0.24229999999999999</v>
      </c>
      <c r="L113" s="927">
        <f t="shared" si="112"/>
        <v>8.73</v>
      </c>
      <c r="M113" s="927">
        <f t="shared" si="115"/>
        <v>2117.92</v>
      </c>
      <c r="N113" s="927">
        <f t="shared" si="116"/>
        <v>2630.08</v>
      </c>
      <c r="O113" s="928">
        <f t="shared" si="106"/>
        <v>3.3913988095100319E-4</v>
      </c>
      <c r="P113" s="929">
        <f>INDEX('Orçamento Analítico'!$B:$M,MATCH(B113,'Orçamento Analítico'!$B:$B,0)+1,12)</f>
        <v>6.95</v>
      </c>
      <c r="Q113" s="926">
        <f t="shared" si="117"/>
        <v>0.30659999999999998</v>
      </c>
      <c r="R113" s="927">
        <f t="shared" ref="R113:R115" si="121">TRUNC(P113*(1+Q113),2)</f>
        <v>9.08</v>
      </c>
      <c r="S113" s="927">
        <f t="shared" ref="S113:S115" si="122">TRUNC($I113 * P113, 2)</f>
        <v>2093.8200000000002</v>
      </c>
      <c r="T113" s="927">
        <f t="shared" ref="T113:T115" si="123">TRUNC($I113 * R113, 2)</f>
        <v>2735.53</v>
      </c>
      <c r="U113" s="928">
        <f t="shared" si="72"/>
        <v>3.3942228647554406E-4</v>
      </c>
    </row>
    <row r="114" spans="2:21" s="956" customFormat="1" ht="63" x14ac:dyDescent="0.2">
      <c r="B114" s="945" t="s">
        <v>454</v>
      </c>
      <c r="C114" s="946" t="str">
        <f>INDEX('Orçamento Analítico'!$B:$M,MATCH('ORÇ. SINTÉTICO'!B114,'Orçamento Analítico'!$B:$B,0)+1,2)</f>
        <v xml:space="preserve"> 95875 </v>
      </c>
      <c r="D114" s="946" t="str">
        <f>INDEX('Orçamento Analítico'!$B:$M,MATCH('ORÇ. SINTÉTICO'!B114,'Orçamento Analítico'!$B:$B,0)+1,3)</f>
        <v>SINAPI</v>
      </c>
      <c r="E114" s="946" t="str">
        <f>INDEX('Orçamento Analítico'!$B:$M,MATCH('ORÇ. SINTÉTICO'!B114,'Orçamento Analítico'!$B:$B,0)+1,4)</f>
        <v>TRANSPORTE COM CAMINHÃO BASCULANTE DE 10 M³, EM VIA URBANA PAVIMENTADA, DMT ATÉ 30 KM (UNIDADE: M3XKM). AF_07/2020</v>
      </c>
      <c r="F114" s="947">
        <f>DMT!F9</f>
        <v>18.2</v>
      </c>
      <c r="G114" s="948" t="str">
        <f>INDEX('Orçamento Analítico'!$B:$M,MATCH('ORÇ. SINTÉTICO'!$B114,'Orçamento Analítico'!$B:$B,0)+1,5)</f>
        <v>Transporte, Carga e Descarga de Materiais</v>
      </c>
      <c r="H114" s="947" t="str">
        <f>INDEX('Orçamento Analítico'!$B:$M,MATCH('ORÇ. SINTÉTICO'!B114,'Orçamento Analítico'!$B:$B,0)+1,7)</f>
        <v>M3XKM</v>
      </c>
      <c r="I114" s="962">
        <f>PAVIMENTAÇÃO!AJ21</f>
        <v>5483.11</v>
      </c>
      <c r="J114" s="950">
        <f>INDEX('Orçamento Analítico'!$B:$M,MATCH(B114,'Orçamento Analítico'!$B:$B,0)+1,10)</f>
        <v>2.5</v>
      </c>
      <c r="K114" s="951">
        <f t="shared" si="111"/>
        <v>0.24229999999999999</v>
      </c>
      <c r="L114" s="952">
        <f t="shared" ref="L114:L115" si="124">TRUNC(J114*(1+K114),2)</f>
        <v>3.1</v>
      </c>
      <c r="M114" s="952">
        <f t="shared" ref="M114:M115" si="125">TRUNC($I114 * J114, 2)</f>
        <v>13707.77</v>
      </c>
      <c r="N114" s="952">
        <f t="shared" ref="N114:N115" si="126">TRUNC($I114 * L114, 2)</f>
        <v>16997.64</v>
      </c>
      <c r="O114" s="961">
        <f t="shared" si="106"/>
        <v>2.1917879327047127E-3</v>
      </c>
      <c r="P114" s="954">
        <f>INDEX('Orçamento Analítico'!$B:$M,MATCH(B114,'Orçamento Analítico'!$B:$B,0)+1,12)</f>
        <v>2.48</v>
      </c>
      <c r="Q114" s="951">
        <f t="shared" si="117"/>
        <v>0.30659999999999998</v>
      </c>
      <c r="R114" s="952">
        <f t="shared" si="121"/>
        <v>3.24</v>
      </c>
      <c r="S114" s="952">
        <f t="shared" si="122"/>
        <v>13598.11</v>
      </c>
      <c r="T114" s="952">
        <f t="shared" si="123"/>
        <v>17765.27</v>
      </c>
      <c r="U114" s="961">
        <f t="shared" si="72"/>
        <v>2.2042999211324271E-3</v>
      </c>
    </row>
    <row r="115" spans="2:21" s="956" customFormat="1" ht="31.5" x14ac:dyDescent="0.2">
      <c r="B115" s="945" t="s">
        <v>455</v>
      </c>
      <c r="C115" s="946" t="str">
        <f>INDEX('Orçamento Analítico'!$B:$M,MATCH('ORÇ. SINTÉTICO'!B115,'Orçamento Analítico'!$B:$B,0)+1,2)</f>
        <v xml:space="preserve"> O.C-TENTO.TL </v>
      </c>
      <c r="D115" s="946" t="str">
        <f>INDEX('Orçamento Analítico'!$B:$M,MATCH('ORÇ. SINTÉTICO'!B115,'Orçamento Analítico'!$B:$B,0)+1,3)</f>
        <v>Próprio</v>
      </c>
      <c r="E115" s="946" t="str">
        <f>INDEX('Orçamento Analítico'!$B:$M,MATCH('ORÇ. SINTÉTICO'!B115,'Orçamento Analítico'!$B:$B,0)+1,4)</f>
        <v>TENTO (ACABAMENTO DE LIMPA-RODAS), CONCRETO FCK=20 MPA, SEÇÃO 330 CM², MOLDADO NO LOCAL, INCLUSIVE ESCAVAÇÃO</v>
      </c>
      <c r="F115" s="947"/>
      <c r="G115" s="948" t="str">
        <f>INDEX('Orçamento Analítico'!$B:$M,MATCH('ORÇ. SINTÉTICO'!$B115,'Orçamento Analítico'!$B:$B,0)+1,5)</f>
        <v>SEDI - SERVIÇOS DIVERSOS</v>
      </c>
      <c r="H115" s="947" t="str">
        <f>INDEX('Orçamento Analítico'!$B:$M,MATCH('ORÇ. SINTÉTICO'!B115,'Orçamento Analítico'!$B:$B,0)+1,7)</f>
        <v>m</v>
      </c>
      <c r="I115" s="959">
        <f>PAVIMENTAÇÃO!AJ18</f>
        <v>65</v>
      </c>
      <c r="J115" s="950">
        <f>INDEX('Orçamento Analítico'!$B:$M,MATCH(B115,'Orçamento Analítico'!$B:$B,0)+1,10)</f>
        <v>25.33</v>
      </c>
      <c r="K115" s="951">
        <f t="shared" si="111"/>
        <v>0.24229999999999999</v>
      </c>
      <c r="L115" s="952">
        <f t="shared" si="124"/>
        <v>31.46</v>
      </c>
      <c r="M115" s="952">
        <f t="shared" si="125"/>
        <v>1646.45</v>
      </c>
      <c r="N115" s="952">
        <f t="shared" si="126"/>
        <v>2044.9</v>
      </c>
      <c r="O115" s="955">
        <f t="shared" si="106"/>
        <v>2.6368290795592019E-4</v>
      </c>
      <c r="P115" s="954">
        <f>INDEX('Orçamento Analítico'!$B:$M,MATCH(B115,'Orçamento Analítico'!$B:$B,0)+1,12)</f>
        <v>25.07</v>
      </c>
      <c r="Q115" s="951">
        <f t="shared" si="117"/>
        <v>0.30659999999999998</v>
      </c>
      <c r="R115" s="952">
        <f t="shared" si="121"/>
        <v>32.75</v>
      </c>
      <c r="S115" s="952">
        <f t="shared" si="122"/>
        <v>1629.55</v>
      </c>
      <c r="T115" s="952">
        <f t="shared" si="123"/>
        <v>2128.75</v>
      </c>
      <c r="U115" s="955">
        <f t="shared" si="72"/>
        <v>2.6413352890840693E-4</v>
      </c>
    </row>
    <row r="116" spans="2:21" x14ac:dyDescent="0.2">
      <c r="B116" s="719" t="s">
        <v>377</v>
      </c>
      <c r="C116" s="840"/>
      <c r="D116" s="840"/>
      <c r="E116" s="720" t="s">
        <v>378</v>
      </c>
      <c r="F116" s="601"/>
      <c r="G116" s="843"/>
      <c r="H116" s="841"/>
      <c r="I116" s="722"/>
      <c r="J116" s="620"/>
      <c r="K116" s="602"/>
      <c r="L116" s="603"/>
      <c r="M116" s="603">
        <f>TRUNC(SUM(M117:M123),2)</f>
        <v>107736.03</v>
      </c>
      <c r="N116" s="603">
        <f>TRUNC(SUM(N117:N123),2)</f>
        <v>133824.13</v>
      </c>
      <c r="O116" s="624">
        <f t="shared" si="106"/>
        <v>1.7256166928979948E-2</v>
      </c>
      <c r="P116" s="842"/>
      <c r="Q116" s="602"/>
      <c r="R116" s="603"/>
      <c r="S116" s="603">
        <f>TRUNC(SUM(S117:S123),2)</f>
        <v>106689.76</v>
      </c>
      <c r="T116" s="603">
        <f>TRUNC(SUM(T117:T123),2)</f>
        <v>139389.85</v>
      </c>
      <c r="U116" s="624">
        <f t="shared" ref="U116" si="127">T116/$M$135</f>
        <v>1.7973847614817115E-2</v>
      </c>
    </row>
    <row r="117" spans="2:21" s="930" customFormat="1" ht="47.25" x14ac:dyDescent="0.2">
      <c r="B117" s="920" t="s">
        <v>456</v>
      </c>
      <c r="C117" s="921" t="str">
        <f>INDEX('Orçamento Analítico'!$B:$M,MATCH('ORÇ. SINTÉTICO'!B117,'Orçamento Analítico'!$B:$B,0)+1,2)</f>
        <v xml:space="preserve"> LIMP.CALC </v>
      </c>
      <c r="D117" s="921" t="str">
        <f>INDEX('Orçamento Analítico'!$B:$M,MATCH('ORÇ. SINTÉTICO'!B117,'Orçamento Analítico'!$B:$B,0)+1,3)</f>
        <v>Próprio</v>
      </c>
      <c r="E117" s="921" t="str">
        <f>INDEX('Orçamento Analítico'!$B:$M,MATCH('ORÇ. SINTÉTICO'!B117,'Orçamento Analítico'!$B:$B,0)+1,4)</f>
        <v>LIMPEZA MECANIZADA DE TERRENO PARA IMPLANTAÇÃO DE CALÇADAS</v>
      </c>
      <c r="F117" s="922"/>
      <c r="G117" s="923" t="str">
        <f>INDEX('Orçamento Analítico'!$B:$M,MATCH('ORÇ. SINTÉTICO'!$B117,'Orçamento Analítico'!$B:$B,0)+1,5)</f>
        <v>MOVT - MOVIMENTO DE TERRA</v>
      </c>
      <c r="H117" s="922" t="str">
        <f>INDEX('Orçamento Analítico'!$B:$M,MATCH('ORÇ. SINTÉTICO'!B117,'Orçamento Analítico'!$B:$B,0)+1,7)</f>
        <v>m²</v>
      </c>
      <c r="I117" s="931">
        <f>'CALÇADA E ACESS.'!N32</f>
        <v>1270.25</v>
      </c>
      <c r="J117" s="925">
        <f>INDEX('Orçamento Analítico'!$B:$M,MATCH(B117,'Orçamento Analítico'!$B:$B,0)+1,10)</f>
        <v>1.33</v>
      </c>
      <c r="K117" s="926">
        <f t="shared" si="111"/>
        <v>0.24229999999999999</v>
      </c>
      <c r="L117" s="927">
        <f t="shared" ref="L117" si="128">TRUNC(J117*(1+K117),2)</f>
        <v>1.65</v>
      </c>
      <c r="M117" s="927">
        <f t="shared" ref="M117" si="129">TRUNC($I117 * J117, 2)</f>
        <v>1689.43</v>
      </c>
      <c r="N117" s="927">
        <f t="shared" ref="N117" si="130">TRUNC($I117 * L117, 2)</f>
        <v>2095.91</v>
      </c>
      <c r="O117" s="928">
        <f t="shared" si="106"/>
        <v>2.7026047416200917E-4</v>
      </c>
      <c r="P117" s="929">
        <f>INDEX('Orçamento Analítico'!$B:$M,MATCH(B117,'Orçamento Analítico'!$B:$B,0)+1,12)</f>
        <v>1.29</v>
      </c>
      <c r="Q117" s="926">
        <f t="shared" si="117"/>
        <v>0.30659999999999998</v>
      </c>
      <c r="R117" s="927">
        <f t="shared" ref="R117" si="131">TRUNC(P117*(1+Q117),2)</f>
        <v>1.68</v>
      </c>
      <c r="S117" s="927">
        <f t="shared" ref="S117" si="132">TRUNC($I117 * P117, 2)</f>
        <v>1638.62</v>
      </c>
      <c r="T117" s="927">
        <f t="shared" ref="T117" si="133">TRUNC($I117 * R117, 2)</f>
        <v>2134.02</v>
      </c>
      <c r="U117" s="928">
        <f t="shared" si="72"/>
        <v>2.6478742612383722E-4</v>
      </c>
    </row>
    <row r="118" spans="2:21" s="956" customFormat="1" ht="47.25" x14ac:dyDescent="0.2">
      <c r="B118" s="945" t="s">
        <v>457</v>
      </c>
      <c r="C118" s="946" t="str">
        <f>INDEX('Orçamento Analítico'!$B:$M,MATCH('ORÇ. SINTÉTICO'!B118,'Orçamento Analítico'!$B:$B,0)+1,2)</f>
        <v xml:space="preserve"> 97084 </v>
      </c>
      <c r="D118" s="946" t="str">
        <f>INDEX('Orçamento Analítico'!$B:$M,MATCH('ORÇ. SINTÉTICO'!B118,'Orçamento Analítico'!$B:$B,0)+1,3)</f>
        <v>SINAPI</v>
      </c>
      <c r="E118" s="946" t="str">
        <f>INDEX('Orçamento Analítico'!$B:$M,MATCH('ORÇ. SINTÉTICO'!B118,'Orçamento Analítico'!$B:$B,0)+1,4)</f>
        <v>COMPACTAÇÃO MECÂNICA DE SOLO PARA EXECUÇÃO DE RADIER, PISO DE CONCRETO OU LAJE SOBRE SOLO, COM COMPACTADOR DE SOLOS TIPO PLACA VIBRATÓRIA. AF_09/2021</v>
      </c>
      <c r="F118" s="947"/>
      <c r="G118" s="948" t="str">
        <f>INDEX('Orçamento Analítico'!$B:$M,MATCH('ORÇ. SINTÉTICO'!$B118,'Orçamento Analítico'!$B:$B,0)+1,5)</f>
        <v>Radier, Piso de Concreto e Laje sobre Solo</v>
      </c>
      <c r="H118" s="947" t="str">
        <f>INDEX('Orçamento Analítico'!$B:$M,MATCH('ORÇ. SINTÉTICO'!B118,'Orçamento Analítico'!$B:$B,0)+1,7)</f>
        <v>m²</v>
      </c>
      <c r="I118" s="959">
        <f>'CALÇADA E ACESS.'!N32</f>
        <v>1270.25</v>
      </c>
      <c r="J118" s="950">
        <f>INDEX('Orçamento Analítico'!$B:$M,MATCH(B118,'Orçamento Analítico'!$B:$B,0)+1,10)</f>
        <v>0.73</v>
      </c>
      <c r="K118" s="951">
        <f t="shared" si="111"/>
        <v>0.24229999999999999</v>
      </c>
      <c r="L118" s="952">
        <f t="shared" ref="L118:L123" si="134">TRUNC(J118*(1+K118),2)</f>
        <v>0.9</v>
      </c>
      <c r="M118" s="952">
        <f t="shared" ref="M118:M123" si="135">TRUNC($I118 * J118, 2)</f>
        <v>927.28</v>
      </c>
      <c r="N118" s="952">
        <f t="shared" ref="N118:N123" si="136">TRUNC($I118 * L118, 2)</f>
        <v>1143.22</v>
      </c>
      <c r="O118" s="955">
        <f t="shared" si="106"/>
        <v>1.474143351916314E-4</v>
      </c>
      <c r="P118" s="954">
        <f>INDEX('Orçamento Analítico'!$B:$M,MATCH(B118,'Orçamento Analítico'!$B:$B,0)+1,12)</f>
        <v>0.69</v>
      </c>
      <c r="Q118" s="951">
        <f t="shared" si="117"/>
        <v>0.30659999999999998</v>
      </c>
      <c r="R118" s="952">
        <f t="shared" ref="R118:R123" si="137">TRUNC(P118*(1+Q118),2)</f>
        <v>0.9</v>
      </c>
      <c r="S118" s="952">
        <f t="shared" ref="S118:S123" si="138">TRUNC($I118 * P118, 2)</f>
        <v>876.47</v>
      </c>
      <c r="T118" s="952">
        <f t="shared" ref="T118:T123" si="139">TRUNC($I118 * R118, 2)</f>
        <v>1143.22</v>
      </c>
      <c r="U118" s="955">
        <f t="shared" si="72"/>
        <v>1.418497864562156E-4</v>
      </c>
    </row>
    <row r="119" spans="2:21" s="930" customFormat="1" ht="63" x14ac:dyDescent="0.2">
      <c r="B119" s="920" t="s">
        <v>458</v>
      </c>
      <c r="C119" s="921" t="str">
        <f>INDEX('Orçamento Analítico'!$B:$M,MATCH('ORÇ. SINTÉTICO'!B119,'Orçamento Analítico'!$B:$B,0)+1,2)</f>
        <v xml:space="preserve"> 100978 </v>
      </c>
      <c r="D119" s="921" t="str">
        <f>INDEX('Orçamento Analítico'!$B:$M,MATCH('ORÇ. SINTÉTICO'!B119,'Orçamento Analítico'!$B:$B,0)+1,3)</f>
        <v>SINAPI</v>
      </c>
      <c r="E119" s="921" t="str">
        <f>INDEX('Orçamento Analítico'!$B:$M,MATCH('ORÇ. SINTÉTICO'!B119,'Orçamento Analítico'!$B:$B,0)+1,4)</f>
        <v>CARGA, MANOBRA E DESCARGA DE SOLOS E MATERIAIS GRANULARES EM CAMINHÃO BASCULANTE 10 M³ - CARGA COM ESCAVADEIRA HIDRÁULICA (CAÇAMBA DE 1,20 M³ / 155 HP) E DESCARGA LIVRE (UNIDADE: M3). AF_07/2020</v>
      </c>
      <c r="F119" s="922"/>
      <c r="G119" s="923" t="str">
        <f>INDEX('Orçamento Analítico'!$B:$M,MATCH('ORÇ. SINTÉTICO'!$B119,'Orçamento Analítico'!$B:$B,0)+1,5)</f>
        <v>Transporte, Carga e Descarga de Materiais</v>
      </c>
      <c r="H119" s="922" t="str">
        <f>INDEX('Orçamento Analítico'!$B:$M,MATCH('ORÇ. SINTÉTICO'!B119,'Orçamento Analítico'!$B:$B,0)+1,7)</f>
        <v>m³</v>
      </c>
      <c r="I119" s="963">
        <f>'CALÇADA E ACESS.'!N33</f>
        <v>127.02</v>
      </c>
      <c r="J119" s="925">
        <f>INDEX('Orçamento Analítico'!$B:$M,MATCH(B119,'Orçamento Analítico'!$B:$B,0)+1,10)</f>
        <v>7.03</v>
      </c>
      <c r="K119" s="926">
        <f t="shared" si="111"/>
        <v>0.24229999999999999</v>
      </c>
      <c r="L119" s="927">
        <f t="shared" si="134"/>
        <v>8.73</v>
      </c>
      <c r="M119" s="927">
        <f t="shared" si="135"/>
        <v>892.95</v>
      </c>
      <c r="N119" s="927">
        <f t="shared" si="136"/>
        <v>1108.8800000000001</v>
      </c>
      <c r="O119" s="928">
        <f t="shared" si="106"/>
        <v>1.4298630885332329E-4</v>
      </c>
      <c r="P119" s="929">
        <f>INDEX('Orçamento Analítico'!$B:$M,MATCH(B119,'Orçamento Analítico'!$B:$B,0)+1,12)</f>
        <v>6.95</v>
      </c>
      <c r="Q119" s="926">
        <f t="shared" si="117"/>
        <v>0.30659999999999998</v>
      </c>
      <c r="R119" s="927">
        <f t="shared" si="137"/>
        <v>9.08</v>
      </c>
      <c r="S119" s="927">
        <f t="shared" si="138"/>
        <v>882.78</v>
      </c>
      <c r="T119" s="927">
        <f t="shared" si="139"/>
        <v>1153.3399999999999</v>
      </c>
      <c r="U119" s="928">
        <f t="shared" si="72"/>
        <v>1.4310546763651063E-4</v>
      </c>
    </row>
    <row r="120" spans="2:21" s="930" customFormat="1" ht="63" x14ac:dyDescent="0.2">
      <c r="B120" s="920" t="s">
        <v>459</v>
      </c>
      <c r="C120" s="921" t="str">
        <f>INDEX('Orçamento Analítico'!$B:$M,MATCH('ORÇ. SINTÉTICO'!B120,'Orçamento Analítico'!$B:$B,0)+1,2)</f>
        <v xml:space="preserve"> 95875 </v>
      </c>
      <c r="D120" s="921" t="str">
        <f>INDEX('Orçamento Analítico'!$B:$M,MATCH('ORÇ. SINTÉTICO'!B120,'Orçamento Analítico'!$B:$B,0)+1,3)</f>
        <v>SINAPI</v>
      </c>
      <c r="E120" s="921" t="str">
        <f>INDEX('Orçamento Analítico'!$B:$M,MATCH('ORÇ. SINTÉTICO'!B120,'Orçamento Analítico'!$B:$B,0)+1,4)</f>
        <v>TRANSPORTE COM CAMINHÃO BASCULANTE DE 10 M³, EM VIA URBANA PAVIMENTADA, DMT ATÉ 30 KM (UNIDADE: M3XKM). AF_07/2020</v>
      </c>
      <c r="F120" s="922"/>
      <c r="G120" s="923" t="str">
        <f>INDEX('Orçamento Analítico'!$B:$M,MATCH('ORÇ. SINTÉTICO'!$B120,'Orçamento Analítico'!$B:$B,0)+1,5)</f>
        <v>Transporte, Carga e Descarga de Materiais</v>
      </c>
      <c r="H120" s="922" t="str">
        <f>INDEX('Orçamento Analítico'!$B:$M,MATCH('ORÇ. SINTÉTICO'!B120,'Orçamento Analítico'!$B:$B,0)+1,7)</f>
        <v>M3XKM</v>
      </c>
      <c r="I120" s="931">
        <f>'CALÇADA E ACESS.'!N35</f>
        <v>584.29</v>
      </c>
      <c r="J120" s="925">
        <f>INDEX('Orçamento Analítico'!$B:$M,MATCH(B120,'Orçamento Analítico'!$B:$B,0)+1,10)</f>
        <v>2.5</v>
      </c>
      <c r="K120" s="926">
        <f t="shared" si="111"/>
        <v>0.24229999999999999</v>
      </c>
      <c r="L120" s="927">
        <f t="shared" si="134"/>
        <v>3.1</v>
      </c>
      <c r="M120" s="927">
        <f t="shared" si="135"/>
        <v>1460.72</v>
      </c>
      <c r="N120" s="927">
        <f t="shared" si="136"/>
        <v>1811.29</v>
      </c>
      <c r="O120" s="928">
        <f t="shared" si="106"/>
        <v>2.3355969208835572E-4</v>
      </c>
      <c r="P120" s="929">
        <f>INDEX('Orçamento Analítico'!$B:$M,MATCH(B120,'Orçamento Analítico'!$B:$B,0)+1,12)</f>
        <v>2.48</v>
      </c>
      <c r="Q120" s="926">
        <f t="shared" si="117"/>
        <v>0.30659999999999998</v>
      </c>
      <c r="R120" s="927">
        <f t="shared" si="137"/>
        <v>3.24</v>
      </c>
      <c r="S120" s="927">
        <f t="shared" si="138"/>
        <v>1449.03</v>
      </c>
      <c r="T120" s="927">
        <f t="shared" si="139"/>
        <v>1893.09</v>
      </c>
      <c r="U120" s="928">
        <f t="shared" si="72"/>
        <v>2.3489303217438218E-4</v>
      </c>
    </row>
    <row r="121" spans="2:21" s="956" customFormat="1" ht="47.25" x14ac:dyDescent="0.2">
      <c r="B121" s="945" t="s">
        <v>460</v>
      </c>
      <c r="C121" s="946" t="str">
        <f>INDEX('Orçamento Analítico'!$B:$M,MATCH('ORÇ. SINTÉTICO'!B121,'Orçamento Analítico'!$B:$B,0)+1,2)</f>
        <v xml:space="preserve"> 94991 </v>
      </c>
      <c r="D121" s="946" t="str">
        <f>INDEX('Orçamento Analítico'!$B:$M,MATCH('ORÇ. SINTÉTICO'!B121,'Orçamento Analítico'!$B:$B,0)+1,3)</f>
        <v>SINAPI</v>
      </c>
      <c r="E121" s="946" t="str">
        <f>INDEX('Orçamento Analítico'!$B:$M,MATCH('ORÇ. SINTÉTICO'!B121,'Orçamento Analítico'!$B:$B,0)+1,4)</f>
        <v>EXECUÇÃO DE PASSEIO (CALÇADA) OU PISO DE CONCRETO COM CONCRETO MOLDADO IN LOCO, USINADO C20, ACABAMENTO CONVENCIONAL, NÃO ARMADO. AF_08/2022</v>
      </c>
      <c r="F121" s="947"/>
      <c r="G121" s="948" t="str">
        <f>INDEX('Orçamento Analítico'!$B:$M,MATCH('ORÇ. SINTÉTICO'!$B121,'Orçamento Analítico'!$B:$B,0)+1,5)</f>
        <v>Passeios de Concreto</v>
      </c>
      <c r="H121" s="947" t="str">
        <f>INDEX('Orçamento Analítico'!$B:$M,MATCH('ORÇ. SINTÉTICO'!B121,'Orçamento Analítico'!$B:$B,0)+1,7)</f>
        <v>m³</v>
      </c>
      <c r="I121" s="959">
        <f>'CALÇADA E ACESS.'!AF38</f>
        <v>83.1</v>
      </c>
      <c r="J121" s="950">
        <f>INDEX('Orçamento Analítico'!$B:$M,MATCH(B121,'Orçamento Analítico'!$B:$B,0)+1,10)</f>
        <v>827.33</v>
      </c>
      <c r="K121" s="951">
        <f t="shared" si="111"/>
        <v>0.24229999999999999</v>
      </c>
      <c r="L121" s="952">
        <f t="shared" si="134"/>
        <v>1027.79</v>
      </c>
      <c r="M121" s="952">
        <f t="shared" si="135"/>
        <v>68751.12</v>
      </c>
      <c r="N121" s="952">
        <f t="shared" si="136"/>
        <v>85409.34</v>
      </c>
      <c r="O121" s="955">
        <f t="shared" si="106"/>
        <v>1.1013244235804142E-2</v>
      </c>
      <c r="P121" s="954">
        <f>INDEX('Orçamento Analítico'!$B:$M,MATCH(B121,'Orçamento Analítico'!$B:$B,0)+1,12)</f>
        <v>822.3</v>
      </c>
      <c r="Q121" s="951">
        <f t="shared" si="117"/>
        <v>0.30659999999999998</v>
      </c>
      <c r="R121" s="952">
        <f t="shared" si="137"/>
        <v>1074.4100000000001</v>
      </c>
      <c r="S121" s="952">
        <f t="shared" si="138"/>
        <v>68333.13</v>
      </c>
      <c r="T121" s="952">
        <f t="shared" si="139"/>
        <v>89283.47</v>
      </c>
      <c r="U121" s="955">
        <f t="shared" si="72"/>
        <v>1.1078218674944396E-2</v>
      </c>
    </row>
    <row r="122" spans="2:21" s="956" customFormat="1" ht="31.5" x14ac:dyDescent="0.2">
      <c r="B122" s="945" t="s">
        <v>461</v>
      </c>
      <c r="C122" s="946" t="str">
        <f>INDEX('Orçamento Analítico'!$B:$M,MATCH('ORÇ. SINTÉTICO'!B122,'Orçamento Analítico'!$B:$B,0)+1,2)</f>
        <v xml:space="preserve"> 104658 </v>
      </c>
      <c r="D122" s="946" t="str">
        <f>INDEX('Orçamento Analítico'!$B:$M,MATCH('ORÇ. SINTÉTICO'!B122,'Orçamento Analítico'!$B:$B,0)+1,3)</f>
        <v>SINAPI</v>
      </c>
      <c r="E122" s="946" t="str">
        <f>INDEX('Orçamento Analítico'!$B:$M,MATCH('ORÇ. SINTÉTICO'!B122,'Orçamento Analítico'!$B:$B,0)+1,4)</f>
        <v>PISO PODOTÁTIL DE ALERTA OU DIRECIONAL, DE CONCRETO, ASSENTADO SOBRE ARGAMASSA. AF_03/2024</v>
      </c>
      <c r="F122" s="947"/>
      <c r="G122" s="948" t="str">
        <f>INDEX('Orçamento Analítico'!$B:$M,MATCH('ORÇ. SINTÉTICO'!$B122,'Orçamento Analítico'!$B:$B,0)+1,5)</f>
        <v>Acessibilidade</v>
      </c>
      <c r="H122" s="947" t="str">
        <f>INDEX('Orçamento Analítico'!$B:$M,MATCH('ORÇ. SINTÉTICO'!B122,'Orçamento Analítico'!$B:$B,0)+1,7)</f>
        <v>m²</v>
      </c>
      <c r="I122" s="959">
        <f>'CALÇADA E ACESS.'!AF35</f>
        <v>193.44</v>
      </c>
      <c r="J122" s="950">
        <f>INDEX('Orçamento Analítico'!$B:$M,MATCH(B122,'Orçamento Analítico'!$B:$B,0)+1,10)</f>
        <v>175.12</v>
      </c>
      <c r="K122" s="951">
        <f t="shared" si="111"/>
        <v>0.24229999999999999</v>
      </c>
      <c r="L122" s="952">
        <f t="shared" si="134"/>
        <v>217.55</v>
      </c>
      <c r="M122" s="952">
        <f t="shared" si="135"/>
        <v>33875.21</v>
      </c>
      <c r="N122" s="952">
        <f t="shared" si="136"/>
        <v>42082.87</v>
      </c>
      <c r="O122" s="961">
        <f t="shared" si="106"/>
        <v>5.4264431203144186E-3</v>
      </c>
      <c r="P122" s="954">
        <f>INDEX('Orçamento Analítico'!$B:$M,MATCH(B122,'Orçamento Analítico'!$B:$B,0)+1,12)</f>
        <v>172.52</v>
      </c>
      <c r="Q122" s="951">
        <f t="shared" si="117"/>
        <v>0.30659999999999998</v>
      </c>
      <c r="R122" s="952">
        <f t="shared" si="137"/>
        <v>225.41</v>
      </c>
      <c r="S122" s="952">
        <f t="shared" si="138"/>
        <v>33372.26</v>
      </c>
      <c r="T122" s="952">
        <f t="shared" si="139"/>
        <v>43603.31</v>
      </c>
      <c r="U122" s="961">
        <f t="shared" si="72"/>
        <v>5.4102624274279401E-3</v>
      </c>
    </row>
    <row r="123" spans="2:21" s="956" customFormat="1" ht="63" x14ac:dyDescent="0.2">
      <c r="B123" s="945" t="s">
        <v>462</v>
      </c>
      <c r="C123" s="946" t="str">
        <f>INDEX('Orçamento Analítico'!$B:$M,MATCH('ORÇ. SINTÉTICO'!B123,'Orçamento Analítico'!$B:$B,0)+1,2)</f>
        <v xml:space="preserve"> 100947 </v>
      </c>
      <c r="D123" s="946" t="str">
        <f>INDEX('Orçamento Analítico'!$B:$M,MATCH('ORÇ. SINTÉTICO'!B123,'Orçamento Analítico'!$B:$B,0)+1,3)</f>
        <v>SINAPI</v>
      </c>
      <c r="E123" s="946" t="str">
        <f>INDEX('Orçamento Analítico'!$B:$M,MATCH('ORÇ. SINTÉTICO'!B123,'Orçamento Analítico'!$B:$B,0)+1,4)</f>
        <v>TRANSPORTE COM CAMINHÃO CARROCERIA 9T, EM VIA URBANA PAVIMENTADA, DMT ATÉ 30KM (UNIDADE: TXKM). AF_07/2020</v>
      </c>
      <c r="F123" s="947">
        <f>DMT!F12</f>
        <v>5.0999999999999996</v>
      </c>
      <c r="G123" s="948" t="str">
        <f>INDEX('Orçamento Analítico'!$B:$M,MATCH('ORÇ. SINTÉTICO'!$B123,'Orçamento Analítico'!$B:$B,0)+1,5)</f>
        <v>Transporte, Carga e Descarga de Materiais</v>
      </c>
      <c r="H123" s="947" t="str">
        <f>INDEX('Orçamento Analítico'!$B:$M,MATCH('ORÇ. SINTÉTICO'!B123,'Orçamento Analítico'!$B:$B,0)+1,7)</f>
        <v>TXKM</v>
      </c>
      <c r="I123" s="959">
        <f>'CALÇADA E ACESS.'!Y35</f>
        <v>61.65</v>
      </c>
      <c r="J123" s="950">
        <f>INDEX('Orçamento Analítico'!$B:$M,MATCH(B123,'Orçamento Analítico'!$B:$B,0)+1,10)</f>
        <v>2.2599999999999998</v>
      </c>
      <c r="K123" s="951">
        <f t="shared" si="111"/>
        <v>0.24229999999999999</v>
      </c>
      <c r="L123" s="952">
        <f t="shared" si="134"/>
        <v>2.8</v>
      </c>
      <c r="M123" s="952">
        <f t="shared" si="135"/>
        <v>139.32</v>
      </c>
      <c r="N123" s="952">
        <f t="shared" si="136"/>
        <v>172.62</v>
      </c>
      <c r="O123" s="961">
        <f t="shared" si="106"/>
        <v>2.2258762566067261E-5</v>
      </c>
      <c r="P123" s="954">
        <f>INDEX('Orçamento Analítico'!$B:$M,MATCH(B123,'Orçamento Analítico'!$B:$B,0)+1,12)</f>
        <v>2.23</v>
      </c>
      <c r="Q123" s="951">
        <f t="shared" si="117"/>
        <v>0.30659999999999998</v>
      </c>
      <c r="R123" s="952">
        <f t="shared" si="137"/>
        <v>2.91</v>
      </c>
      <c r="S123" s="952">
        <f t="shared" si="138"/>
        <v>137.47</v>
      </c>
      <c r="T123" s="952">
        <f t="shared" si="139"/>
        <v>179.4</v>
      </c>
      <c r="U123" s="961">
        <f t="shared" si="72"/>
        <v>2.225980274159399E-5</v>
      </c>
    </row>
    <row r="124" spans="2:21" x14ac:dyDescent="0.2">
      <c r="B124" s="719" t="s">
        <v>379</v>
      </c>
      <c r="C124" s="840"/>
      <c r="D124" s="720"/>
      <c r="E124" s="720" t="s">
        <v>380</v>
      </c>
      <c r="F124" s="601"/>
      <c r="G124" s="601"/>
      <c r="H124" s="601"/>
      <c r="I124" s="722"/>
      <c r="J124" s="620"/>
      <c r="K124" s="602"/>
      <c r="L124" s="603"/>
      <c r="M124" s="603">
        <f>TRUNC(SUM(M125:M129),2)</f>
        <v>91192.69</v>
      </c>
      <c r="N124" s="603">
        <f>TRUNC(SUM(N125:N129),2)</f>
        <v>113286.68</v>
      </c>
      <c r="O124" s="624">
        <f t="shared" si="106"/>
        <v>1.4607932522407835E-2</v>
      </c>
      <c r="P124" s="842"/>
      <c r="Q124" s="602"/>
      <c r="R124" s="603"/>
      <c r="S124" s="603">
        <f>TRUNC(SUM(S125:S129),2)</f>
        <v>90917.95</v>
      </c>
      <c r="T124" s="603">
        <f>TRUNC(SUM(T125:T129),2)</f>
        <v>118791.98</v>
      </c>
      <c r="U124" s="624">
        <f t="shared" ref="U124" si="140">T124/$M$135</f>
        <v>1.531782225450707E-2</v>
      </c>
    </row>
    <row r="125" spans="2:21" s="956" customFormat="1" ht="31.5" x14ac:dyDescent="0.2">
      <c r="B125" s="945" t="s">
        <v>463</v>
      </c>
      <c r="C125" s="946" t="str">
        <f>INDEX('Orçamento Analítico'!$B:$M,MATCH('ORÇ. SINTÉTICO'!B125,'Orçamento Analítico'!$B:$B,0)+1,2)</f>
        <v xml:space="preserve"> 5213408 </v>
      </c>
      <c r="D125" s="946" t="s">
        <v>744</v>
      </c>
      <c r="E125" s="946" t="str">
        <f>INDEX('Orçamento Analítico'!$B:$M,MATCH('ORÇ. SINTÉTICO'!B125,'Orçamento Analítico'!$B:$B,0)+1,4)</f>
        <v>Pintura de faixa com termoplástico por aspersão - espessura de 1,5 mm</v>
      </c>
      <c r="F125" s="947"/>
      <c r="G125" s="948" t="str">
        <f>INDEX('Orçamento Analítico'!$B:$M,MATCH('ORÇ. SINTÉTICO'!$B125,'Orçamento Analítico'!$B:$B,0)+1,5)</f>
        <v/>
      </c>
      <c r="H125" s="947" t="str">
        <f>INDEX('Orçamento Analítico'!$B:$M,MATCH('ORÇ. SINTÉTICO'!B125,'Orçamento Analítico'!$B:$B,0)+1,7)</f>
        <v>m²</v>
      </c>
      <c r="I125" s="959">
        <f>SINALIZAÇÃO!G11</f>
        <v>263.94</v>
      </c>
      <c r="J125" s="950">
        <f>INDEX('Orçamento Analítico'!$B:$M,MATCH(B125,'Orçamento Analítico'!$B:$B,0)+1,10)</f>
        <v>47.84</v>
      </c>
      <c r="K125" s="951">
        <f t="shared" si="111"/>
        <v>0.24229999999999999</v>
      </c>
      <c r="L125" s="952">
        <f t="shared" ref="L125" si="141">TRUNC(J125*(1+K125),2)</f>
        <v>59.43</v>
      </c>
      <c r="M125" s="952">
        <f t="shared" ref="M125" si="142">TRUNC($I125 * J125, 2)</f>
        <v>12626.88</v>
      </c>
      <c r="N125" s="952">
        <f t="shared" ref="N125" si="143">TRUNC($I125 * L125, 2)</f>
        <v>15685.95</v>
      </c>
      <c r="O125" s="961">
        <f t="shared" si="106"/>
        <v>2.0226499633484111E-3</v>
      </c>
      <c r="P125" s="954">
        <f>INDEX('Orçamento Analítico'!$B:$M,MATCH(B125,'Orçamento Analítico'!$B:$B,0)+1,12)</f>
        <v>47.69</v>
      </c>
      <c r="Q125" s="951">
        <f t="shared" si="117"/>
        <v>0.30659999999999998</v>
      </c>
      <c r="R125" s="952">
        <f t="shared" ref="R125" si="144">TRUNC(P125*(1+Q125),2)</f>
        <v>62.31</v>
      </c>
      <c r="S125" s="952">
        <f t="shared" ref="S125" si="145">TRUNC($I125 * P125, 2)</f>
        <v>12587.29</v>
      </c>
      <c r="T125" s="952">
        <f t="shared" ref="T125" si="146">TRUNC($I125 * R125, 2)</f>
        <v>16446.099999999999</v>
      </c>
      <c r="U125" s="961">
        <f t="shared" si="72"/>
        <v>2.0406184050642635E-3</v>
      </c>
    </row>
    <row r="126" spans="2:21" s="956" customFormat="1" ht="31.5" x14ac:dyDescent="0.2">
      <c r="B126" s="945" t="s">
        <v>464</v>
      </c>
      <c r="C126" s="946" t="str">
        <f>INDEX('Orçamento Analítico'!$B:$M,MATCH('ORÇ. SINTÉTICO'!B126,'Orçamento Analítico'!$B:$B,0)+1,2)</f>
        <v xml:space="preserve"> 5214003 </v>
      </c>
      <c r="D126" s="946" t="s">
        <v>744</v>
      </c>
      <c r="E126" s="946" t="str">
        <f>INDEX('Orçamento Analítico'!$B:$M,MATCH('ORÇ. SINTÉTICO'!B126,'Orçamento Analítico'!$B:$B,0)+1,4)</f>
        <v>Pintura de setas e zebrados com termoplástico por aspersão - espessura de 1,5 mm</v>
      </c>
      <c r="F126" s="947"/>
      <c r="G126" s="948" t="str">
        <f>INDEX('Orçamento Analítico'!$B:$M,MATCH('ORÇ. SINTÉTICO'!$B126,'Orçamento Analítico'!$B:$B,0)+1,5)</f>
        <v/>
      </c>
      <c r="H126" s="947" t="str">
        <f>INDEX('Orçamento Analítico'!$B:$M,MATCH('ORÇ. SINTÉTICO'!B126,'Orçamento Analítico'!$B:$B,0)+1,7)</f>
        <v>m²</v>
      </c>
      <c r="I126" s="959">
        <f>SINALIZAÇÃO!G12+SINALIZAÇÃO!G13</f>
        <v>160.98000000000002</v>
      </c>
      <c r="J126" s="950">
        <f>INDEX('Orçamento Analítico'!$B:$M,MATCH(B126,'Orçamento Analítico'!$B:$B,0)+1,10)</f>
        <v>60.53</v>
      </c>
      <c r="K126" s="951">
        <f t="shared" si="111"/>
        <v>0.24229999999999999</v>
      </c>
      <c r="L126" s="952">
        <f t="shared" ref="L126:L129" si="147">TRUNC(J126*(1+K126),2)</f>
        <v>75.19</v>
      </c>
      <c r="M126" s="952">
        <f t="shared" ref="M126:M129" si="148">TRUNC($I126 * J126, 2)</f>
        <v>9744.11</v>
      </c>
      <c r="N126" s="952">
        <f t="shared" ref="N126:N129" si="149">TRUNC($I126 * L126, 2)</f>
        <v>12104.08</v>
      </c>
      <c r="O126" s="961">
        <f t="shared" si="106"/>
        <v>1.5607799953695017E-3</v>
      </c>
      <c r="P126" s="954">
        <f>INDEX('Orçamento Analítico'!$B:$M,MATCH(B126,'Orçamento Analítico'!$B:$B,0)+1,12)</f>
        <v>60.15</v>
      </c>
      <c r="Q126" s="951">
        <f t="shared" si="117"/>
        <v>0.30659999999999998</v>
      </c>
      <c r="R126" s="952">
        <f t="shared" ref="R126:R129" si="150">TRUNC(P126*(1+Q126),2)</f>
        <v>78.59</v>
      </c>
      <c r="S126" s="952">
        <f t="shared" ref="S126:S129" si="151">TRUNC($I126 * P126, 2)</f>
        <v>9682.94</v>
      </c>
      <c r="T126" s="952">
        <f t="shared" ref="T126:T129" si="152">TRUNC($I126 * R126, 2)</f>
        <v>12651.41</v>
      </c>
      <c r="U126" s="961">
        <f t="shared" si="72"/>
        <v>1.5697764269957057E-3</v>
      </c>
    </row>
    <row r="127" spans="2:21" s="964" customFormat="1" ht="47.25" x14ac:dyDescent="0.25">
      <c r="B127" s="945" t="s">
        <v>465</v>
      </c>
      <c r="C127" s="946" t="str">
        <f>INDEX('Orçamento Analítico'!$B:$M,MATCH('ORÇ. SINTÉTICO'!B127,'Orçamento Analítico'!$B:$B,0)+1,2)</f>
        <v xml:space="preserve"> SIN.VERT.01 </v>
      </c>
      <c r="D127" s="946" t="s">
        <v>509</v>
      </c>
      <c r="E127" s="946" t="str">
        <f>INDEX('Orçamento Analítico'!$B:$M,MATCH('ORÇ. SINTÉTICO'!B127,'Orçamento Analítico'!$B:$B,0)+1,4)</f>
        <v>Fornecimento e instalação de placa de sinalização vertical (até 0,36 m²), incluindo suporte de aço galvanizado fixado em base de concreto não estrutural</v>
      </c>
      <c r="F127" s="947"/>
      <c r="G127" s="948" t="str">
        <f>INDEX('Orçamento Analítico'!$B:$M,MATCH('ORÇ. SINTÉTICO'!$B127,'Orçamento Analítico'!$B:$B,0)+1,5)</f>
        <v>SEDI - SERVIÇOS DIVERSOS</v>
      </c>
      <c r="H127" s="947" t="str">
        <f>INDEX('Orçamento Analítico'!$B:$M,MATCH('ORÇ. SINTÉTICO'!B127,'Orçamento Analítico'!$B:$B,0)+1,7)</f>
        <v>und</v>
      </c>
      <c r="I127" s="959">
        <f>SINALIZAÇÃO!G19</f>
        <v>93</v>
      </c>
      <c r="J127" s="950">
        <f>INDEX('Orçamento Analítico'!$B:$M,MATCH(B127,'Orçamento Analítico'!$B:$B,0)+1,10)</f>
        <v>619.70000000000005</v>
      </c>
      <c r="K127" s="951">
        <f t="shared" si="111"/>
        <v>0.24229999999999999</v>
      </c>
      <c r="L127" s="952">
        <f t="shared" si="147"/>
        <v>769.85</v>
      </c>
      <c r="M127" s="952">
        <f t="shared" si="148"/>
        <v>57632.1</v>
      </c>
      <c r="N127" s="952">
        <f t="shared" si="149"/>
        <v>71596.05</v>
      </c>
      <c r="O127" s="961">
        <f t="shared" si="106"/>
        <v>9.2320674175546281E-3</v>
      </c>
      <c r="P127" s="954">
        <f>INDEX('Orçamento Analítico'!$B:$M,MATCH(B127,'Orçamento Analítico'!$B:$B,0)+1,12)</f>
        <v>618.24</v>
      </c>
      <c r="Q127" s="951">
        <f t="shared" si="117"/>
        <v>0.30659999999999998</v>
      </c>
      <c r="R127" s="952">
        <f t="shared" si="150"/>
        <v>807.79</v>
      </c>
      <c r="S127" s="952">
        <f t="shared" si="151"/>
        <v>57496.32</v>
      </c>
      <c r="T127" s="952">
        <f t="shared" si="152"/>
        <v>75124.47</v>
      </c>
      <c r="U127" s="961">
        <f t="shared" si="72"/>
        <v>9.3213817350434516E-3</v>
      </c>
    </row>
    <row r="128" spans="2:21" s="964" customFormat="1" ht="31.5" x14ac:dyDescent="0.25">
      <c r="B128" s="945" t="s">
        <v>466</v>
      </c>
      <c r="C128" s="946" t="str">
        <f>INDEX('Orçamento Analítico'!$B:$M,MATCH('ORÇ. SINTÉTICO'!B128,'Orçamento Analítico'!$B:$B,0)+1,2)</f>
        <v xml:space="preserve"> SIN.VERT.03 </v>
      </c>
      <c r="D128" s="945" t="s">
        <v>509</v>
      </c>
      <c r="E128" s="946" t="str">
        <f>INDEX('Orçamento Analítico'!$B:$M,MATCH('ORÇ. SINTÉTICO'!B128,'Orçamento Analítico'!$B:$B,0)+1,4)</f>
        <v>PLACA ESMALTADA PARA IDENTIFICAÇÃO NR DE RUA, DIMENSÕES 45X20CM (Ref. SINAPI 73916/002-01/2020)</v>
      </c>
      <c r="F128" s="947"/>
      <c r="G128" s="948" t="str">
        <f>INDEX('Orçamento Analítico'!$B:$M,MATCH('ORÇ. SINTÉTICO'!$B128,'Orçamento Analítico'!$B:$B,0)+1,5)</f>
        <v>SEDI - SERVIÇOS DIVERSOS</v>
      </c>
      <c r="H128" s="947" t="str">
        <f>INDEX('Orçamento Analítico'!$B:$M,MATCH('ORÇ. SINTÉTICO'!B128,'Orçamento Analítico'!$B:$B,0)+1,7)</f>
        <v>un</v>
      </c>
      <c r="I128" s="959">
        <f>SINALIZAÇÃO!G24</f>
        <v>40</v>
      </c>
      <c r="J128" s="950">
        <f>INDEX('Orçamento Analítico'!$B:$M,MATCH(B128,'Orçamento Analítico'!$B:$B,0)+1,10)</f>
        <v>141.66</v>
      </c>
      <c r="K128" s="951">
        <f t="shared" si="111"/>
        <v>0.24229999999999999</v>
      </c>
      <c r="L128" s="952">
        <f t="shared" si="147"/>
        <v>175.98</v>
      </c>
      <c r="M128" s="952">
        <f t="shared" si="148"/>
        <v>5666.4</v>
      </c>
      <c r="N128" s="952">
        <f t="shared" si="149"/>
        <v>7039.2</v>
      </c>
      <c r="O128" s="961">
        <f t="shared" si="106"/>
        <v>9.0768092605179385E-4</v>
      </c>
      <c r="P128" s="954">
        <f>INDEX('Orçamento Analítico'!$B:$M,MATCH(B128,'Orçamento Analítico'!$B:$B,0)+1,12)</f>
        <v>141.18</v>
      </c>
      <c r="Q128" s="951">
        <f t="shared" si="117"/>
        <v>0.30659999999999998</v>
      </c>
      <c r="R128" s="952">
        <f t="shared" si="150"/>
        <v>184.46</v>
      </c>
      <c r="S128" s="952">
        <f t="shared" si="151"/>
        <v>5647.2</v>
      </c>
      <c r="T128" s="952">
        <f t="shared" si="152"/>
        <v>7378.4</v>
      </c>
      <c r="U128" s="961">
        <f t="shared" si="72"/>
        <v>9.1550573326966043E-4</v>
      </c>
    </row>
    <row r="129" spans="2:22" s="964" customFormat="1" ht="31.5" x14ac:dyDescent="0.25">
      <c r="B129" s="965" t="s">
        <v>467</v>
      </c>
      <c r="C129" s="946" t="str">
        <f>INDEX('Orçamento Analítico'!$B:$M,MATCH('ORÇ. SINTÉTICO'!B129,'Orçamento Analítico'!$B:$B,0)+1,2)</f>
        <v xml:space="preserve"> SIN.VERT.04 </v>
      </c>
      <c r="D129" s="966" t="s">
        <v>509</v>
      </c>
      <c r="E129" s="946" t="str">
        <f>INDEX('Orçamento Analítico'!$B:$M,MATCH('ORÇ. SINTÉTICO'!B129,'Orçamento Analítico'!$B:$B,0)+1,4)</f>
        <v>CONFECÇÃO DE SUPORTE DE TUBO DE AÇO GALVANIZADO 2" E TRAVESSA PARA PLACA DE LOGRADOURO</v>
      </c>
      <c r="F129" s="967"/>
      <c r="G129" s="948" t="str">
        <f>INDEX('Orçamento Analítico'!$B:$M,MATCH('ORÇ. SINTÉTICO'!$B129,'Orçamento Analítico'!$B:$B,0)+1,5)</f>
        <v>SEDI - SERVIÇOS DIVERSOS</v>
      </c>
      <c r="H129" s="947" t="str">
        <f>INDEX('Orçamento Analítico'!$B:$M,MATCH('ORÇ. SINTÉTICO'!B129,'Orçamento Analítico'!$B:$B,0)+1,7)</f>
        <v>un</v>
      </c>
      <c r="I129" s="968">
        <f>SINALIZAÇÃO!G25</f>
        <v>20</v>
      </c>
      <c r="J129" s="950">
        <f>INDEX('Orçamento Analítico'!$B:$M,MATCH(B129,'Orçamento Analítico'!$B:$B,0)+1,10)</f>
        <v>276.16000000000003</v>
      </c>
      <c r="K129" s="951">
        <f t="shared" si="111"/>
        <v>0.24229999999999999</v>
      </c>
      <c r="L129" s="952">
        <f t="shared" si="147"/>
        <v>343.07</v>
      </c>
      <c r="M129" s="952">
        <f t="shared" si="148"/>
        <v>5523.2</v>
      </c>
      <c r="N129" s="952">
        <f t="shared" si="149"/>
        <v>6861.4</v>
      </c>
      <c r="O129" s="969">
        <f t="shared" si="106"/>
        <v>8.8475422008350065E-4</v>
      </c>
      <c r="P129" s="954">
        <f>INDEX('Orçamento Analítico'!$B:$M,MATCH(B129,'Orçamento Analítico'!$B:$B,0)+1,12)</f>
        <v>275.20999999999998</v>
      </c>
      <c r="Q129" s="970">
        <f t="shared" si="117"/>
        <v>0.30659999999999998</v>
      </c>
      <c r="R129" s="952">
        <f t="shared" si="150"/>
        <v>359.58</v>
      </c>
      <c r="S129" s="952">
        <f t="shared" si="151"/>
        <v>5504.2</v>
      </c>
      <c r="T129" s="952">
        <f t="shared" si="152"/>
        <v>7191.6</v>
      </c>
      <c r="U129" s="969">
        <f>T129/$S$135</f>
        <v>8.9232774468476779E-4</v>
      </c>
      <c r="V129" s="971"/>
    </row>
    <row r="130" spans="2:22" x14ac:dyDescent="0.2">
      <c r="B130" s="723" t="s">
        <v>381</v>
      </c>
      <c r="C130" s="840"/>
      <c r="D130" s="723"/>
      <c r="E130" s="723" t="s">
        <v>382</v>
      </c>
      <c r="F130" s="724"/>
      <c r="G130" s="724"/>
      <c r="H130" s="724"/>
      <c r="I130" s="730"/>
      <c r="J130" s="620"/>
      <c r="K130" s="602"/>
      <c r="L130" s="603"/>
      <c r="M130" s="603">
        <f>TRUNC(SUM(M131),2)</f>
        <v>309258</v>
      </c>
      <c r="N130" s="603">
        <f>TRUNC(SUM(N131),2)</f>
        <v>384191.21</v>
      </c>
      <c r="O130" s="731">
        <f>N130/$M$135</f>
        <v>4.9540151334492445E-2</v>
      </c>
      <c r="P130" s="842"/>
      <c r="Q130" s="723"/>
      <c r="R130" s="603"/>
      <c r="S130" s="603">
        <f>TRUNC(SUM(S131),2)</f>
        <v>288754</v>
      </c>
      <c r="T130" s="603">
        <f>TRUNC(SUM(T131),2)</f>
        <v>377285.97</v>
      </c>
      <c r="U130" s="731">
        <f t="shared" ref="U130:U131" si="153">T130/$M$135</f>
        <v>4.864974409534454E-2</v>
      </c>
    </row>
    <row r="131" spans="2:22" s="956" customFormat="1" ht="33.75" customHeight="1" x14ac:dyDescent="0.2">
      <c r="B131" s="972" t="s">
        <v>468</v>
      </c>
      <c r="C131" s="946" t="str">
        <f>INDEX('Orçamento Analítico'!$B:$M,MATCH('ORÇ. SINTÉTICO'!B131,'Orçamento Analítico'!$B:$B,0)+1,2)</f>
        <v xml:space="preserve"> ADM.JB </v>
      </c>
      <c r="D131" s="972" t="s">
        <v>509</v>
      </c>
      <c r="E131" s="973" t="str">
        <f>INDEX('Orçamento Analítico'!$B:$M,MATCH('ORÇ. SINTÉTICO'!B131,'Orçamento Analítico'!$B:$B,0)+1,4)</f>
        <v>ADMINISTRAÇÃO LOCAL DO CANTEIRO DE OBRAS - JARDIM BRASILIA</v>
      </c>
      <c r="F131" s="974"/>
      <c r="G131" s="948" t="str">
        <f>INDEX('Orçamento Analítico'!$B:$M,MATCH('ORÇ. SINTÉTICO'!$B131,'Orçamento Analítico'!$B:$B,0)+1,5)</f>
        <v>SEDI - SERVIÇOS DIVERSOS</v>
      </c>
      <c r="H131" s="947" t="str">
        <f>INDEX('Orçamento Analítico'!$B:$M,MATCH('ORÇ. SINTÉTICO'!B131,'Orçamento Analítico'!$B:$B,0)+1,7)</f>
        <v>un</v>
      </c>
      <c r="I131" s="975">
        <v>1</v>
      </c>
      <c r="J131" s="950">
        <f>INDEX('Orçamento Analítico'!$B:$M,MATCH(B131,'Orçamento Analítico'!$B:$B,0)+1,10)</f>
        <v>309258</v>
      </c>
      <c r="K131" s="976">
        <f t="shared" si="111"/>
        <v>0.24229999999999999</v>
      </c>
      <c r="L131" s="952">
        <f>TRUNC(J131*(1+K131),2)</f>
        <v>384191.21</v>
      </c>
      <c r="M131" s="952">
        <f>TRUNC($I131 * J131, 2)</f>
        <v>309258</v>
      </c>
      <c r="N131" s="977">
        <f>TRUNC($I131 * L131, 2)</f>
        <v>384191.21</v>
      </c>
      <c r="O131" s="978">
        <f t="shared" ref="O131" si="154">N131/$M$135</f>
        <v>4.9540151334492445E-2</v>
      </c>
      <c r="P131" s="954">
        <f>INDEX('Orçamento Analítico'!$B:$M,MATCH(B131,'Orçamento Analítico'!$B:$B,0)+1,12)</f>
        <v>288754</v>
      </c>
      <c r="Q131" s="976">
        <f t="shared" ref="Q131" si="155">IF((OR($G131="MATERIAL",$G131="Equipamento")),Q$5,Q$4)</f>
        <v>0.30659999999999998</v>
      </c>
      <c r="R131" s="952">
        <f>TRUNC(P131*(1+Q131),2)</f>
        <v>377285.97</v>
      </c>
      <c r="S131" s="952">
        <f>TRUNC($I131 * P131, 2)</f>
        <v>288754</v>
      </c>
      <c r="T131" s="977">
        <f>TRUNC($I131 * R131, 2)</f>
        <v>377285.97</v>
      </c>
      <c r="U131" s="978">
        <f t="shared" si="153"/>
        <v>4.864974409534454E-2</v>
      </c>
    </row>
    <row r="132" spans="2:22" x14ac:dyDescent="0.2">
      <c r="J132" s="696"/>
      <c r="K132" s="706"/>
      <c r="L132" s="706"/>
      <c r="M132" s="707"/>
      <c r="N132" s="707"/>
      <c r="O132" s="708"/>
      <c r="Q132" s="706"/>
      <c r="R132" s="706"/>
      <c r="S132" s="707"/>
      <c r="T132" s="707"/>
      <c r="U132" s="708"/>
    </row>
    <row r="133" spans="2:22" x14ac:dyDescent="0.2">
      <c r="J133" s="696"/>
      <c r="K133" s="998" t="s">
        <v>383</v>
      </c>
      <c r="L133" s="998"/>
      <c r="M133" s="1000">
        <f>$M$130+$M$124+$M$116+$M$88+$M$31+$M$9</f>
        <v>6343333.2400000002</v>
      </c>
      <c r="N133" s="1000"/>
      <c r="O133" s="1001"/>
      <c r="Q133" s="998" t="s">
        <v>383</v>
      </c>
      <c r="R133" s="998"/>
      <c r="S133" s="1000">
        <f>$S$130+$S$124+$S$116+$S$88+$S$31+$S$9</f>
        <v>6271782.7599999998</v>
      </c>
      <c r="T133" s="1000"/>
      <c r="U133" s="1001"/>
    </row>
    <row r="134" spans="2:22" x14ac:dyDescent="0.2">
      <c r="J134" s="696"/>
      <c r="K134" s="998" t="s">
        <v>384</v>
      </c>
      <c r="L134" s="998"/>
      <c r="M134" s="1000">
        <f>M135-M133</f>
        <v>1411814.8499999996</v>
      </c>
      <c r="N134" s="1000"/>
      <c r="O134" s="1001"/>
      <c r="Q134" s="998" t="s">
        <v>384</v>
      </c>
      <c r="R134" s="998"/>
      <c r="S134" s="1000">
        <f>S135-S133</f>
        <v>1787587.8499999996</v>
      </c>
      <c r="T134" s="1000"/>
      <c r="U134" s="1001"/>
    </row>
    <row r="135" spans="2:22" ht="16.5" thickBot="1" x14ac:dyDescent="0.25">
      <c r="J135" s="697"/>
      <c r="K135" s="999" t="s">
        <v>385</v>
      </c>
      <c r="L135" s="999"/>
      <c r="M135" s="1002">
        <f>$N$130+$N$124+$N$116+$N$88+$N$31+$N$9</f>
        <v>7755148.0899999999</v>
      </c>
      <c r="N135" s="1002"/>
      <c r="O135" s="1003"/>
      <c r="P135" s="734"/>
      <c r="Q135" s="999" t="s">
        <v>385</v>
      </c>
      <c r="R135" s="999"/>
      <c r="S135" s="1002">
        <f>$T$130+$T$124+$T$116+$T$88+$T$31+$T$9</f>
        <v>8059370.6099999994</v>
      </c>
      <c r="T135" s="1002"/>
      <c r="U135" s="1003"/>
    </row>
  </sheetData>
  <autoFilter ref="B9:E125"/>
  <mergeCells count="21">
    <mergeCell ref="Q133:R133"/>
    <mergeCell ref="Q134:R134"/>
    <mergeCell ref="Q135:R135"/>
    <mergeCell ref="S133:U133"/>
    <mergeCell ref="S134:U134"/>
    <mergeCell ref="S135:U135"/>
    <mergeCell ref="K133:L133"/>
    <mergeCell ref="K134:L134"/>
    <mergeCell ref="K135:L135"/>
    <mergeCell ref="M133:O133"/>
    <mergeCell ref="M134:O134"/>
    <mergeCell ref="M135:O135"/>
    <mergeCell ref="B6:U6"/>
    <mergeCell ref="J7:O7"/>
    <mergeCell ref="P7:U7"/>
    <mergeCell ref="F3:G3"/>
    <mergeCell ref="J3:L3"/>
    <mergeCell ref="N3:O3"/>
    <mergeCell ref="B4:E4"/>
    <mergeCell ref="F4:H4"/>
    <mergeCell ref="N4:O4"/>
  </mergeCells>
  <phoneticPr fontId="92" type="noConversion"/>
  <printOptions horizontalCentered="1"/>
  <pageMargins left="0.51181102362204722" right="0.51181102362204722" top="0.98425196850393704" bottom="0.70866141732283472" header="0.31496062992125984" footer="0.51181102362204722"/>
  <pageSetup paperSize="9" scale="34" fitToHeight="0" orientation="landscape" r:id="rId1"/>
  <headerFooter>
    <oddHeader>&amp;L&amp;G&amp;R&amp;G</oddHeader>
  </headerFooter>
  <rowBreaks count="3" manualBreakCount="3">
    <brk id="42" max="16383" man="1"/>
    <brk id="70" max="16383" man="1"/>
    <brk id="102" max="16383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1:M1211"/>
  <sheetViews>
    <sheetView showGridLines="0" view="pageBreakPreview" topLeftCell="A473" zoomScale="70" zoomScaleNormal="70" zoomScaleSheetLayoutView="70" workbookViewId="0">
      <selection activeCell="R487" sqref="R487"/>
    </sheetView>
  </sheetViews>
  <sheetFormatPr defaultColWidth="9.33203125" defaultRowHeight="15.75" x14ac:dyDescent="0.25"/>
  <cols>
    <col min="1" max="1" width="9.33203125" style="729"/>
    <col min="2" max="2" width="24.83203125" style="729" customWidth="1"/>
    <col min="3" max="3" width="26" style="729" customWidth="1"/>
    <col min="4" max="4" width="13.33203125" style="729" bestFit="1" customWidth="1"/>
    <col min="5" max="5" width="80" style="729" bestFit="1" customWidth="1"/>
    <col min="6" max="6" width="30" style="729" customWidth="1"/>
    <col min="7" max="7" width="18.5" style="729" customWidth="1"/>
    <col min="8" max="8" width="16.33203125" style="729" bestFit="1" customWidth="1"/>
    <col min="9" max="9" width="27.6640625" style="729" customWidth="1"/>
    <col min="10" max="10" width="30.6640625" style="729" customWidth="1"/>
    <col min="11" max="11" width="25.6640625" style="729" bestFit="1" customWidth="1"/>
    <col min="12" max="12" width="28.83203125" style="728" bestFit="1" customWidth="1"/>
    <col min="13" max="13" width="25.6640625" style="728" bestFit="1" customWidth="1"/>
    <col min="14" max="16384" width="9.33203125" style="729"/>
  </cols>
  <sheetData>
    <row r="1" spans="2:13" ht="15" customHeight="1" x14ac:dyDescent="0.25">
      <c r="B1" s="824" t="s">
        <v>363</v>
      </c>
      <c r="C1" s="809"/>
      <c r="D1" s="794"/>
      <c r="E1" s="794"/>
      <c r="F1" s="809" t="s">
        <v>364</v>
      </c>
      <c r="G1" s="809"/>
      <c r="H1" s="809"/>
      <c r="I1" s="825"/>
      <c r="J1" s="824" t="s">
        <v>469</v>
      </c>
      <c r="K1" s="825"/>
      <c r="L1" s="809" t="s">
        <v>469</v>
      </c>
      <c r="M1" s="826"/>
    </row>
    <row r="2" spans="2:13" x14ac:dyDescent="0.25">
      <c r="B2" s="1018" t="str">
        <f>'ORÇ. SINTÉTICO'!B4</f>
        <v>Projeto Executivo de Infraestrutura Urbana - Jardim Basilia - Três Lagoas R09</v>
      </c>
      <c r="C2" s="1017"/>
      <c r="D2" s="1017"/>
      <c r="E2" s="1017"/>
      <c r="F2" s="1017" t="str">
        <f>'ORÇ. SINTÉTICO'!F4</f>
        <v>SINAPI - 01/2026 - MS; SICRO3 - 10/2025 - MS; AGESUL 01/2026</v>
      </c>
      <c r="G2" s="1017"/>
      <c r="H2" s="1017"/>
      <c r="I2" s="828"/>
      <c r="J2" s="827" t="s">
        <v>386</v>
      </c>
      <c r="K2" s="828"/>
      <c r="L2" s="780" t="s">
        <v>367</v>
      </c>
      <c r="M2" s="829"/>
    </row>
    <row r="3" spans="2:13" x14ac:dyDescent="0.25">
      <c r="B3" s="830"/>
      <c r="C3" s="800"/>
      <c r="D3" s="800"/>
      <c r="E3" s="800"/>
      <c r="F3" s="800"/>
      <c r="G3" s="800"/>
      <c r="H3" s="800"/>
      <c r="I3" s="831"/>
      <c r="J3" s="830" t="s">
        <v>470</v>
      </c>
      <c r="K3" s="831"/>
      <c r="L3" s="800" t="s">
        <v>470</v>
      </c>
      <c r="M3" s="829"/>
    </row>
    <row r="4" spans="2:13" x14ac:dyDescent="0.25">
      <c r="B4" s="830"/>
      <c r="C4" s="800"/>
      <c r="D4" s="800"/>
      <c r="E4" s="800"/>
      <c r="F4" s="800"/>
      <c r="G4" s="800"/>
      <c r="H4" s="800"/>
      <c r="I4" s="831"/>
      <c r="J4" s="830" t="s">
        <v>1566</v>
      </c>
      <c r="K4" s="831"/>
      <c r="L4" s="800" t="s">
        <v>1564</v>
      </c>
      <c r="M4" s="832"/>
    </row>
    <row r="5" spans="2:13" x14ac:dyDescent="0.25">
      <c r="B5" s="830"/>
      <c r="C5" s="800"/>
      <c r="D5" s="800"/>
      <c r="E5" s="800"/>
      <c r="F5" s="800"/>
      <c r="G5" s="800"/>
      <c r="H5" s="800"/>
      <c r="I5" s="831"/>
      <c r="J5" s="830" t="s">
        <v>471</v>
      </c>
      <c r="K5" s="831"/>
      <c r="L5" s="800" t="s">
        <v>1571</v>
      </c>
      <c r="M5" s="832"/>
    </row>
    <row r="6" spans="2:13" ht="15" customHeight="1" x14ac:dyDescent="0.25">
      <c r="B6" s="1014" t="s">
        <v>472</v>
      </c>
      <c r="C6" s="1015"/>
      <c r="D6" s="1015"/>
      <c r="E6" s="1015"/>
      <c r="F6" s="1015"/>
      <c r="G6" s="1015"/>
      <c r="H6" s="1015"/>
      <c r="I6" s="1016"/>
      <c r="J6" s="781"/>
      <c r="K6" s="777"/>
      <c r="L6" s="816"/>
      <c r="M6" s="727"/>
    </row>
    <row r="7" spans="2:13" ht="24" customHeight="1" x14ac:dyDescent="0.25">
      <c r="B7" s="771" t="s">
        <v>371</v>
      </c>
      <c r="C7" s="617"/>
      <c r="D7" s="617"/>
      <c r="E7" s="617" t="s">
        <v>372</v>
      </c>
      <c r="F7" s="1012"/>
      <c r="G7" s="1013"/>
      <c r="H7" s="755"/>
      <c r="I7" s="792"/>
      <c r="J7" s="771"/>
      <c r="K7" s="796">
        <v>91112.08</v>
      </c>
      <c r="L7" s="815"/>
      <c r="M7" s="756">
        <v>93245.84</v>
      </c>
    </row>
    <row r="8" spans="2:13" ht="24" customHeight="1" x14ac:dyDescent="0.25">
      <c r="B8" s="771" t="s">
        <v>401</v>
      </c>
      <c r="C8" s="617"/>
      <c r="D8" s="617"/>
      <c r="E8" s="617" t="s">
        <v>372</v>
      </c>
      <c r="F8" s="1012"/>
      <c r="G8" s="1013"/>
      <c r="H8" s="755"/>
      <c r="I8" s="792"/>
      <c r="J8" s="771"/>
      <c r="K8" s="796">
        <v>74119.429999999993</v>
      </c>
      <c r="L8" s="815"/>
      <c r="M8" s="756">
        <v>76216.539999999994</v>
      </c>
    </row>
    <row r="9" spans="2:13" ht="18" customHeight="1" x14ac:dyDescent="0.25">
      <c r="B9" s="805" t="s">
        <v>928</v>
      </c>
      <c r="C9" s="736" t="s">
        <v>391</v>
      </c>
      <c r="D9" s="735" t="s">
        <v>392</v>
      </c>
      <c r="E9" s="735" t="s">
        <v>42</v>
      </c>
      <c r="F9" s="1004" t="s">
        <v>39</v>
      </c>
      <c r="G9" s="1005"/>
      <c r="H9" s="738" t="s">
        <v>394</v>
      </c>
      <c r="I9" s="767" t="s">
        <v>395</v>
      </c>
      <c r="J9" s="808" t="s">
        <v>396</v>
      </c>
      <c r="K9" s="767" t="s">
        <v>0</v>
      </c>
      <c r="L9" s="782" t="s">
        <v>396</v>
      </c>
      <c r="M9" s="736" t="s">
        <v>0</v>
      </c>
    </row>
    <row r="10" spans="2:13" ht="39" customHeight="1" x14ac:dyDescent="0.25">
      <c r="B10" s="789" t="s">
        <v>473</v>
      </c>
      <c r="C10" s="740" t="s">
        <v>474</v>
      </c>
      <c r="D10" s="739" t="s">
        <v>475</v>
      </c>
      <c r="E10" s="739" t="s">
        <v>476</v>
      </c>
      <c r="F10" s="1010" t="s">
        <v>1403</v>
      </c>
      <c r="G10" s="1011"/>
      <c r="H10" s="742" t="s">
        <v>1</v>
      </c>
      <c r="I10" s="803">
        <v>1</v>
      </c>
      <c r="J10" s="799">
        <v>458.76</v>
      </c>
      <c r="K10" s="814">
        <v>458.76</v>
      </c>
      <c r="L10" s="778">
        <v>456.44</v>
      </c>
      <c r="M10" s="743">
        <v>456.44</v>
      </c>
    </row>
    <row r="11" spans="2:13" ht="24" customHeight="1" x14ac:dyDescent="0.25">
      <c r="B11" s="765" t="s">
        <v>478</v>
      </c>
      <c r="C11" s="750" t="s">
        <v>481</v>
      </c>
      <c r="D11" s="749" t="s">
        <v>475</v>
      </c>
      <c r="E11" s="749" t="s">
        <v>482</v>
      </c>
      <c r="F11" s="1008" t="s">
        <v>1268</v>
      </c>
      <c r="G11" s="1009"/>
      <c r="H11" s="751" t="s">
        <v>484</v>
      </c>
      <c r="I11" s="791">
        <v>0.37290000000000001</v>
      </c>
      <c r="J11" s="802">
        <v>27.74</v>
      </c>
      <c r="K11" s="779">
        <v>10.34</v>
      </c>
      <c r="L11" s="822">
        <v>26.13</v>
      </c>
      <c r="M11" s="753">
        <v>9.74</v>
      </c>
    </row>
    <row r="12" spans="2:13" ht="24" customHeight="1" x14ac:dyDescent="0.25">
      <c r="B12" s="765" t="s">
        <v>478</v>
      </c>
      <c r="C12" s="750" t="s">
        <v>485</v>
      </c>
      <c r="D12" s="749" t="s">
        <v>475</v>
      </c>
      <c r="E12" s="749" t="s">
        <v>486</v>
      </c>
      <c r="F12" s="1008" t="s">
        <v>1268</v>
      </c>
      <c r="G12" s="1009"/>
      <c r="H12" s="751" t="s">
        <v>484</v>
      </c>
      <c r="I12" s="791">
        <v>1.1186</v>
      </c>
      <c r="J12" s="802">
        <v>22.76</v>
      </c>
      <c r="K12" s="779">
        <v>25.45</v>
      </c>
      <c r="L12" s="822">
        <v>21.55</v>
      </c>
      <c r="M12" s="753">
        <v>24.1</v>
      </c>
    </row>
    <row r="13" spans="2:13" ht="26.1" customHeight="1" x14ac:dyDescent="0.25">
      <c r="B13" s="765" t="s">
        <v>478</v>
      </c>
      <c r="C13" s="750" t="s">
        <v>479</v>
      </c>
      <c r="D13" s="749" t="s">
        <v>475</v>
      </c>
      <c r="E13" s="749" t="s">
        <v>480</v>
      </c>
      <c r="F13" s="1008" t="s">
        <v>1269</v>
      </c>
      <c r="G13" s="1009"/>
      <c r="H13" s="751" t="s">
        <v>1</v>
      </c>
      <c r="I13" s="791">
        <v>0.5</v>
      </c>
      <c r="J13" s="802">
        <v>22.42</v>
      </c>
      <c r="K13" s="779">
        <v>11.21</v>
      </c>
      <c r="L13" s="822">
        <v>21.69</v>
      </c>
      <c r="M13" s="753">
        <v>10.84</v>
      </c>
    </row>
    <row r="14" spans="2:13" ht="26.1" customHeight="1" x14ac:dyDescent="0.25">
      <c r="B14" s="765" t="s">
        <v>487</v>
      </c>
      <c r="C14" s="750" t="s">
        <v>496</v>
      </c>
      <c r="D14" s="749" t="s">
        <v>475</v>
      </c>
      <c r="E14" s="749" t="s">
        <v>497</v>
      </c>
      <c r="F14" s="1008" t="s">
        <v>490</v>
      </c>
      <c r="G14" s="1009"/>
      <c r="H14" s="751" t="s">
        <v>495</v>
      </c>
      <c r="I14" s="791">
        <v>1.32E-2</v>
      </c>
      <c r="J14" s="802">
        <v>20.74</v>
      </c>
      <c r="K14" s="779">
        <v>0.27</v>
      </c>
      <c r="L14" s="822">
        <v>20.74</v>
      </c>
      <c r="M14" s="753">
        <v>0.27</v>
      </c>
    </row>
    <row r="15" spans="2:13" ht="39" customHeight="1" x14ac:dyDescent="0.25">
      <c r="B15" s="765" t="s">
        <v>487</v>
      </c>
      <c r="C15" s="750" t="s">
        <v>492</v>
      </c>
      <c r="D15" s="749" t="s">
        <v>475</v>
      </c>
      <c r="E15" s="749" t="s">
        <v>929</v>
      </c>
      <c r="F15" s="1008" t="s">
        <v>490</v>
      </c>
      <c r="G15" s="1009"/>
      <c r="H15" s="751" t="s">
        <v>1</v>
      </c>
      <c r="I15" s="791">
        <v>1</v>
      </c>
      <c r="J15" s="802">
        <v>400</v>
      </c>
      <c r="K15" s="779">
        <v>400</v>
      </c>
      <c r="L15" s="822">
        <v>400</v>
      </c>
      <c r="M15" s="753">
        <v>400</v>
      </c>
    </row>
    <row r="16" spans="2:13" ht="26.1" customHeight="1" x14ac:dyDescent="0.25">
      <c r="B16" s="765" t="s">
        <v>487</v>
      </c>
      <c r="C16" s="750" t="s">
        <v>488</v>
      </c>
      <c r="D16" s="749" t="s">
        <v>475</v>
      </c>
      <c r="E16" s="749" t="s">
        <v>489</v>
      </c>
      <c r="F16" s="1008" t="s">
        <v>490</v>
      </c>
      <c r="G16" s="1009"/>
      <c r="H16" s="751" t="s">
        <v>491</v>
      </c>
      <c r="I16" s="791">
        <v>3.2082999999999999</v>
      </c>
      <c r="J16" s="802">
        <v>3.45</v>
      </c>
      <c r="K16" s="779">
        <v>11.06</v>
      </c>
      <c r="L16" s="822">
        <v>3.45</v>
      </c>
      <c r="M16" s="753">
        <v>11.06</v>
      </c>
    </row>
    <row r="17" spans="2:13" ht="24" customHeight="1" x14ac:dyDescent="0.25">
      <c r="B17" s="765" t="s">
        <v>487</v>
      </c>
      <c r="C17" s="750" t="s">
        <v>493</v>
      </c>
      <c r="D17" s="749" t="s">
        <v>475</v>
      </c>
      <c r="E17" s="749" t="s">
        <v>494</v>
      </c>
      <c r="F17" s="1008" t="s">
        <v>490</v>
      </c>
      <c r="G17" s="1009"/>
      <c r="H17" s="751" t="s">
        <v>495</v>
      </c>
      <c r="I17" s="791">
        <v>1.1299999999999999E-2</v>
      </c>
      <c r="J17" s="802">
        <v>38.700000000000003</v>
      </c>
      <c r="K17" s="779">
        <v>0.43</v>
      </c>
      <c r="L17" s="822">
        <v>38.700000000000003</v>
      </c>
      <c r="M17" s="753">
        <v>0.43</v>
      </c>
    </row>
    <row r="18" spans="2:13" x14ac:dyDescent="0.25">
      <c r="B18" s="823"/>
      <c r="C18" s="744"/>
      <c r="D18" s="744"/>
      <c r="E18" s="744"/>
      <c r="F18" s="744" t="s">
        <v>498</v>
      </c>
      <c r="G18" s="745">
        <v>31.03</v>
      </c>
      <c r="H18" s="744" t="s">
        <v>499</v>
      </c>
      <c r="I18" s="787">
        <v>0</v>
      </c>
      <c r="J18" s="823" t="s">
        <v>500</v>
      </c>
      <c r="K18" s="787">
        <v>31.03</v>
      </c>
      <c r="L18" s="744" t="s">
        <v>500</v>
      </c>
      <c r="M18" s="745">
        <v>28.71</v>
      </c>
    </row>
    <row r="19" spans="2:13" ht="14.25" customHeight="1" x14ac:dyDescent="0.25">
      <c r="B19" s="823"/>
      <c r="C19" s="744"/>
      <c r="D19" s="744"/>
      <c r="E19" s="744"/>
      <c r="F19" s="744" t="s">
        <v>501</v>
      </c>
      <c r="G19" s="745">
        <v>115.74</v>
      </c>
      <c r="H19" s="744"/>
      <c r="I19" s="812" t="s">
        <v>502</v>
      </c>
      <c r="J19" s="793"/>
      <c r="K19" s="787">
        <v>574.5</v>
      </c>
      <c r="L19" s="746"/>
      <c r="M19" s="745">
        <v>596.38</v>
      </c>
    </row>
    <row r="20" spans="2:13" ht="50.1" customHeight="1" thickBot="1" x14ac:dyDescent="0.3">
      <c r="B20" s="776"/>
      <c r="C20" s="747"/>
      <c r="D20" s="747"/>
      <c r="E20" s="747"/>
      <c r="F20" s="747"/>
      <c r="G20" s="747"/>
      <c r="H20" s="747" t="s">
        <v>503</v>
      </c>
      <c r="I20" s="806" t="s">
        <v>1146</v>
      </c>
      <c r="J20" s="776" t="s">
        <v>504</v>
      </c>
      <c r="K20" s="807">
        <v>4596</v>
      </c>
      <c r="L20" s="747" t="s">
        <v>504</v>
      </c>
      <c r="M20" s="748">
        <v>4771.04</v>
      </c>
    </row>
    <row r="21" spans="2:13" ht="16.5" thickTop="1" x14ac:dyDescent="0.25">
      <c r="B21" s="768"/>
      <c r="C21" s="757"/>
      <c r="D21" s="757"/>
      <c r="E21" s="757"/>
      <c r="F21" s="757"/>
      <c r="G21" s="757"/>
      <c r="H21" s="757"/>
      <c r="I21" s="766"/>
      <c r="J21" s="768"/>
      <c r="K21" s="766"/>
      <c r="L21" s="757"/>
      <c r="M21" s="757"/>
    </row>
    <row r="22" spans="2:13" ht="18" customHeight="1" x14ac:dyDescent="0.25">
      <c r="B22" s="805" t="s">
        <v>1446</v>
      </c>
      <c r="C22" s="736" t="s">
        <v>391</v>
      </c>
      <c r="D22" s="735" t="s">
        <v>392</v>
      </c>
      <c r="E22" s="735" t="s">
        <v>42</v>
      </c>
      <c r="F22" s="1004" t="s">
        <v>39</v>
      </c>
      <c r="G22" s="1005"/>
      <c r="H22" s="738" t="s">
        <v>394</v>
      </c>
      <c r="I22" s="767" t="s">
        <v>395</v>
      </c>
      <c r="J22" s="808" t="s">
        <v>396</v>
      </c>
      <c r="K22" s="767" t="s">
        <v>0</v>
      </c>
      <c r="L22" s="782" t="s">
        <v>396</v>
      </c>
      <c r="M22" s="736" t="s">
        <v>0</v>
      </c>
    </row>
    <row r="23" spans="2:13" ht="31.5" x14ac:dyDescent="0.25">
      <c r="B23" s="797" t="s">
        <v>487</v>
      </c>
      <c r="C23" s="758" t="s">
        <v>1404</v>
      </c>
      <c r="D23" s="619" t="s">
        <v>1405</v>
      </c>
      <c r="E23" s="619" t="s">
        <v>1406</v>
      </c>
      <c r="F23" s="1006" t="s">
        <v>490</v>
      </c>
      <c r="G23" s="1007"/>
      <c r="H23" s="718" t="s">
        <v>508</v>
      </c>
      <c r="I23" s="786">
        <v>1</v>
      </c>
      <c r="J23" s="770">
        <v>800</v>
      </c>
      <c r="K23" s="774">
        <v>800</v>
      </c>
      <c r="L23" s="811">
        <v>800</v>
      </c>
      <c r="M23" s="760">
        <v>800</v>
      </c>
    </row>
    <row r="24" spans="2:13" x14ac:dyDescent="0.25">
      <c r="B24" s="823"/>
      <c r="C24" s="744"/>
      <c r="D24" s="744"/>
      <c r="E24" s="744"/>
      <c r="F24" s="744" t="s">
        <v>498</v>
      </c>
      <c r="G24" s="745">
        <v>0</v>
      </c>
      <c r="H24" s="744" t="s">
        <v>499</v>
      </c>
      <c r="I24" s="787">
        <v>0</v>
      </c>
      <c r="J24" s="823" t="s">
        <v>500</v>
      </c>
      <c r="K24" s="787">
        <v>0</v>
      </c>
      <c r="L24" s="744" t="s">
        <v>500</v>
      </c>
      <c r="M24" s="745">
        <v>0</v>
      </c>
    </row>
    <row r="25" spans="2:13" ht="14.25" customHeight="1" x14ac:dyDescent="0.25">
      <c r="B25" s="823"/>
      <c r="C25" s="744"/>
      <c r="D25" s="744"/>
      <c r="E25" s="744"/>
      <c r="F25" s="744" t="s">
        <v>501</v>
      </c>
      <c r="G25" s="745"/>
      <c r="H25" s="744"/>
      <c r="I25" s="812" t="s">
        <v>502</v>
      </c>
      <c r="J25" s="793"/>
      <c r="K25" s="787">
        <v>922.16</v>
      </c>
      <c r="L25" s="746"/>
      <c r="M25" s="745">
        <v>967.36</v>
      </c>
    </row>
    <row r="26" spans="2:13" ht="50.1" customHeight="1" thickBot="1" x14ac:dyDescent="0.3">
      <c r="B26" s="776"/>
      <c r="C26" s="747"/>
      <c r="D26" s="747"/>
      <c r="E26" s="747"/>
      <c r="F26" s="747"/>
      <c r="G26" s="747"/>
      <c r="H26" s="747" t="s">
        <v>503</v>
      </c>
      <c r="I26" s="806" t="s">
        <v>1146</v>
      </c>
      <c r="J26" s="776" t="s">
        <v>504</v>
      </c>
      <c r="K26" s="807">
        <v>7377.28</v>
      </c>
      <c r="L26" s="747" t="s">
        <v>504</v>
      </c>
      <c r="M26" s="748">
        <v>7738.88</v>
      </c>
    </row>
    <row r="27" spans="2:13" ht="16.5" thickTop="1" x14ac:dyDescent="0.25">
      <c r="B27" s="768"/>
      <c r="C27" s="757"/>
      <c r="D27" s="757"/>
      <c r="E27" s="757"/>
      <c r="F27" s="757"/>
      <c r="G27" s="757"/>
      <c r="H27" s="757"/>
      <c r="I27" s="766"/>
      <c r="J27" s="768"/>
      <c r="K27" s="766"/>
      <c r="L27" s="757"/>
      <c r="M27" s="757"/>
    </row>
    <row r="28" spans="2:13" ht="18" customHeight="1" x14ac:dyDescent="0.25">
      <c r="B28" s="805" t="s">
        <v>1447</v>
      </c>
      <c r="C28" s="736" t="s">
        <v>391</v>
      </c>
      <c r="D28" s="735" t="s">
        <v>392</v>
      </c>
      <c r="E28" s="735" t="s">
        <v>42</v>
      </c>
      <c r="F28" s="1004" t="s">
        <v>39</v>
      </c>
      <c r="G28" s="1005"/>
      <c r="H28" s="738" t="s">
        <v>394</v>
      </c>
      <c r="I28" s="767" t="s">
        <v>395</v>
      </c>
      <c r="J28" s="808" t="s">
        <v>396</v>
      </c>
      <c r="K28" s="767" t="s">
        <v>0</v>
      </c>
      <c r="L28" s="782" t="s">
        <v>396</v>
      </c>
      <c r="M28" s="736" t="s">
        <v>0</v>
      </c>
    </row>
    <row r="29" spans="2:13" ht="47.25" x14ac:dyDescent="0.25">
      <c r="B29" s="797" t="s">
        <v>487</v>
      </c>
      <c r="C29" s="758" t="s">
        <v>505</v>
      </c>
      <c r="D29" s="619" t="s">
        <v>475</v>
      </c>
      <c r="E29" s="619" t="s">
        <v>506</v>
      </c>
      <c r="F29" s="1006" t="s">
        <v>507</v>
      </c>
      <c r="G29" s="1007"/>
      <c r="H29" s="718" t="s">
        <v>508</v>
      </c>
      <c r="I29" s="786">
        <v>1</v>
      </c>
      <c r="J29" s="770">
        <v>725.58</v>
      </c>
      <c r="K29" s="774">
        <v>725.58</v>
      </c>
      <c r="L29" s="811">
        <v>725.58</v>
      </c>
      <c r="M29" s="760">
        <v>725.58</v>
      </c>
    </row>
    <row r="30" spans="2:13" x14ac:dyDescent="0.25">
      <c r="B30" s="823"/>
      <c r="C30" s="744"/>
      <c r="D30" s="744"/>
      <c r="E30" s="744"/>
      <c r="F30" s="744" t="s">
        <v>498</v>
      </c>
      <c r="G30" s="745">
        <v>0</v>
      </c>
      <c r="H30" s="744" t="s">
        <v>499</v>
      </c>
      <c r="I30" s="787">
        <v>0</v>
      </c>
      <c r="J30" s="823" t="s">
        <v>500</v>
      </c>
      <c r="K30" s="787">
        <v>0</v>
      </c>
      <c r="L30" s="744" t="s">
        <v>500</v>
      </c>
      <c r="M30" s="745">
        <v>0</v>
      </c>
    </row>
    <row r="31" spans="2:13" ht="14.25" customHeight="1" x14ac:dyDescent="0.25">
      <c r="B31" s="823"/>
      <c r="C31" s="744"/>
      <c r="D31" s="744"/>
      <c r="E31" s="744"/>
      <c r="F31" s="744" t="s">
        <v>501</v>
      </c>
      <c r="G31" s="745"/>
      <c r="H31" s="744"/>
      <c r="I31" s="812" t="s">
        <v>502</v>
      </c>
      <c r="J31" s="793"/>
      <c r="K31" s="787">
        <v>836.37</v>
      </c>
      <c r="L31" s="746"/>
      <c r="M31" s="745">
        <v>877.37</v>
      </c>
    </row>
    <row r="32" spans="2:13" ht="50.1" customHeight="1" thickBot="1" x14ac:dyDescent="0.3">
      <c r="B32" s="776"/>
      <c r="C32" s="747"/>
      <c r="D32" s="747"/>
      <c r="E32" s="747"/>
      <c r="F32" s="747"/>
      <c r="G32" s="747"/>
      <c r="H32" s="747" t="s">
        <v>503</v>
      </c>
      <c r="I32" s="806" t="s">
        <v>1146</v>
      </c>
      <c r="J32" s="776" t="s">
        <v>504</v>
      </c>
      <c r="K32" s="807">
        <v>6690.96</v>
      </c>
      <c r="L32" s="747" t="s">
        <v>504</v>
      </c>
      <c r="M32" s="748">
        <v>7018.96</v>
      </c>
    </row>
    <row r="33" spans="2:13" ht="16.5" thickTop="1" x14ac:dyDescent="0.25">
      <c r="B33" s="768"/>
      <c r="C33" s="757"/>
      <c r="D33" s="757"/>
      <c r="E33" s="757"/>
      <c r="F33" s="757"/>
      <c r="G33" s="757"/>
      <c r="H33" s="757"/>
      <c r="I33" s="766"/>
      <c r="J33" s="768"/>
      <c r="K33" s="766"/>
      <c r="L33" s="757"/>
      <c r="M33" s="757"/>
    </row>
    <row r="34" spans="2:13" ht="18" customHeight="1" x14ac:dyDescent="0.25">
      <c r="B34" s="805" t="s">
        <v>930</v>
      </c>
      <c r="C34" s="736" t="s">
        <v>391</v>
      </c>
      <c r="D34" s="735" t="s">
        <v>392</v>
      </c>
      <c r="E34" s="735" t="s">
        <v>42</v>
      </c>
      <c r="F34" s="1004" t="s">
        <v>39</v>
      </c>
      <c r="G34" s="1005"/>
      <c r="H34" s="738" t="s">
        <v>394</v>
      </c>
      <c r="I34" s="767" t="s">
        <v>395</v>
      </c>
      <c r="J34" s="808" t="s">
        <v>396</v>
      </c>
      <c r="K34" s="767" t="s">
        <v>0</v>
      </c>
      <c r="L34" s="782" t="s">
        <v>396</v>
      </c>
      <c r="M34" s="736" t="s">
        <v>0</v>
      </c>
    </row>
    <row r="35" spans="2:13" ht="24" customHeight="1" x14ac:dyDescent="0.25">
      <c r="B35" s="789" t="s">
        <v>473</v>
      </c>
      <c r="C35" s="740" t="s">
        <v>510</v>
      </c>
      <c r="D35" s="739" t="s">
        <v>509</v>
      </c>
      <c r="E35" s="739" t="s">
        <v>511</v>
      </c>
      <c r="F35" s="1010" t="s">
        <v>483</v>
      </c>
      <c r="G35" s="1011"/>
      <c r="H35" s="742" t="s">
        <v>213</v>
      </c>
      <c r="I35" s="803">
        <v>1</v>
      </c>
      <c r="J35" s="799">
        <v>995.63</v>
      </c>
      <c r="K35" s="814">
        <v>995.63</v>
      </c>
      <c r="L35" s="778">
        <v>969.34</v>
      </c>
      <c r="M35" s="743">
        <v>969.34</v>
      </c>
    </row>
    <row r="36" spans="2:13" ht="37.5" customHeight="1" x14ac:dyDescent="0.25">
      <c r="B36" s="765" t="s">
        <v>478</v>
      </c>
      <c r="C36" s="750" t="s">
        <v>1148</v>
      </c>
      <c r="D36" s="749" t="s">
        <v>509</v>
      </c>
      <c r="E36" s="749" t="s">
        <v>516</v>
      </c>
      <c r="F36" s="1008" t="s">
        <v>517</v>
      </c>
      <c r="G36" s="1009"/>
      <c r="H36" s="751" t="s">
        <v>513</v>
      </c>
      <c r="I36" s="791">
        <v>1</v>
      </c>
      <c r="J36" s="802">
        <v>67.64</v>
      </c>
      <c r="K36" s="779">
        <v>67.64</v>
      </c>
      <c r="L36" s="822">
        <v>65.95</v>
      </c>
      <c r="M36" s="753">
        <v>65.95</v>
      </c>
    </row>
    <row r="37" spans="2:13" ht="39" customHeight="1" x14ac:dyDescent="0.25">
      <c r="B37" s="765" t="s">
        <v>478</v>
      </c>
      <c r="C37" s="750" t="s">
        <v>512</v>
      </c>
      <c r="D37" s="749" t="s">
        <v>475</v>
      </c>
      <c r="E37" s="749" t="s">
        <v>931</v>
      </c>
      <c r="F37" s="1008" t="s">
        <v>1270</v>
      </c>
      <c r="G37" s="1009"/>
      <c r="H37" s="751" t="s">
        <v>513</v>
      </c>
      <c r="I37" s="791">
        <v>1</v>
      </c>
      <c r="J37" s="802">
        <v>141</v>
      </c>
      <c r="K37" s="779">
        <v>141</v>
      </c>
      <c r="L37" s="822">
        <v>140.24</v>
      </c>
      <c r="M37" s="753">
        <v>140.24</v>
      </c>
    </row>
    <row r="38" spans="2:13" ht="31.5" x14ac:dyDescent="0.25">
      <c r="B38" s="765" t="s">
        <v>478</v>
      </c>
      <c r="C38" s="750" t="s">
        <v>514</v>
      </c>
      <c r="D38" s="749" t="s">
        <v>475</v>
      </c>
      <c r="E38" s="749" t="s">
        <v>932</v>
      </c>
      <c r="F38" s="1008" t="s">
        <v>1270</v>
      </c>
      <c r="G38" s="1009"/>
      <c r="H38" s="751" t="s">
        <v>513</v>
      </c>
      <c r="I38" s="791">
        <v>1</v>
      </c>
      <c r="J38" s="802">
        <v>134.79</v>
      </c>
      <c r="K38" s="779">
        <v>134.79</v>
      </c>
      <c r="L38" s="822">
        <v>133.54</v>
      </c>
      <c r="M38" s="753">
        <v>133.54</v>
      </c>
    </row>
    <row r="39" spans="2:13" ht="31.5" x14ac:dyDescent="0.25">
      <c r="B39" s="765" t="s">
        <v>478</v>
      </c>
      <c r="C39" s="750" t="s">
        <v>1147</v>
      </c>
      <c r="D39" s="749" t="s">
        <v>509</v>
      </c>
      <c r="E39" s="749" t="s">
        <v>518</v>
      </c>
      <c r="F39" s="1008" t="s">
        <v>517</v>
      </c>
      <c r="G39" s="1009"/>
      <c r="H39" s="751" t="s">
        <v>491</v>
      </c>
      <c r="I39" s="791">
        <v>15</v>
      </c>
      <c r="J39" s="802">
        <v>28.64</v>
      </c>
      <c r="K39" s="779">
        <v>429.6</v>
      </c>
      <c r="L39" s="822">
        <v>27.42</v>
      </c>
      <c r="M39" s="753">
        <v>411.3</v>
      </c>
    </row>
    <row r="40" spans="2:13" ht="47.25" x14ac:dyDescent="0.25">
      <c r="B40" s="765" t="s">
        <v>478</v>
      </c>
      <c r="C40" s="750" t="s">
        <v>515</v>
      </c>
      <c r="D40" s="749" t="s">
        <v>475</v>
      </c>
      <c r="E40" s="749" t="s">
        <v>933</v>
      </c>
      <c r="F40" s="1008" t="s">
        <v>1270</v>
      </c>
      <c r="G40" s="1009"/>
      <c r="H40" s="751" t="s">
        <v>513</v>
      </c>
      <c r="I40" s="791">
        <v>1</v>
      </c>
      <c r="J40" s="802">
        <v>222.6</v>
      </c>
      <c r="K40" s="779">
        <v>222.6</v>
      </c>
      <c r="L40" s="822">
        <v>218.31</v>
      </c>
      <c r="M40" s="753">
        <v>218.31</v>
      </c>
    </row>
    <row r="41" spans="2:13" x14ac:dyDescent="0.25">
      <c r="B41" s="823"/>
      <c r="C41" s="744"/>
      <c r="D41" s="744"/>
      <c r="E41" s="744"/>
      <c r="F41" s="744" t="s">
        <v>498</v>
      </c>
      <c r="G41" s="745">
        <v>350.4</v>
      </c>
      <c r="H41" s="744" t="s">
        <v>499</v>
      </c>
      <c r="I41" s="787">
        <v>0</v>
      </c>
      <c r="J41" s="823" t="s">
        <v>500</v>
      </c>
      <c r="K41" s="787">
        <v>350.4</v>
      </c>
      <c r="L41" s="744" t="s">
        <v>500</v>
      </c>
      <c r="M41" s="745">
        <v>324.39999999999998</v>
      </c>
    </row>
    <row r="42" spans="2:13" ht="14.25" customHeight="1" x14ac:dyDescent="0.25">
      <c r="B42" s="823"/>
      <c r="C42" s="744"/>
      <c r="D42" s="744"/>
      <c r="E42" s="744"/>
      <c r="F42" s="744" t="s">
        <v>501</v>
      </c>
      <c r="G42" s="745">
        <v>251.19</v>
      </c>
      <c r="H42" s="744"/>
      <c r="I42" s="812" t="s">
        <v>502</v>
      </c>
      <c r="J42" s="793"/>
      <c r="K42" s="787">
        <v>1246.82</v>
      </c>
      <c r="L42" s="746"/>
      <c r="M42" s="745">
        <v>1266.53</v>
      </c>
    </row>
    <row r="43" spans="2:13" ht="50.1" customHeight="1" thickBot="1" x14ac:dyDescent="0.3">
      <c r="B43" s="776"/>
      <c r="C43" s="747"/>
      <c r="D43" s="747"/>
      <c r="E43" s="747"/>
      <c r="F43" s="747"/>
      <c r="G43" s="747"/>
      <c r="H43" s="747" t="s">
        <v>503</v>
      </c>
      <c r="I43" s="806" t="s">
        <v>1149</v>
      </c>
      <c r="J43" s="776" t="s">
        <v>504</v>
      </c>
      <c r="K43" s="807">
        <v>1246.82</v>
      </c>
      <c r="L43" s="747" t="s">
        <v>504</v>
      </c>
      <c r="M43" s="748">
        <v>1266.53</v>
      </c>
    </row>
    <row r="44" spans="2:13" ht="0.95" customHeight="1" thickTop="1" x14ac:dyDescent="0.25">
      <c r="B44" s="768"/>
      <c r="C44" s="757"/>
      <c r="D44" s="757"/>
      <c r="E44" s="757"/>
      <c r="F44" s="757"/>
      <c r="G44" s="757"/>
      <c r="H44" s="757"/>
      <c r="I44" s="766"/>
      <c r="J44" s="768"/>
      <c r="K44" s="766"/>
      <c r="L44" s="757"/>
      <c r="M44" s="757"/>
    </row>
    <row r="45" spans="2:13" ht="18" customHeight="1" x14ac:dyDescent="0.25">
      <c r="B45" s="805" t="s">
        <v>1448</v>
      </c>
      <c r="C45" s="736" t="s">
        <v>391</v>
      </c>
      <c r="D45" s="735" t="s">
        <v>392</v>
      </c>
      <c r="E45" s="735" t="s">
        <v>42</v>
      </c>
      <c r="F45" s="1004" t="s">
        <v>39</v>
      </c>
      <c r="G45" s="1005"/>
      <c r="H45" s="738" t="s">
        <v>394</v>
      </c>
      <c r="I45" s="767" t="s">
        <v>395</v>
      </c>
      <c r="J45" s="808" t="s">
        <v>396</v>
      </c>
      <c r="K45" s="767" t="s">
        <v>0</v>
      </c>
      <c r="L45" s="782" t="s">
        <v>396</v>
      </c>
      <c r="M45" s="736" t="s">
        <v>0</v>
      </c>
    </row>
    <row r="46" spans="2:13" ht="39" customHeight="1" x14ac:dyDescent="0.25">
      <c r="B46" s="797" t="s">
        <v>487</v>
      </c>
      <c r="C46" s="758" t="s">
        <v>934</v>
      </c>
      <c r="D46" s="619" t="s">
        <v>475</v>
      </c>
      <c r="E46" s="619" t="s">
        <v>935</v>
      </c>
      <c r="F46" s="1006" t="s">
        <v>490</v>
      </c>
      <c r="G46" s="1007"/>
      <c r="H46" s="718" t="s">
        <v>513</v>
      </c>
      <c r="I46" s="786">
        <v>1</v>
      </c>
      <c r="J46" s="770">
        <v>1149</v>
      </c>
      <c r="K46" s="774">
        <v>1149</v>
      </c>
      <c r="L46" s="811">
        <v>1149</v>
      </c>
      <c r="M46" s="760">
        <v>1149</v>
      </c>
    </row>
    <row r="47" spans="2:13" x14ac:dyDescent="0.25">
      <c r="B47" s="823"/>
      <c r="C47" s="744"/>
      <c r="D47" s="744"/>
      <c r="E47" s="744"/>
      <c r="F47" s="744" t="s">
        <v>498</v>
      </c>
      <c r="G47" s="745">
        <v>0</v>
      </c>
      <c r="H47" s="744" t="s">
        <v>499</v>
      </c>
      <c r="I47" s="787">
        <v>0</v>
      </c>
      <c r="J47" s="823" t="s">
        <v>500</v>
      </c>
      <c r="K47" s="787">
        <v>0</v>
      </c>
      <c r="L47" s="744" t="s">
        <v>500</v>
      </c>
      <c r="M47" s="745">
        <v>0</v>
      </c>
    </row>
    <row r="48" spans="2:13" ht="14.25" customHeight="1" x14ac:dyDescent="0.25">
      <c r="B48" s="823"/>
      <c r="C48" s="744"/>
      <c r="D48" s="744"/>
      <c r="E48" s="744"/>
      <c r="F48" s="744" t="s">
        <v>501</v>
      </c>
      <c r="G48" s="745"/>
      <c r="H48" s="744"/>
      <c r="I48" s="812" t="s">
        <v>502</v>
      </c>
      <c r="J48" s="793"/>
      <c r="K48" s="787">
        <v>1324.45</v>
      </c>
      <c r="L48" s="746"/>
      <c r="M48" s="745">
        <v>1389.37</v>
      </c>
    </row>
    <row r="49" spans="2:13" ht="50.1" customHeight="1" thickBot="1" x14ac:dyDescent="0.3">
      <c r="B49" s="776"/>
      <c r="C49" s="747"/>
      <c r="D49" s="747"/>
      <c r="E49" s="747"/>
      <c r="F49" s="747"/>
      <c r="G49" s="747"/>
      <c r="H49" s="747" t="s">
        <v>503</v>
      </c>
      <c r="I49" s="806" t="s">
        <v>1149</v>
      </c>
      <c r="J49" s="776" t="s">
        <v>504</v>
      </c>
      <c r="K49" s="807">
        <v>1324.45</v>
      </c>
      <c r="L49" s="747" t="s">
        <v>504</v>
      </c>
      <c r="M49" s="748">
        <v>1389.37</v>
      </c>
    </row>
    <row r="50" spans="2:13" ht="16.5" thickTop="1" x14ac:dyDescent="0.25">
      <c r="B50" s="768"/>
      <c r="C50" s="757"/>
      <c r="D50" s="757"/>
      <c r="E50" s="757"/>
      <c r="F50" s="757"/>
      <c r="G50" s="757"/>
      <c r="H50" s="757"/>
      <c r="I50" s="766"/>
      <c r="J50" s="768"/>
      <c r="K50" s="766"/>
      <c r="L50" s="757"/>
      <c r="M50" s="757"/>
    </row>
    <row r="51" spans="2:13" ht="18" customHeight="1" x14ac:dyDescent="0.25">
      <c r="B51" s="805" t="s">
        <v>936</v>
      </c>
      <c r="C51" s="736" t="s">
        <v>391</v>
      </c>
      <c r="D51" s="735" t="s">
        <v>392</v>
      </c>
      <c r="E51" s="735" t="s">
        <v>42</v>
      </c>
      <c r="F51" s="1004" t="s">
        <v>39</v>
      </c>
      <c r="G51" s="1005"/>
      <c r="H51" s="738" t="s">
        <v>394</v>
      </c>
      <c r="I51" s="767" t="s">
        <v>395</v>
      </c>
      <c r="J51" s="808" t="s">
        <v>396</v>
      </c>
      <c r="K51" s="767" t="s">
        <v>0</v>
      </c>
      <c r="L51" s="782" t="s">
        <v>396</v>
      </c>
      <c r="M51" s="736" t="s">
        <v>0</v>
      </c>
    </row>
    <row r="52" spans="2:13" ht="51.95" customHeight="1" x14ac:dyDescent="0.25">
      <c r="B52" s="789" t="s">
        <v>473</v>
      </c>
      <c r="C52" s="740" t="s">
        <v>519</v>
      </c>
      <c r="D52" s="739" t="s">
        <v>475</v>
      </c>
      <c r="E52" s="739" t="s">
        <v>520</v>
      </c>
      <c r="F52" s="1010" t="s">
        <v>1407</v>
      </c>
      <c r="G52" s="1011"/>
      <c r="H52" s="742" t="s">
        <v>513</v>
      </c>
      <c r="I52" s="803">
        <v>1</v>
      </c>
      <c r="J52" s="799">
        <v>2256.7399999999998</v>
      </c>
      <c r="K52" s="814">
        <v>2256.7399999999998</v>
      </c>
      <c r="L52" s="778">
        <v>2225.6799999999998</v>
      </c>
      <c r="M52" s="743">
        <v>2225.6799999999998</v>
      </c>
    </row>
    <row r="53" spans="2:13" ht="31.5" x14ac:dyDescent="0.25">
      <c r="B53" s="765" t="s">
        <v>478</v>
      </c>
      <c r="C53" s="750" t="s">
        <v>538</v>
      </c>
      <c r="D53" s="749" t="s">
        <v>475</v>
      </c>
      <c r="E53" s="749" t="s">
        <v>1408</v>
      </c>
      <c r="F53" s="1008" t="s">
        <v>1275</v>
      </c>
      <c r="G53" s="1009"/>
      <c r="H53" s="751" t="s">
        <v>513</v>
      </c>
      <c r="I53" s="791">
        <v>1</v>
      </c>
      <c r="J53" s="802">
        <v>101.05</v>
      </c>
      <c r="K53" s="779">
        <v>101.05</v>
      </c>
      <c r="L53" s="822">
        <v>99.41</v>
      </c>
      <c r="M53" s="753">
        <v>99.41</v>
      </c>
    </row>
    <row r="54" spans="2:13" ht="51.95" customHeight="1" x14ac:dyDescent="0.25">
      <c r="B54" s="765" t="s">
        <v>478</v>
      </c>
      <c r="C54" s="750" t="s">
        <v>521</v>
      </c>
      <c r="D54" s="749" t="s">
        <v>475</v>
      </c>
      <c r="E54" s="749" t="s">
        <v>1273</v>
      </c>
      <c r="F54" s="1008" t="s">
        <v>1274</v>
      </c>
      <c r="G54" s="1009"/>
      <c r="H54" s="751" t="s">
        <v>513</v>
      </c>
      <c r="I54" s="791">
        <v>1</v>
      </c>
      <c r="J54" s="802">
        <v>615.08000000000004</v>
      </c>
      <c r="K54" s="779">
        <v>615.08000000000004</v>
      </c>
      <c r="L54" s="822">
        <v>604.58000000000004</v>
      </c>
      <c r="M54" s="753">
        <v>604.58000000000004</v>
      </c>
    </row>
    <row r="55" spans="2:13" ht="31.5" x14ac:dyDescent="0.25">
      <c r="B55" s="765" t="s">
        <v>478</v>
      </c>
      <c r="C55" s="750" t="s">
        <v>539</v>
      </c>
      <c r="D55" s="749" t="s">
        <v>475</v>
      </c>
      <c r="E55" s="749" t="s">
        <v>540</v>
      </c>
      <c r="F55" s="1008" t="s">
        <v>1271</v>
      </c>
      <c r="G55" s="1009"/>
      <c r="H55" s="751" t="s">
        <v>491</v>
      </c>
      <c r="I55" s="791">
        <v>1.95</v>
      </c>
      <c r="J55" s="802">
        <v>64.03</v>
      </c>
      <c r="K55" s="779">
        <v>124.85</v>
      </c>
      <c r="L55" s="822">
        <v>63.93</v>
      </c>
      <c r="M55" s="753">
        <v>124.66</v>
      </c>
    </row>
    <row r="56" spans="2:13" ht="51.95" customHeight="1" x14ac:dyDescent="0.25">
      <c r="B56" s="765" t="s">
        <v>478</v>
      </c>
      <c r="C56" s="750" t="s">
        <v>534</v>
      </c>
      <c r="D56" s="749" t="s">
        <v>475</v>
      </c>
      <c r="E56" s="749" t="s">
        <v>535</v>
      </c>
      <c r="F56" s="1008" t="s">
        <v>1272</v>
      </c>
      <c r="G56" s="1009"/>
      <c r="H56" s="751" t="s">
        <v>513</v>
      </c>
      <c r="I56" s="791">
        <v>1</v>
      </c>
      <c r="J56" s="802">
        <v>22.56</v>
      </c>
      <c r="K56" s="779">
        <v>22.56</v>
      </c>
      <c r="L56" s="822">
        <v>21.54</v>
      </c>
      <c r="M56" s="753">
        <v>21.54</v>
      </c>
    </row>
    <row r="57" spans="2:13" ht="51.95" customHeight="1" x14ac:dyDescent="0.25">
      <c r="B57" s="765" t="s">
        <v>478</v>
      </c>
      <c r="C57" s="750" t="s">
        <v>536</v>
      </c>
      <c r="D57" s="749" t="s">
        <v>475</v>
      </c>
      <c r="E57" s="749" t="s">
        <v>537</v>
      </c>
      <c r="F57" s="1008" t="s">
        <v>1276</v>
      </c>
      <c r="G57" s="1009"/>
      <c r="H57" s="751" t="s">
        <v>491</v>
      </c>
      <c r="I57" s="791">
        <v>22.2</v>
      </c>
      <c r="J57" s="802">
        <v>30.74</v>
      </c>
      <c r="K57" s="779">
        <v>682.42</v>
      </c>
      <c r="L57" s="822">
        <v>30.56</v>
      </c>
      <c r="M57" s="753">
        <v>678.43</v>
      </c>
    </row>
    <row r="58" spans="2:13" ht="51.95" customHeight="1" x14ac:dyDescent="0.25">
      <c r="B58" s="765" t="s">
        <v>478</v>
      </c>
      <c r="C58" s="750" t="s">
        <v>532</v>
      </c>
      <c r="D58" s="749" t="s">
        <v>475</v>
      </c>
      <c r="E58" s="749" t="s">
        <v>533</v>
      </c>
      <c r="F58" s="1008" t="s">
        <v>1272</v>
      </c>
      <c r="G58" s="1009"/>
      <c r="H58" s="751" t="s">
        <v>513</v>
      </c>
      <c r="I58" s="791">
        <v>1</v>
      </c>
      <c r="J58" s="802">
        <v>21.09</v>
      </c>
      <c r="K58" s="779">
        <v>21.09</v>
      </c>
      <c r="L58" s="822">
        <v>20.07</v>
      </c>
      <c r="M58" s="753">
        <v>20.07</v>
      </c>
    </row>
    <row r="59" spans="2:13" ht="31.5" x14ac:dyDescent="0.25">
      <c r="B59" s="765" t="s">
        <v>478</v>
      </c>
      <c r="C59" s="750" t="s">
        <v>541</v>
      </c>
      <c r="D59" s="749" t="s">
        <v>475</v>
      </c>
      <c r="E59" s="749" t="s">
        <v>542</v>
      </c>
      <c r="F59" s="1008" t="s">
        <v>1271</v>
      </c>
      <c r="G59" s="1009"/>
      <c r="H59" s="751" t="s">
        <v>513</v>
      </c>
      <c r="I59" s="791">
        <v>1</v>
      </c>
      <c r="J59" s="802">
        <v>104.9</v>
      </c>
      <c r="K59" s="779">
        <v>104.9</v>
      </c>
      <c r="L59" s="822">
        <v>103.7</v>
      </c>
      <c r="M59" s="753">
        <v>103.7</v>
      </c>
    </row>
    <row r="60" spans="2:13" ht="26.1" customHeight="1" x14ac:dyDescent="0.25">
      <c r="B60" s="765" t="s">
        <v>478</v>
      </c>
      <c r="C60" s="750" t="s">
        <v>524</v>
      </c>
      <c r="D60" s="749" t="s">
        <v>475</v>
      </c>
      <c r="E60" s="749" t="s">
        <v>525</v>
      </c>
      <c r="F60" s="1008" t="s">
        <v>1268</v>
      </c>
      <c r="G60" s="1009"/>
      <c r="H60" s="751" t="s">
        <v>484</v>
      </c>
      <c r="I60" s="791">
        <v>0.63139999999999996</v>
      </c>
      <c r="J60" s="802">
        <v>23.83</v>
      </c>
      <c r="K60" s="779">
        <v>15.04</v>
      </c>
      <c r="L60" s="822">
        <v>22.54</v>
      </c>
      <c r="M60" s="753">
        <v>14.23</v>
      </c>
    </row>
    <row r="61" spans="2:13" ht="51.95" customHeight="1" x14ac:dyDescent="0.25">
      <c r="B61" s="765" t="s">
        <v>478</v>
      </c>
      <c r="C61" s="750" t="s">
        <v>522</v>
      </c>
      <c r="D61" s="749" t="s">
        <v>475</v>
      </c>
      <c r="E61" s="749" t="s">
        <v>523</v>
      </c>
      <c r="F61" s="1008" t="s">
        <v>1271</v>
      </c>
      <c r="G61" s="1009"/>
      <c r="H61" s="751" t="s">
        <v>513</v>
      </c>
      <c r="I61" s="791">
        <v>1</v>
      </c>
      <c r="J61" s="802">
        <v>18.87</v>
      </c>
      <c r="K61" s="779">
        <v>18.87</v>
      </c>
      <c r="L61" s="822">
        <v>18.29</v>
      </c>
      <c r="M61" s="753">
        <v>18.29</v>
      </c>
    </row>
    <row r="62" spans="2:13" ht="47.25" x14ac:dyDescent="0.25">
      <c r="B62" s="765" t="s">
        <v>478</v>
      </c>
      <c r="C62" s="750" t="s">
        <v>530</v>
      </c>
      <c r="D62" s="749" t="s">
        <v>475</v>
      </c>
      <c r="E62" s="749" t="s">
        <v>531</v>
      </c>
      <c r="F62" s="1008" t="s">
        <v>1272</v>
      </c>
      <c r="G62" s="1009"/>
      <c r="H62" s="751" t="s">
        <v>513</v>
      </c>
      <c r="I62" s="791">
        <v>1</v>
      </c>
      <c r="J62" s="802">
        <v>13.24</v>
      </c>
      <c r="K62" s="779">
        <v>13.24</v>
      </c>
      <c r="L62" s="822">
        <v>12.57</v>
      </c>
      <c r="M62" s="753">
        <v>12.57</v>
      </c>
    </row>
    <row r="63" spans="2:13" ht="24" customHeight="1" x14ac:dyDescent="0.25">
      <c r="B63" s="765" t="s">
        <v>478</v>
      </c>
      <c r="C63" s="750" t="s">
        <v>526</v>
      </c>
      <c r="D63" s="749" t="s">
        <v>475</v>
      </c>
      <c r="E63" s="749" t="s">
        <v>527</v>
      </c>
      <c r="F63" s="1008" t="s">
        <v>1268</v>
      </c>
      <c r="G63" s="1009"/>
      <c r="H63" s="751" t="s">
        <v>484</v>
      </c>
      <c r="I63" s="791">
        <v>3.1568000000000001</v>
      </c>
      <c r="J63" s="802">
        <v>31.14</v>
      </c>
      <c r="K63" s="779">
        <v>98.3</v>
      </c>
      <c r="L63" s="822">
        <v>29.32</v>
      </c>
      <c r="M63" s="753">
        <v>92.55</v>
      </c>
    </row>
    <row r="64" spans="2:13" ht="47.25" x14ac:dyDescent="0.25">
      <c r="B64" s="765" t="s">
        <v>478</v>
      </c>
      <c r="C64" s="750" t="s">
        <v>528</v>
      </c>
      <c r="D64" s="749" t="s">
        <v>475</v>
      </c>
      <c r="E64" s="749" t="s">
        <v>529</v>
      </c>
      <c r="F64" s="1008" t="s">
        <v>1272</v>
      </c>
      <c r="G64" s="1009"/>
      <c r="H64" s="751" t="s">
        <v>491</v>
      </c>
      <c r="I64" s="791">
        <v>6.05</v>
      </c>
      <c r="J64" s="802">
        <v>19.12</v>
      </c>
      <c r="K64" s="779">
        <v>115.67</v>
      </c>
      <c r="L64" s="822">
        <v>18.510000000000002</v>
      </c>
      <c r="M64" s="753">
        <v>111.98</v>
      </c>
    </row>
    <row r="65" spans="2:13" ht="24" customHeight="1" x14ac:dyDescent="0.25">
      <c r="B65" s="765" t="s">
        <v>487</v>
      </c>
      <c r="C65" s="750" t="s">
        <v>558</v>
      </c>
      <c r="D65" s="749" t="s">
        <v>475</v>
      </c>
      <c r="E65" s="749" t="s">
        <v>559</v>
      </c>
      <c r="F65" s="1008" t="s">
        <v>490</v>
      </c>
      <c r="G65" s="1009"/>
      <c r="H65" s="751" t="s">
        <v>513</v>
      </c>
      <c r="I65" s="791">
        <v>2</v>
      </c>
      <c r="J65" s="802">
        <v>0.35</v>
      </c>
      <c r="K65" s="779">
        <v>0.7</v>
      </c>
      <c r="L65" s="822">
        <v>0.35</v>
      </c>
      <c r="M65" s="753">
        <v>0.7</v>
      </c>
    </row>
    <row r="66" spans="2:13" ht="31.5" x14ac:dyDescent="0.25">
      <c r="B66" s="765" t="s">
        <v>487</v>
      </c>
      <c r="C66" s="750" t="s">
        <v>545</v>
      </c>
      <c r="D66" s="749" t="s">
        <v>475</v>
      </c>
      <c r="E66" s="749" t="s">
        <v>546</v>
      </c>
      <c r="F66" s="1008" t="s">
        <v>490</v>
      </c>
      <c r="G66" s="1009"/>
      <c r="H66" s="751" t="s">
        <v>513</v>
      </c>
      <c r="I66" s="791">
        <v>1</v>
      </c>
      <c r="J66" s="802">
        <v>4.79</v>
      </c>
      <c r="K66" s="779">
        <v>4.79</v>
      </c>
      <c r="L66" s="822">
        <v>4.79</v>
      </c>
      <c r="M66" s="753">
        <v>4.79</v>
      </c>
    </row>
    <row r="67" spans="2:13" ht="24" customHeight="1" x14ac:dyDescent="0.25">
      <c r="B67" s="765" t="s">
        <v>487</v>
      </c>
      <c r="C67" s="750" t="s">
        <v>557</v>
      </c>
      <c r="D67" s="749" t="s">
        <v>475</v>
      </c>
      <c r="E67" s="749" t="s">
        <v>938</v>
      </c>
      <c r="F67" s="1008" t="s">
        <v>490</v>
      </c>
      <c r="G67" s="1009"/>
      <c r="H67" s="751" t="s">
        <v>491</v>
      </c>
      <c r="I67" s="791">
        <v>0.16639999999999999</v>
      </c>
      <c r="J67" s="802">
        <v>3.89</v>
      </c>
      <c r="K67" s="779">
        <v>0.64</v>
      </c>
      <c r="L67" s="822">
        <v>3.89</v>
      </c>
      <c r="M67" s="753">
        <v>0.64</v>
      </c>
    </row>
    <row r="68" spans="2:13" ht="47.25" x14ac:dyDescent="0.25">
      <c r="B68" s="765" t="s">
        <v>487</v>
      </c>
      <c r="C68" s="750" t="s">
        <v>547</v>
      </c>
      <c r="D68" s="749" t="s">
        <v>475</v>
      </c>
      <c r="E68" s="749" t="s">
        <v>548</v>
      </c>
      <c r="F68" s="1008" t="s">
        <v>490</v>
      </c>
      <c r="G68" s="1009"/>
      <c r="H68" s="751" t="s">
        <v>513</v>
      </c>
      <c r="I68" s="791">
        <v>3</v>
      </c>
      <c r="J68" s="802">
        <v>11.71</v>
      </c>
      <c r="K68" s="779">
        <v>35.130000000000003</v>
      </c>
      <c r="L68" s="822">
        <v>11.71</v>
      </c>
      <c r="M68" s="753">
        <v>35.130000000000003</v>
      </c>
    </row>
    <row r="69" spans="2:13" ht="47.25" x14ac:dyDescent="0.25">
      <c r="B69" s="765" t="s">
        <v>487</v>
      </c>
      <c r="C69" s="750" t="s">
        <v>549</v>
      </c>
      <c r="D69" s="749" t="s">
        <v>475</v>
      </c>
      <c r="E69" s="749" t="s">
        <v>937</v>
      </c>
      <c r="F69" s="1008" t="s">
        <v>490</v>
      </c>
      <c r="G69" s="1009"/>
      <c r="H69" s="751" t="s">
        <v>513</v>
      </c>
      <c r="I69" s="791">
        <v>2</v>
      </c>
      <c r="J69" s="802">
        <v>1.43</v>
      </c>
      <c r="K69" s="779">
        <v>2.86</v>
      </c>
      <c r="L69" s="822">
        <v>1.43</v>
      </c>
      <c r="M69" s="753">
        <v>2.86</v>
      </c>
    </row>
    <row r="70" spans="2:13" ht="39" customHeight="1" x14ac:dyDescent="0.25">
      <c r="B70" s="765" t="s">
        <v>487</v>
      </c>
      <c r="C70" s="750" t="s">
        <v>550</v>
      </c>
      <c r="D70" s="749" t="s">
        <v>475</v>
      </c>
      <c r="E70" s="749" t="s">
        <v>551</v>
      </c>
      <c r="F70" s="1008" t="s">
        <v>490</v>
      </c>
      <c r="G70" s="1009"/>
      <c r="H70" s="751" t="s">
        <v>513</v>
      </c>
      <c r="I70" s="791">
        <v>4</v>
      </c>
      <c r="J70" s="802">
        <v>0.14000000000000001</v>
      </c>
      <c r="K70" s="779">
        <v>0.56000000000000005</v>
      </c>
      <c r="L70" s="822">
        <v>0.14000000000000001</v>
      </c>
      <c r="M70" s="753">
        <v>0.56000000000000005</v>
      </c>
    </row>
    <row r="71" spans="2:13" ht="47.25" x14ac:dyDescent="0.25">
      <c r="B71" s="765" t="s">
        <v>487</v>
      </c>
      <c r="C71" s="750" t="s">
        <v>554</v>
      </c>
      <c r="D71" s="749" t="s">
        <v>475</v>
      </c>
      <c r="E71" s="749" t="s">
        <v>1277</v>
      </c>
      <c r="F71" s="1008" t="s">
        <v>490</v>
      </c>
      <c r="G71" s="1009"/>
      <c r="H71" s="751" t="s">
        <v>513</v>
      </c>
      <c r="I71" s="791">
        <v>1</v>
      </c>
      <c r="J71" s="802">
        <v>48.51</v>
      </c>
      <c r="K71" s="779">
        <v>48.51</v>
      </c>
      <c r="L71" s="822">
        <v>48.51</v>
      </c>
      <c r="M71" s="753">
        <v>48.51</v>
      </c>
    </row>
    <row r="72" spans="2:13" ht="31.5" x14ac:dyDescent="0.25">
      <c r="B72" s="765" t="s">
        <v>487</v>
      </c>
      <c r="C72" s="750" t="s">
        <v>552</v>
      </c>
      <c r="D72" s="749" t="s">
        <v>475</v>
      </c>
      <c r="E72" s="749" t="s">
        <v>553</v>
      </c>
      <c r="F72" s="1008" t="s">
        <v>490</v>
      </c>
      <c r="G72" s="1009"/>
      <c r="H72" s="751" t="s">
        <v>513</v>
      </c>
      <c r="I72" s="791">
        <v>0.06</v>
      </c>
      <c r="J72" s="802">
        <v>57.68</v>
      </c>
      <c r="K72" s="779">
        <v>3.46</v>
      </c>
      <c r="L72" s="822">
        <v>57.68</v>
      </c>
      <c r="M72" s="753">
        <v>3.46</v>
      </c>
    </row>
    <row r="73" spans="2:13" ht="39" customHeight="1" x14ac:dyDescent="0.25">
      <c r="B73" s="765" t="s">
        <v>487</v>
      </c>
      <c r="C73" s="750" t="s">
        <v>543</v>
      </c>
      <c r="D73" s="749" t="s">
        <v>475</v>
      </c>
      <c r="E73" s="749" t="s">
        <v>544</v>
      </c>
      <c r="F73" s="1008" t="s">
        <v>490</v>
      </c>
      <c r="G73" s="1009"/>
      <c r="H73" s="751" t="s">
        <v>513</v>
      </c>
      <c r="I73" s="791">
        <v>1</v>
      </c>
      <c r="J73" s="802">
        <v>35.92</v>
      </c>
      <c r="K73" s="779">
        <v>35.92</v>
      </c>
      <c r="L73" s="822">
        <v>35.92</v>
      </c>
      <c r="M73" s="753">
        <v>35.92</v>
      </c>
    </row>
    <row r="74" spans="2:13" ht="47.25" x14ac:dyDescent="0.25">
      <c r="B74" s="765" t="s">
        <v>487</v>
      </c>
      <c r="C74" s="750" t="s">
        <v>555</v>
      </c>
      <c r="D74" s="749" t="s">
        <v>475</v>
      </c>
      <c r="E74" s="749" t="s">
        <v>556</v>
      </c>
      <c r="F74" s="1008" t="s">
        <v>490</v>
      </c>
      <c r="G74" s="1009"/>
      <c r="H74" s="751" t="s">
        <v>513</v>
      </c>
      <c r="I74" s="791">
        <v>1</v>
      </c>
      <c r="J74" s="802">
        <v>191.1</v>
      </c>
      <c r="K74" s="779">
        <v>191.1</v>
      </c>
      <c r="L74" s="822">
        <v>191.1</v>
      </c>
      <c r="M74" s="753">
        <v>191.1</v>
      </c>
    </row>
    <row r="75" spans="2:13" x14ac:dyDescent="0.25">
      <c r="B75" s="823"/>
      <c r="C75" s="744"/>
      <c r="D75" s="744"/>
      <c r="E75" s="744"/>
      <c r="F75" s="744" t="s">
        <v>498</v>
      </c>
      <c r="G75" s="745">
        <v>418.65</v>
      </c>
      <c r="H75" s="744" t="s">
        <v>499</v>
      </c>
      <c r="I75" s="787">
        <v>0</v>
      </c>
      <c r="J75" s="823" t="s">
        <v>500</v>
      </c>
      <c r="K75" s="787">
        <v>418.65</v>
      </c>
      <c r="L75" s="744" t="s">
        <v>500</v>
      </c>
      <c r="M75" s="745">
        <v>387.29</v>
      </c>
    </row>
    <row r="76" spans="2:13" ht="14.25" customHeight="1" x14ac:dyDescent="0.25">
      <c r="B76" s="823"/>
      <c r="C76" s="744"/>
      <c r="D76" s="744"/>
      <c r="E76" s="744"/>
      <c r="F76" s="744" t="s">
        <v>501</v>
      </c>
      <c r="G76" s="745">
        <v>569.37</v>
      </c>
      <c r="H76" s="744"/>
      <c r="I76" s="812" t="s">
        <v>502</v>
      </c>
      <c r="J76" s="793"/>
      <c r="K76" s="787">
        <v>2826.11</v>
      </c>
      <c r="L76" s="746"/>
      <c r="M76" s="745">
        <v>2908.07</v>
      </c>
    </row>
    <row r="77" spans="2:13" ht="50.1" customHeight="1" thickBot="1" x14ac:dyDescent="0.3">
      <c r="B77" s="776"/>
      <c r="C77" s="747"/>
      <c r="D77" s="747"/>
      <c r="E77" s="747"/>
      <c r="F77" s="747"/>
      <c r="G77" s="747"/>
      <c r="H77" s="747" t="s">
        <v>503</v>
      </c>
      <c r="I77" s="806" t="s">
        <v>1149</v>
      </c>
      <c r="J77" s="776" t="s">
        <v>504</v>
      </c>
      <c r="K77" s="807">
        <v>2826.11</v>
      </c>
      <c r="L77" s="747" t="s">
        <v>504</v>
      </c>
      <c r="M77" s="748">
        <v>2908.07</v>
      </c>
    </row>
    <row r="78" spans="2:13" ht="16.5" thickTop="1" x14ac:dyDescent="0.25">
      <c r="B78" s="768"/>
      <c r="C78" s="757"/>
      <c r="D78" s="757"/>
      <c r="E78" s="757"/>
      <c r="F78" s="757"/>
      <c r="G78" s="757"/>
      <c r="H78" s="757"/>
      <c r="I78" s="766"/>
      <c r="J78" s="768"/>
      <c r="K78" s="766"/>
      <c r="L78" s="757"/>
      <c r="M78" s="757"/>
    </row>
    <row r="79" spans="2:13" ht="18" customHeight="1" x14ac:dyDescent="0.25">
      <c r="B79" s="805" t="s">
        <v>939</v>
      </c>
      <c r="C79" s="736" t="s">
        <v>391</v>
      </c>
      <c r="D79" s="735" t="s">
        <v>392</v>
      </c>
      <c r="E79" s="735" t="s">
        <v>42</v>
      </c>
      <c r="F79" s="1004" t="s">
        <v>39</v>
      </c>
      <c r="G79" s="1005"/>
      <c r="H79" s="738" t="s">
        <v>394</v>
      </c>
      <c r="I79" s="767" t="s">
        <v>395</v>
      </c>
      <c r="J79" s="808" t="s">
        <v>396</v>
      </c>
      <c r="K79" s="767" t="s">
        <v>0</v>
      </c>
      <c r="L79" s="782" t="s">
        <v>396</v>
      </c>
      <c r="M79" s="736" t="s">
        <v>0</v>
      </c>
    </row>
    <row r="80" spans="2:13" ht="51.95" customHeight="1" x14ac:dyDescent="0.25">
      <c r="B80" s="789" t="s">
        <v>473</v>
      </c>
      <c r="C80" s="740" t="s">
        <v>1253</v>
      </c>
      <c r="D80" s="739" t="s">
        <v>475</v>
      </c>
      <c r="E80" s="739" t="s">
        <v>1254</v>
      </c>
      <c r="F80" s="1010" t="s">
        <v>1409</v>
      </c>
      <c r="G80" s="1011"/>
      <c r="H80" s="742" t="s">
        <v>491</v>
      </c>
      <c r="I80" s="803">
        <v>1</v>
      </c>
      <c r="J80" s="799">
        <v>38.51</v>
      </c>
      <c r="K80" s="814">
        <v>38.51</v>
      </c>
      <c r="L80" s="778">
        <v>37.43</v>
      </c>
      <c r="M80" s="743">
        <v>37.43</v>
      </c>
    </row>
    <row r="81" spans="2:13" ht="24" customHeight="1" x14ac:dyDescent="0.25">
      <c r="B81" s="765" t="s">
        <v>478</v>
      </c>
      <c r="C81" s="750" t="s">
        <v>481</v>
      </c>
      <c r="D81" s="749" t="s">
        <v>475</v>
      </c>
      <c r="E81" s="749" t="s">
        <v>482</v>
      </c>
      <c r="F81" s="1008" t="s">
        <v>1268</v>
      </c>
      <c r="G81" s="1009"/>
      <c r="H81" s="751" t="s">
        <v>484</v>
      </c>
      <c r="I81" s="791">
        <v>0.48443930000000002</v>
      </c>
      <c r="J81" s="802">
        <v>27.74</v>
      </c>
      <c r="K81" s="779">
        <v>13.43</v>
      </c>
      <c r="L81" s="822">
        <v>26.13</v>
      </c>
      <c r="M81" s="753">
        <v>12.65</v>
      </c>
    </row>
    <row r="82" spans="2:13" ht="26.1" customHeight="1" x14ac:dyDescent="0.25">
      <c r="B82" s="765" t="s">
        <v>478</v>
      </c>
      <c r="C82" s="750" t="s">
        <v>1278</v>
      </c>
      <c r="D82" s="749" t="s">
        <v>475</v>
      </c>
      <c r="E82" s="749" t="s">
        <v>1279</v>
      </c>
      <c r="F82" s="1008" t="s">
        <v>1268</v>
      </c>
      <c r="G82" s="1009"/>
      <c r="H82" s="751" t="s">
        <v>484</v>
      </c>
      <c r="I82" s="791">
        <v>0.24221960000000001</v>
      </c>
      <c r="J82" s="802">
        <v>22.98</v>
      </c>
      <c r="K82" s="779">
        <v>5.56</v>
      </c>
      <c r="L82" s="822">
        <v>21.72</v>
      </c>
      <c r="M82" s="753">
        <v>5.26</v>
      </c>
    </row>
    <row r="83" spans="2:13" ht="24" customHeight="1" x14ac:dyDescent="0.25">
      <c r="B83" s="765" t="s">
        <v>487</v>
      </c>
      <c r="C83" s="750" t="s">
        <v>1280</v>
      </c>
      <c r="D83" s="749" t="s">
        <v>475</v>
      </c>
      <c r="E83" s="749" t="s">
        <v>1281</v>
      </c>
      <c r="F83" s="1008" t="s">
        <v>490</v>
      </c>
      <c r="G83" s="1009"/>
      <c r="H83" s="751" t="s">
        <v>495</v>
      </c>
      <c r="I83" s="791">
        <v>1.1976000000000001E-2</v>
      </c>
      <c r="J83" s="802">
        <v>20.55</v>
      </c>
      <c r="K83" s="779">
        <v>0.24</v>
      </c>
      <c r="L83" s="822">
        <v>20.55</v>
      </c>
      <c r="M83" s="753">
        <v>0.24</v>
      </c>
    </row>
    <row r="84" spans="2:13" ht="26.1" customHeight="1" x14ac:dyDescent="0.25">
      <c r="B84" s="765" t="s">
        <v>487</v>
      </c>
      <c r="C84" s="750" t="s">
        <v>1282</v>
      </c>
      <c r="D84" s="749" t="s">
        <v>475</v>
      </c>
      <c r="E84" s="749" t="s">
        <v>1283</v>
      </c>
      <c r="F84" s="1008" t="s">
        <v>490</v>
      </c>
      <c r="G84" s="1009"/>
      <c r="H84" s="751" t="s">
        <v>495</v>
      </c>
      <c r="I84" s="791">
        <v>0.22500000000000001</v>
      </c>
      <c r="J84" s="802">
        <v>24.2</v>
      </c>
      <c r="K84" s="779">
        <v>5.44</v>
      </c>
      <c r="L84" s="822">
        <v>24.2</v>
      </c>
      <c r="M84" s="753">
        <v>5.44</v>
      </c>
    </row>
    <row r="85" spans="2:13" ht="39" customHeight="1" x14ac:dyDescent="0.25">
      <c r="B85" s="765" t="s">
        <v>487</v>
      </c>
      <c r="C85" s="750" t="s">
        <v>616</v>
      </c>
      <c r="D85" s="749" t="s">
        <v>475</v>
      </c>
      <c r="E85" s="749" t="s">
        <v>617</v>
      </c>
      <c r="F85" s="1008" t="s">
        <v>490</v>
      </c>
      <c r="G85" s="1009"/>
      <c r="H85" s="751" t="s">
        <v>491</v>
      </c>
      <c r="I85" s="791">
        <v>0.88</v>
      </c>
      <c r="J85" s="802">
        <v>15.73</v>
      </c>
      <c r="K85" s="779">
        <v>13.84</v>
      </c>
      <c r="L85" s="822">
        <v>15.73</v>
      </c>
      <c r="M85" s="753">
        <v>13.84</v>
      </c>
    </row>
    <row r="86" spans="2:13" x14ac:dyDescent="0.25">
      <c r="B86" s="823"/>
      <c r="C86" s="744"/>
      <c r="D86" s="744"/>
      <c r="E86" s="744"/>
      <c r="F86" s="744" t="s">
        <v>498</v>
      </c>
      <c r="G86" s="745">
        <v>14.46</v>
      </c>
      <c r="H86" s="744" t="s">
        <v>499</v>
      </c>
      <c r="I86" s="787">
        <v>0</v>
      </c>
      <c r="J86" s="823" t="s">
        <v>500</v>
      </c>
      <c r="K86" s="787">
        <v>14.46</v>
      </c>
      <c r="L86" s="744" t="s">
        <v>500</v>
      </c>
      <c r="M86" s="745">
        <v>13.37</v>
      </c>
    </row>
    <row r="87" spans="2:13" ht="14.25" customHeight="1" x14ac:dyDescent="0.25">
      <c r="B87" s="823"/>
      <c r="C87" s="744"/>
      <c r="D87" s="744"/>
      <c r="E87" s="744"/>
      <c r="F87" s="744" t="s">
        <v>501</v>
      </c>
      <c r="G87" s="745">
        <v>9.7100000000000009</v>
      </c>
      <c r="H87" s="744"/>
      <c r="I87" s="812" t="s">
        <v>502</v>
      </c>
      <c r="J87" s="793"/>
      <c r="K87" s="787">
        <v>48.22</v>
      </c>
      <c r="L87" s="746"/>
      <c r="M87" s="745">
        <v>48.9</v>
      </c>
    </row>
    <row r="88" spans="2:13" ht="50.1" customHeight="1" thickBot="1" x14ac:dyDescent="0.3">
      <c r="B88" s="776"/>
      <c r="C88" s="747"/>
      <c r="D88" s="747"/>
      <c r="E88" s="747"/>
      <c r="F88" s="747"/>
      <c r="G88" s="747"/>
      <c r="H88" s="747" t="s">
        <v>503</v>
      </c>
      <c r="I88" s="806" t="s">
        <v>1284</v>
      </c>
      <c r="J88" s="776" t="s">
        <v>504</v>
      </c>
      <c r="K88" s="807">
        <v>19288</v>
      </c>
      <c r="L88" s="747" t="s">
        <v>504</v>
      </c>
      <c r="M88" s="748">
        <v>19560</v>
      </c>
    </row>
    <row r="89" spans="2:13" ht="16.5" thickTop="1" x14ac:dyDescent="0.25">
      <c r="B89" s="768"/>
      <c r="C89" s="757"/>
      <c r="D89" s="757"/>
      <c r="E89" s="757"/>
      <c r="F89" s="757"/>
      <c r="G89" s="757"/>
      <c r="H89" s="757"/>
      <c r="I89" s="766"/>
      <c r="J89" s="768"/>
      <c r="K89" s="766"/>
      <c r="L89" s="757"/>
      <c r="M89" s="757"/>
    </row>
    <row r="90" spans="2:13" ht="18" customHeight="1" x14ac:dyDescent="0.25">
      <c r="B90" s="805" t="s">
        <v>941</v>
      </c>
      <c r="C90" s="736" t="s">
        <v>391</v>
      </c>
      <c r="D90" s="735" t="s">
        <v>392</v>
      </c>
      <c r="E90" s="735" t="s">
        <v>42</v>
      </c>
      <c r="F90" s="1004" t="s">
        <v>39</v>
      </c>
      <c r="G90" s="1005"/>
      <c r="H90" s="738" t="s">
        <v>394</v>
      </c>
      <c r="I90" s="767" t="s">
        <v>395</v>
      </c>
      <c r="J90" s="808" t="s">
        <v>396</v>
      </c>
      <c r="K90" s="767" t="s">
        <v>0</v>
      </c>
      <c r="L90" s="782" t="s">
        <v>396</v>
      </c>
      <c r="M90" s="736" t="s">
        <v>0</v>
      </c>
    </row>
    <row r="91" spans="2:13" ht="39" customHeight="1" x14ac:dyDescent="0.25">
      <c r="B91" s="789" t="s">
        <v>473</v>
      </c>
      <c r="C91" s="740" t="s">
        <v>1255</v>
      </c>
      <c r="D91" s="739" t="s">
        <v>475</v>
      </c>
      <c r="E91" s="739" t="s">
        <v>1256</v>
      </c>
      <c r="F91" s="1010" t="s">
        <v>1410</v>
      </c>
      <c r="G91" s="1011"/>
      <c r="H91" s="742" t="s">
        <v>2</v>
      </c>
      <c r="I91" s="803">
        <v>1</v>
      </c>
      <c r="J91" s="799">
        <v>209.31</v>
      </c>
      <c r="K91" s="814">
        <v>209.31</v>
      </c>
      <c r="L91" s="778">
        <v>205.22</v>
      </c>
      <c r="M91" s="743">
        <v>205.22</v>
      </c>
    </row>
    <row r="92" spans="2:13" ht="39" customHeight="1" x14ac:dyDescent="0.25">
      <c r="B92" s="765" t="s">
        <v>478</v>
      </c>
      <c r="C92" s="750" t="s">
        <v>1286</v>
      </c>
      <c r="D92" s="749" t="s">
        <v>475</v>
      </c>
      <c r="E92" s="749" t="s">
        <v>1287</v>
      </c>
      <c r="F92" s="1008" t="s">
        <v>1285</v>
      </c>
      <c r="G92" s="1009"/>
      <c r="H92" s="751" t="s">
        <v>592</v>
      </c>
      <c r="I92" s="791">
        <v>0.03</v>
      </c>
      <c r="J92" s="802">
        <v>0.66</v>
      </c>
      <c r="K92" s="779">
        <v>0.01</v>
      </c>
      <c r="L92" s="822">
        <v>0.66</v>
      </c>
      <c r="M92" s="753">
        <v>0.01</v>
      </c>
    </row>
    <row r="93" spans="2:13" ht="24" customHeight="1" x14ac:dyDescent="0.25">
      <c r="B93" s="765" t="s">
        <v>478</v>
      </c>
      <c r="C93" s="750" t="s">
        <v>485</v>
      </c>
      <c r="D93" s="749" t="s">
        <v>475</v>
      </c>
      <c r="E93" s="749" t="s">
        <v>486</v>
      </c>
      <c r="F93" s="1008" t="s">
        <v>1268</v>
      </c>
      <c r="G93" s="1009"/>
      <c r="H93" s="751" t="s">
        <v>484</v>
      </c>
      <c r="I93" s="791">
        <v>0.76500000000000001</v>
      </c>
      <c r="J93" s="802">
        <v>22.76</v>
      </c>
      <c r="K93" s="779">
        <v>17.41</v>
      </c>
      <c r="L93" s="822">
        <v>21.55</v>
      </c>
      <c r="M93" s="753">
        <v>16.48</v>
      </c>
    </row>
    <row r="94" spans="2:13" ht="39" customHeight="1" x14ac:dyDescent="0.25">
      <c r="B94" s="765" t="s">
        <v>478</v>
      </c>
      <c r="C94" s="750" t="s">
        <v>807</v>
      </c>
      <c r="D94" s="749" t="s">
        <v>475</v>
      </c>
      <c r="E94" s="749" t="s">
        <v>808</v>
      </c>
      <c r="F94" s="1008" t="s">
        <v>1285</v>
      </c>
      <c r="G94" s="1009"/>
      <c r="H94" s="751" t="s">
        <v>564</v>
      </c>
      <c r="I94" s="791">
        <v>3.2000000000000001E-2</v>
      </c>
      <c r="J94" s="802">
        <v>10.050000000000001</v>
      </c>
      <c r="K94" s="779">
        <v>0.32</v>
      </c>
      <c r="L94" s="822">
        <v>10.050000000000001</v>
      </c>
      <c r="M94" s="753">
        <v>0.32</v>
      </c>
    </row>
    <row r="95" spans="2:13" ht="24" customHeight="1" x14ac:dyDescent="0.25">
      <c r="B95" s="765" t="s">
        <v>478</v>
      </c>
      <c r="C95" s="750" t="s">
        <v>620</v>
      </c>
      <c r="D95" s="749" t="s">
        <v>475</v>
      </c>
      <c r="E95" s="749" t="s">
        <v>621</v>
      </c>
      <c r="F95" s="1008" t="s">
        <v>1268</v>
      </c>
      <c r="G95" s="1009"/>
      <c r="H95" s="751" t="s">
        <v>484</v>
      </c>
      <c r="I95" s="791">
        <v>1.9419999999999999</v>
      </c>
      <c r="J95" s="802">
        <v>28.5</v>
      </c>
      <c r="K95" s="779">
        <v>55.34</v>
      </c>
      <c r="L95" s="822">
        <v>26.87</v>
      </c>
      <c r="M95" s="753">
        <v>52.18</v>
      </c>
    </row>
    <row r="96" spans="2:13" ht="26.1" customHeight="1" x14ac:dyDescent="0.25">
      <c r="B96" s="765" t="s">
        <v>487</v>
      </c>
      <c r="C96" s="750" t="s">
        <v>913</v>
      </c>
      <c r="D96" s="749" t="s">
        <v>475</v>
      </c>
      <c r="E96" s="749" t="s">
        <v>914</v>
      </c>
      <c r="F96" s="1008" t="s">
        <v>490</v>
      </c>
      <c r="G96" s="1009"/>
      <c r="H96" s="751" t="s">
        <v>2</v>
      </c>
      <c r="I96" s="791">
        <v>1.38</v>
      </c>
      <c r="J96" s="802">
        <v>98.72</v>
      </c>
      <c r="K96" s="779">
        <v>136.22999999999999</v>
      </c>
      <c r="L96" s="822">
        <v>98.72</v>
      </c>
      <c r="M96" s="753">
        <v>136.22999999999999</v>
      </c>
    </row>
    <row r="97" spans="2:13" x14ac:dyDescent="0.25">
      <c r="B97" s="823"/>
      <c r="C97" s="744"/>
      <c r="D97" s="744"/>
      <c r="E97" s="744"/>
      <c r="F97" s="744" t="s">
        <v>498</v>
      </c>
      <c r="G97" s="745">
        <v>54.56</v>
      </c>
      <c r="H97" s="744" t="s">
        <v>499</v>
      </c>
      <c r="I97" s="787">
        <v>0</v>
      </c>
      <c r="J97" s="823" t="s">
        <v>500</v>
      </c>
      <c r="K97" s="787">
        <v>54.56</v>
      </c>
      <c r="L97" s="744" t="s">
        <v>500</v>
      </c>
      <c r="M97" s="745">
        <v>50.47</v>
      </c>
    </row>
    <row r="98" spans="2:13" ht="14.25" customHeight="1" x14ac:dyDescent="0.25">
      <c r="B98" s="823"/>
      <c r="C98" s="744"/>
      <c r="D98" s="744"/>
      <c r="E98" s="744"/>
      <c r="F98" s="744" t="s">
        <v>501</v>
      </c>
      <c r="G98" s="745">
        <v>52.8</v>
      </c>
      <c r="H98" s="744"/>
      <c r="I98" s="812" t="s">
        <v>502</v>
      </c>
      <c r="J98" s="793"/>
      <c r="K98" s="787">
        <v>262.11</v>
      </c>
      <c r="L98" s="746"/>
      <c r="M98" s="745">
        <v>268.14</v>
      </c>
    </row>
    <row r="99" spans="2:13" ht="50.1" customHeight="1" thickBot="1" x14ac:dyDescent="0.3">
      <c r="B99" s="776"/>
      <c r="C99" s="747"/>
      <c r="D99" s="747"/>
      <c r="E99" s="747"/>
      <c r="F99" s="747"/>
      <c r="G99" s="747"/>
      <c r="H99" s="747" t="s">
        <v>503</v>
      </c>
      <c r="I99" s="806" t="s">
        <v>1288</v>
      </c>
      <c r="J99" s="776" t="s">
        <v>504</v>
      </c>
      <c r="K99" s="807">
        <v>1965.82</v>
      </c>
      <c r="L99" s="747" t="s">
        <v>504</v>
      </c>
      <c r="M99" s="748">
        <v>2011.05</v>
      </c>
    </row>
    <row r="100" spans="2:13" ht="16.5" thickTop="1" x14ac:dyDescent="0.25">
      <c r="B100" s="768"/>
      <c r="C100" s="757"/>
      <c r="D100" s="757"/>
      <c r="E100" s="757"/>
      <c r="F100" s="757"/>
      <c r="G100" s="757"/>
      <c r="H100" s="757"/>
      <c r="I100" s="766"/>
      <c r="J100" s="768"/>
      <c r="K100" s="766"/>
      <c r="L100" s="757"/>
      <c r="M100" s="757"/>
    </row>
    <row r="101" spans="2:13" ht="18" customHeight="1" x14ac:dyDescent="0.25">
      <c r="B101" s="805" t="s">
        <v>942</v>
      </c>
      <c r="C101" s="736" t="s">
        <v>391</v>
      </c>
      <c r="D101" s="735" t="s">
        <v>392</v>
      </c>
      <c r="E101" s="735" t="s">
        <v>42</v>
      </c>
      <c r="F101" s="1004" t="s">
        <v>39</v>
      </c>
      <c r="G101" s="1005"/>
      <c r="H101" s="738" t="s">
        <v>394</v>
      </c>
      <c r="I101" s="767" t="s">
        <v>395</v>
      </c>
      <c r="J101" s="808" t="s">
        <v>396</v>
      </c>
      <c r="K101" s="767" t="s">
        <v>0</v>
      </c>
      <c r="L101" s="782" t="s">
        <v>396</v>
      </c>
      <c r="M101" s="736" t="s">
        <v>0</v>
      </c>
    </row>
    <row r="102" spans="2:13" ht="51.95" customHeight="1" x14ac:dyDescent="0.25">
      <c r="B102" s="789" t="s">
        <v>473</v>
      </c>
      <c r="C102" s="740" t="s">
        <v>797</v>
      </c>
      <c r="D102" s="739" t="s">
        <v>475</v>
      </c>
      <c r="E102" s="739" t="s">
        <v>1337</v>
      </c>
      <c r="F102" s="1010" t="s">
        <v>1289</v>
      </c>
      <c r="G102" s="1011"/>
      <c r="H102" s="742" t="s">
        <v>2</v>
      </c>
      <c r="I102" s="803">
        <v>1</v>
      </c>
      <c r="J102" s="799">
        <v>9.07</v>
      </c>
      <c r="K102" s="814">
        <v>9.07</v>
      </c>
      <c r="L102" s="778">
        <v>8.9700000000000006</v>
      </c>
      <c r="M102" s="743">
        <v>8.9700000000000006</v>
      </c>
    </row>
    <row r="103" spans="2:13" ht="39" customHeight="1" x14ac:dyDescent="0.25">
      <c r="B103" s="765" t="s">
        <v>478</v>
      </c>
      <c r="C103" s="750" t="s">
        <v>634</v>
      </c>
      <c r="D103" s="749" t="s">
        <v>475</v>
      </c>
      <c r="E103" s="749" t="s">
        <v>635</v>
      </c>
      <c r="F103" s="1008" t="s">
        <v>1285</v>
      </c>
      <c r="G103" s="1009"/>
      <c r="H103" s="751" t="s">
        <v>564</v>
      </c>
      <c r="I103" s="791">
        <v>8.3000000000000001E-3</v>
      </c>
      <c r="J103" s="802">
        <v>211.46</v>
      </c>
      <c r="K103" s="779">
        <v>1.75</v>
      </c>
      <c r="L103" s="822">
        <v>209.33</v>
      </c>
      <c r="M103" s="753">
        <v>1.73</v>
      </c>
    </row>
    <row r="104" spans="2:13" ht="65.099999999999994" customHeight="1" x14ac:dyDescent="0.25">
      <c r="B104" s="765" t="s">
        <v>478</v>
      </c>
      <c r="C104" s="750" t="s">
        <v>601</v>
      </c>
      <c r="D104" s="749" t="s">
        <v>475</v>
      </c>
      <c r="E104" s="749" t="s">
        <v>602</v>
      </c>
      <c r="F104" s="1008" t="s">
        <v>1285</v>
      </c>
      <c r="G104" s="1009"/>
      <c r="H104" s="751" t="s">
        <v>564</v>
      </c>
      <c r="I104" s="791">
        <v>1.9800000000000002E-2</v>
      </c>
      <c r="J104" s="802">
        <v>270.25</v>
      </c>
      <c r="K104" s="779">
        <v>5.35</v>
      </c>
      <c r="L104" s="822">
        <v>268.58</v>
      </c>
      <c r="M104" s="753">
        <v>5.31</v>
      </c>
    </row>
    <row r="105" spans="2:13" ht="39" customHeight="1" x14ac:dyDescent="0.25">
      <c r="B105" s="765" t="s">
        <v>478</v>
      </c>
      <c r="C105" s="750" t="s">
        <v>636</v>
      </c>
      <c r="D105" s="749" t="s">
        <v>475</v>
      </c>
      <c r="E105" s="749" t="s">
        <v>637</v>
      </c>
      <c r="F105" s="1008" t="s">
        <v>1285</v>
      </c>
      <c r="G105" s="1009"/>
      <c r="H105" s="751" t="s">
        <v>592</v>
      </c>
      <c r="I105" s="791">
        <v>1.0500000000000001E-2</v>
      </c>
      <c r="J105" s="802">
        <v>91.03</v>
      </c>
      <c r="K105" s="779">
        <v>0.95</v>
      </c>
      <c r="L105" s="822">
        <v>88.9</v>
      </c>
      <c r="M105" s="753">
        <v>0.93</v>
      </c>
    </row>
    <row r="106" spans="2:13" ht="65.099999999999994" customHeight="1" x14ac:dyDescent="0.25">
      <c r="B106" s="765" t="s">
        <v>478</v>
      </c>
      <c r="C106" s="750" t="s">
        <v>603</v>
      </c>
      <c r="D106" s="749" t="s">
        <v>475</v>
      </c>
      <c r="E106" s="749" t="s">
        <v>604</v>
      </c>
      <c r="F106" s="1008" t="s">
        <v>1285</v>
      </c>
      <c r="G106" s="1009"/>
      <c r="H106" s="751" t="s">
        <v>592</v>
      </c>
      <c r="I106" s="791">
        <v>1.38E-2</v>
      </c>
      <c r="J106" s="802">
        <v>74.48</v>
      </c>
      <c r="K106" s="779">
        <v>1.02</v>
      </c>
      <c r="L106" s="822">
        <v>72.81</v>
      </c>
      <c r="M106" s="753">
        <v>1</v>
      </c>
    </row>
    <row r="107" spans="2:13" x14ac:dyDescent="0.25">
      <c r="B107" s="823"/>
      <c r="C107" s="744"/>
      <c r="D107" s="744"/>
      <c r="E107" s="744"/>
      <c r="F107" s="744" t="s">
        <v>498</v>
      </c>
      <c r="G107" s="745">
        <v>1.25</v>
      </c>
      <c r="H107" s="744" t="s">
        <v>499</v>
      </c>
      <c r="I107" s="787">
        <v>0</v>
      </c>
      <c r="J107" s="823" t="s">
        <v>500</v>
      </c>
      <c r="K107" s="787">
        <v>1.25</v>
      </c>
      <c r="L107" s="744" t="s">
        <v>500</v>
      </c>
      <c r="M107" s="745">
        <v>1.1599999999999999</v>
      </c>
    </row>
    <row r="108" spans="2:13" ht="14.25" customHeight="1" x14ac:dyDescent="0.25">
      <c r="B108" s="823"/>
      <c r="C108" s="744"/>
      <c r="D108" s="744"/>
      <c r="E108" s="744"/>
      <c r="F108" s="744" t="s">
        <v>501</v>
      </c>
      <c r="G108" s="745">
        <v>2.2799999999999998</v>
      </c>
      <c r="H108" s="744"/>
      <c r="I108" s="812" t="s">
        <v>502</v>
      </c>
      <c r="J108" s="793"/>
      <c r="K108" s="787">
        <v>11.35</v>
      </c>
      <c r="L108" s="746"/>
      <c r="M108" s="745">
        <v>11.72</v>
      </c>
    </row>
    <row r="109" spans="2:13" ht="50.1" customHeight="1" thickBot="1" x14ac:dyDescent="0.3">
      <c r="B109" s="776"/>
      <c r="C109" s="747"/>
      <c r="D109" s="747"/>
      <c r="E109" s="747"/>
      <c r="F109" s="747"/>
      <c r="G109" s="747"/>
      <c r="H109" s="747" t="s">
        <v>503</v>
      </c>
      <c r="I109" s="806" t="s">
        <v>1290</v>
      </c>
      <c r="J109" s="776" t="s">
        <v>504</v>
      </c>
      <c r="K109" s="807">
        <v>117.47</v>
      </c>
      <c r="L109" s="747" t="s">
        <v>504</v>
      </c>
      <c r="M109" s="748">
        <v>121.3</v>
      </c>
    </row>
    <row r="110" spans="2:13" ht="16.5" thickTop="1" x14ac:dyDescent="0.25">
      <c r="B110" s="768"/>
      <c r="C110" s="757"/>
      <c r="D110" s="757"/>
      <c r="E110" s="757"/>
      <c r="F110" s="757"/>
      <c r="G110" s="757"/>
      <c r="H110" s="757"/>
      <c r="I110" s="766"/>
      <c r="J110" s="768"/>
      <c r="K110" s="766"/>
      <c r="L110" s="757"/>
      <c r="M110" s="757"/>
    </row>
    <row r="111" spans="2:13" ht="18" customHeight="1" x14ac:dyDescent="0.25">
      <c r="B111" s="805" t="s">
        <v>1257</v>
      </c>
      <c r="C111" s="736" t="s">
        <v>391</v>
      </c>
      <c r="D111" s="735" t="s">
        <v>392</v>
      </c>
      <c r="E111" s="735" t="s">
        <v>42</v>
      </c>
      <c r="F111" s="1004" t="s">
        <v>39</v>
      </c>
      <c r="G111" s="1005"/>
      <c r="H111" s="738" t="s">
        <v>394</v>
      </c>
      <c r="I111" s="767" t="s">
        <v>395</v>
      </c>
      <c r="J111" s="808" t="s">
        <v>396</v>
      </c>
      <c r="K111" s="767" t="s">
        <v>0</v>
      </c>
      <c r="L111" s="782" t="s">
        <v>396</v>
      </c>
      <c r="M111" s="736" t="s">
        <v>0</v>
      </c>
    </row>
    <row r="112" spans="2:13" ht="39" customHeight="1" x14ac:dyDescent="0.25">
      <c r="B112" s="789" t="s">
        <v>473</v>
      </c>
      <c r="C112" s="740" t="s">
        <v>605</v>
      </c>
      <c r="D112" s="739" t="s">
        <v>475</v>
      </c>
      <c r="E112" s="739" t="s">
        <v>731</v>
      </c>
      <c r="F112" s="1010" t="s">
        <v>1289</v>
      </c>
      <c r="G112" s="1011"/>
      <c r="H112" s="742" t="s">
        <v>606</v>
      </c>
      <c r="I112" s="803">
        <v>1</v>
      </c>
      <c r="J112" s="799">
        <v>2.5</v>
      </c>
      <c r="K112" s="814">
        <v>2.5</v>
      </c>
      <c r="L112" s="778">
        <v>2.48</v>
      </c>
      <c r="M112" s="743">
        <v>2.48</v>
      </c>
    </row>
    <row r="113" spans="2:13" ht="65.099999999999994" customHeight="1" x14ac:dyDescent="0.25">
      <c r="B113" s="765" t="s">
        <v>478</v>
      </c>
      <c r="C113" s="750" t="s">
        <v>603</v>
      </c>
      <c r="D113" s="749" t="s">
        <v>475</v>
      </c>
      <c r="E113" s="749" t="s">
        <v>604</v>
      </c>
      <c r="F113" s="1008" t="s">
        <v>1285</v>
      </c>
      <c r="G113" s="1009"/>
      <c r="H113" s="751" t="s">
        <v>592</v>
      </c>
      <c r="I113" s="791">
        <v>3.5999999999999999E-3</v>
      </c>
      <c r="J113" s="802">
        <v>74.48</v>
      </c>
      <c r="K113" s="779">
        <v>0.26</v>
      </c>
      <c r="L113" s="822">
        <v>72.81</v>
      </c>
      <c r="M113" s="753">
        <v>0.26</v>
      </c>
    </row>
    <row r="114" spans="2:13" ht="65.099999999999994" customHeight="1" x14ac:dyDescent="0.25">
      <c r="B114" s="765" t="s">
        <v>478</v>
      </c>
      <c r="C114" s="750" t="s">
        <v>601</v>
      </c>
      <c r="D114" s="749" t="s">
        <v>475</v>
      </c>
      <c r="E114" s="749" t="s">
        <v>602</v>
      </c>
      <c r="F114" s="1008" t="s">
        <v>1285</v>
      </c>
      <c r="G114" s="1009"/>
      <c r="H114" s="751" t="s">
        <v>564</v>
      </c>
      <c r="I114" s="791">
        <v>8.3000000000000001E-3</v>
      </c>
      <c r="J114" s="802">
        <v>270.25</v>
      </c>
      <c r="K114" s="779">
        <v>2.2400000000000002</v>
      </c>
      <c r="L114" s="822">
        <v>268.58</v>
      </c>
      <c r="M114" s="753">
        <v>2.2200000000000002</v>
      </c>
    </row>
    <row r="115" spans="2:13" x14ac:dyDescent="0.25">
      <c r="B115" s="823"/>
      <c r="C115" s="744"/>
      <c r="D115" s="744"/>
      <c r="E115" s="744"/>
      <c r="F115" s="744" t="s">
        <v>498</v>
      </c>
      <c r="G115" s="745">
        <v>0.25</v>
      </c>
      <c r="H115" s="744" t="s">
        <v>499</v>
      </c>
      <c r="I115" s="787">
        <v>0</v>
      </c>
      <c r="J115" s="823" t="s">
        <v>500</v>
      </c>
      <c r="K115" s="787">
        <v>0.25</v>
      </c>
      <c r="L115" s="744" t="s">
        <v>500</v>
      </c>
      <c r="M115" s="745">
        <v>0.24</v>
      </c>
    </row>
    <row r="116" spans="2:13" ht="14.25" customHeight="1" x14ac:dyDescent="0.25">
      <c r="B116" s="823"/>
      <c r="C116" s="744"/>
      <c r="D116" s="744"/>
      <c r="E116" s="744"/>
      <c r="F116" s="744" t="s">
        <v>501</v>
      </c>
      <c r="G116" s="745">
        <v>0.63</v>
      </c>
      <c r="H116" s="744"/>
      <c r="I116" s="812" t="s">
        <v>502</v>
      </c>
      <c r="J116" s="793"/>
      <c r="K116" s="787">
        <v>3.13</v>
      </c>
      <c r="L116" s="746"/>
      <c r="M116" s="745">
        <v>3.24</v>
      </c>
    </row>
    <row r="117" spans="2:13" ht="50.1" customHeight="1" thickBot="1" x14ac:dyDescent="0.3">
      <c r="B117" s="776"/>
      <c r="C117" s="747"/>
      <c r="D117" s="747"/>
      <c r="E117" s="747"/>
      <c r="F117" s="747"/>
      <c r="G117" s="747"/>
      <c r="H117" s="747" t="s">
        <v>503</v>
      </c>
      <c r="I117" s="806" t="s">
        <v>1484</v>
      </c>
      <c r="J117" s="776" t="s">
        <v>504</v>
      </c>
      <c r="K117" s="807">
        <v>589.59</v>
      </c>
      <c r="L117" s="747" t="s">
        <v>504</v>
      </c>
      <c r="M117" s="748">
        <v>610.30999999999995</v>
      </c>
    </row>
    <row r="118" spans="2:13" ht="16.5" thickTop="1" x14ac:dyDescent="0.25">
      <c r="B118" s="768"/>
      <c r="C118" s="757"/>
      <c r="D118" s="757"/>
      <c r="E118" s="757"/>
      <c r="F118" s="757"/>
      <c r="G118" s="757"/>
      <c r="H118" s="757"/>
      <c r="I118" s="766"/>
      <c r="J118" s="768"/>
      <c r="K118" s="766"/>
      <c r="L118" s="757"/>
      <c r="M118" s="757"/>
    </row>
    <row r="119" spans="2:13" ht="18" customHeight="1" x14ac:dyDescent="0.25">
      <c r="B119" s="805" t="s">
        <v>1258</v>
      </c>
      <c r="C119" s="736" t="s">
        <v>391</v>
      </c>
      <c r="D119" s="735" t="s">
        <v>392</v>
      </c>
      <c r="E119" s="735" t="s">
        <v>42</v>
      </c>
      <c r="F119" s="1004" t="s">
        <v>39</v>
      </c>
      <c r="G119" s="1005"/>
      <c r="H119" s="738" t="s">
        <v>394</v>
      </c>
      <c r="I119" s="767" t="s">
        <v>395</v>
      </c>
      <c r="J119" s="808" t="s">
        <v>396</v>
      </c>
      <c r="K119" s="767" t="s">
        <v>0</v>
      </c>
      <c r="L119" s="782" t="s">
        <v>396</v>
      </c>
      <c r="M119" s="736" t="s">
        <v>0</v>
      </c>
    </row>
    <row r="120" spans="2:13" ht="47.25" customHeight="1" x14ac:dyDescent="0.25">
      <c r="B120" s="789" t="s">
        <v>473</v>
      </c>
      <c r="C120" s="740" t="s">
        <v>560</v>
      </c>
      <c r="D120" s="739" t="s">
        <v>509</v>
      </c>
      <c r="E120" s="739" t="s">
        <v>561</v>
      </c>
      <c r="F120" s="1010" t="s">
        <v>483</v>
      </c>
      <c r="G120" s="1011"/>
      <c r="H120" s="742" t="s">
        <v>213</v>
      </c>
      <c r="I120" s="803">
        <v>1</v>
      </c>
      <c r="J120" s="799">
        <v>492.48</v>
      </c>
      <c r="K120" s="814">
        <v>492.48</v>
      </c>
      <c r="L120" s="778">
        <v>489.04</v>
      </c>
      <c r="M120" s="743">
        <v>489.04</v>
      </c>
    </row>
    <row r="121" spans="2:13" ht="24" customHeight="1" x14ac:dyDescent="0.25">
      <c r="B121" s="765" t="s">
        <v>478</v>
      </c>
      <c r="C121" s="750" t="s">
        <v>481</v>
      </c>
      <c r="D121" s="749" t="s">
        <v>475</v>
      </c>
      <c r="E121" s="749" t="s">
        <v>482</v>
      </c>
      <c r="F121" s="1008" t="s">
        <v>1268</v>
      </c>
      <c r="G121" s="1009"/>
      <c r="H121" s="751" t="s">
        <v>484</v>
      </c>
      <c r="I121" s="791">
        <v>1</v>
      </c>
      <c r="J121" s="802">
        <v>27.74</v>
      </c>
      <c r="K121" s="779">
        <v>27.74</v>
      </c>
      <c r="L121" s="822">
        <v>26.13</v>
      </c>
      <c r="M121" s="753">
        <v>26.13</v>
      </c>
    </row>
    <row r="122" spans="2:13" ht="24" customHeight="1" x14ac:dyDescent="0.25">
      <c r="B122" s="765" t="s">
        <v>478</v>
      </c>
      <c r="C122" s="750" t="s">
        <v>485</v>
      </c>
      <c r="D122" s="749" t="s">
        <v>475</v>
      </c>
      <c r="E122" s="749" t="s">
        <v>486</v>
      </c>
      <c r="F122" s="1008" t="s">
        <v>1268</v>
      </c>
      <c r="G122" s="1009"/>
      <c r="H122" s="751" t="s">
        <v>484</v>
      </c>
      <c r="I122" s="791">
        <v>1.5</v>
      </c>
      <c r="J122" s="802">
        <v>22.76</v>
      </c>
      <c r="K122" s="779">
        <v>34.14</v>
      </c>
      <c r="L122" s="822">
        <v>21.55</v>
      </c>
      <c r="M122" s="753">
        <v>32.32</v>
      </c>
    </row>
    <row r="123" spans="2:13" ht="65.099999999999994" customHeight="1" x14ac:dyDescent="0.25">
      <c r="B123" s="765" t="s">
        <v>478</v>
      </c>
      <c r="C123" s="750" t="s">
        <v>562</v>
      </c>
      <c r="D123" s="749" t="s">
        <v>475</v>
      </c>
      <c r="E123" s="749" t="s">
        <v>563</v>
      </c>
      <c r="F123" s="1008" t="s">
        <v>1285</v>
      </c>
      <c r="G123" s="1009"/>
      <c r="H123" s="751" t="s">
        <v>564</v>
      </c>
      <c r="I123" s="791">
        <v>0.01</v>
      </c>
      <c r="J123" s="802">
        <v>248.87</v>
      </c>
      <c r="K123" s="779">
        <v>2.48</v>
      </c>
      <c r="L123" s="822">
        <v>247.27</v>
      </c>
      <c r="M123" s="753">
        <v>2.4700000000000002</v>
      </c>
    </row>
    <row r="124" spans="2:13" ht="47.25" x14ac:dyDescent="0.25">
      <c r="B124" s="765" t="s">
        <v>487</v>
      </c>
      <c r="C124" s="750" t="s">
        <v>565</v>
      </c>
      <c r="D124" s="749" t="s">
        <v>475</v>
      </c>
      <c r="E124" s="749" t="s">
        <v>940</v>
      </c>
      <c r="F124" s="1008" t="s">
        <v>490</v>
      </c>
      <c r="G124" s="1009"/>
      <c r="H124" s="751" t="s">
        <v>491</v>
      </c>
      <c r="I124" s="791">
        <v>1</v>
      </c>
      <c r="J124" s="802">
        <v>28.12</v>
      </c>
      <c r="K124" s="779">
        <v>28.12</v>
      </c>
      <c r="L124" s="822">
        <v>28.12</v>
      </c>
      <c r="M124" s="753">
        <v>28.12</v>
      </c>
    </row>
    <row r="125" spans="2:13" ht="39" customHeight="1" x14ac:dyDescent="0.25">
      <c r="B125" s="765" t="s">
        <v>487</v>
      </c>
      <c r="C125" s="750" t="s">
        <v>492</v>
      </c>
      <c r="D125" s="749" t="s">
        <v>475</v>
      </c>
      <c r="E125" s="749" t="s">
        <v>929</v>
      </c>
      <c r="F125" s="1008" t="s">
        <v>490</v>
      </c>
      <c r="G125" s="1009"/>
      <c r="H125" s="751" t="s">
        <v>1</v>
      </c>
      <c r="I125" s="791">
        <v>1</v>
      </c>
      <c r="J125" s="802">
        <v>400</v>
      </c>
      <c r="K125" s="779">
        <v>400</v>
      </c>
      <c r="L125" s="822">
        <v>400</v>
      </c>
      <c r="M125" s="753">
        <v>400</v>
      </c>
    </row>
    <row r="126" spans="2:13" x14ac:dyDescent="0.25">
      <c r="B126" s="823"/>
      <c r="C126" s="744"/>
      <c r="D126" s="744"/>
      <c r="E126" s="744"/>
      <c r="F126" s="744" t="s">
        <v>498</v>
      </c>
      <c r="G126" s="745">
        <v>46.04</v>
      </c>
      <c r="H126" s="744" t="s">
        <v>499</v>
      </c>
      <c r="I126" s="787">
        <v>0</v>
      </c>
      <c r="J126" s="823" t="s">
        <v>500</v>
      </c>
      <c r="K126" s="787">
        <v>46.04</v>
      </c>
      <c r="L126" s="744" t="s">
        <v>500</v>
      </c>
      <c r="M126" s="745">
        <v>42.59</v>
      </c>
    </row>
    <row r="127" spans="2:13" ht="14.25" customHeight="1" x14ac:dyDescent="0.25">
      <c r="B127" s="823"/>
      <c r="C127" s="744"/>
      <c r="D127" s="744"/>
      <c r="E127" s="744"/>
      <c r="F127" s="744" t="s">
        <v>501</v>
      </c>
      <c r="G127" s="745">
        <v>124.25</v>
      </c>
      <c r="H127" s="744"/>
      <c r="I127" s="812" t="s">
        <v>502</v>
      </c>
      <c r="J127" s="793"/>
      <c r="K127" s="787">
        <v>616.73</v>
      </c>
      <c r="L127" s="746"/>
      <c r="M127" s="745">
        <v>638.97</v>
      </c>
    </row>
    <row r="128" spans="2:13" ht="50.1" customHeight="1" thickBot="1" x14ac:dyDescent="0.3">
      <c r="B128" s="776"/>
      <c r="C128" s="747"/>
      <c r="D128" s="747"/>
      <c r="E128" s="747"/>
      <c r="F128" s="747"/>
      <c r="G128" s="747"/>
      <c r="H128" s="747" t="s">
        <v>503</v>
      </c>
      <c r="I128" s="806" t="s">
        <v>1150</v>
      </c>
      <c r="J128" s="776" t="s">
        <v>504</v>
      </c>
      <c r="K128" s="807">
        <v>17885.169999999998</v>
      </c>
      <c r="L128" s="747" t="s">
        <v>504</v>
      </c>
      <c r="M128" s="748">
        <v>18530.13</v>
      </c>
    </row>
    <row r="129" spans="2:13" ht="16.5" thickTop="1" x14ac:dyDescent="0.25">
      <c r="B129" s="768"/>
      <c r="C129" s="757"/>
      <c r="D129" s="757"/>
      <c r="E129" s="757"/>
      <c r="F129" s="757"/>
      <c r="G129" s="757"/>
      <c r="H129" s="757"/>
      <c r="I129" s="766"/>
      <c r="J129" s="768"/>
      <c r="K129" s="766"/>
      <c r="L129" s="757"/>
      <c r="M129" s="757"/>
    </row>
    <row r="130" spans="2:13" ht="18" customHeight="1" x14ac:dyDescent="0.25">
      <c r="B130" s="805" t="s">
        <v>1259</v>
      </c>
      <c r="C130" s="736" t="s">
        <v>391</v>
      </c>
      <c r="D130" s="735" t="s">
        <v>392</v>
      </c>
      <c r="E130" s="735" t="s">
        <v>42</v>
      </c>
      <c r="F130" s="1004" t="s">
        <v>39</v>
      </c>
      <c r="G130" s="1005"/>
      <c r="H130" s="738" t="s">
        <v>394</v>
      </c>
      <c r="I130" s="767" t="s">
        <v>395</v>
      </c>
      <c r="J130" s="808" t="s">
        <v>396</v>
      </c>
      <c r="K130" s="767" t="s">
        <v>0</v>
      </c>
      <c r="L130" s="782" t="s">
        <v>396</v>
      </c>
      <c r="M130" s="736" t="s">
        <v>0</v>
      </c>
    </row>
    <row r="131" spans="2:13" ht="26.1" customHeight="1" x14ac:dyDescent="0.25">
      <c r="B131" s="789" t="s">
        <v>473</v>
      </c>
      <c r="C131" s="740" t="s">
        <v>566</v>
      </c>
      <c r="D131" s="739" t="s">
        <v>509</v>
      </c>
      <c r="E131" s="739" t="s">
        <v>567</v>
      </c>
      <c r="F131" s="1010" t="s">
        <v>568</v>
      </c>
      <c r="G131" s="1011"/>
      <c r="H131" s="742" t="s">
        <v>1</v>
      </c>
      <c r="I131" s="803">
        <v>1</v>
      </c>
      <c r="J131" s="799">
        <v>9.52</v>
      </c>
      <c r="K131" s="814">
        <v>9.52</v>
      </c>
      <c r="L131" s="778">
        <v>9.1999999999999993</v>
      </c>
      <c r="M131" s="743">
        <v>9.1999999999999993</v>
      </c>
    </row>
    <row r="132" spans="2:13" ht="24" customHeight="1" x14ac:dyDescent="0.25">
      <c r="B132" s="765" t="s">
        <v>478</v>
      </c>
      <c r="C132" s="750" t="s">
        <v>481</v>
      </c>
      <c r="D132" s="749" t="s">
        <v>475</v>
      </c>
      <c r="E132" s="749" t="s">
        <v>482</v>
      </c>
      <c r="F132" s="1008" t="s">
        <v>1268</v>
      </c>
      <c r="G132" s="1009"/>
      <c r="H132" s="751" t="s">
        <v>484</v>
      </c>
      <c r="I132" s="791">
        <v>0.06</v>
      </c>
      <c r="J132" s="802">
        <v>27.74</v>
      </c>
      <c r="K132" s="779">
        <v>1.66</v>
      </c>
      <c r="L132" s="822">
        <v>26.13</v>
      </c>
      <c r="M132" s="753">
        <v>1.56</v>
      </c>
    </row>
    <row r="133" spans="2:13" ht="24" customHeight="1" x14ac:dyDescent="0.25">
      <c r="B133" s="765" t="s">
        <v>478</v>
      </c>
      <c r="C133" s="750" t="s">
        <v>485</v>
      </c>
      <c r="D133" s="749" t="s">
        <v>475</v>
      </c>
      <c r="E133" s="749" t="s">
        <v>486</v>
      </c>
      <c r="F133" s="1008" t="s">
        <v>1268</v>
      </c>
      <c r="G133" s="1009"/>
      <c r="H133" s="751" t="s">
        <v>484</v>
      </c>
      <c r="I133" s="791">
        <v>0.18</v>
      </c>
      <c r="J133" s="802">
        <v>22.76</v>
      </c>
      <c r="K133" s="779">
        <v>4.09</v>
      </c>
      <c r="L133" s="822">
        <v>21.55</v>
      </c>
      <c r="M133" s="753">
        <v>3.87</v>
      </c>
    </row>
    <row r="134" spans="2:13" ht="24" customHeight="1" x14ac:dyDescent="0.25">
      <c r="B134" s="765" t="s">
        <v>487</v>
      </c>
      <c r="C134" s="750" t="s">
        <v>569</v>
      </c>
      <c r="D134" s="749" t="s">
        <v>475</v>
      </c>
      <c r="E134" s="749" t="s">
        <v>570</v>
      </c>
      <c r="F134" s="1008" t="s">
        <v>490</v>
      </c>
      <c r="G134" s="1009"/>
      <c r="H134" s="751" t="s">
        <v>495</v>
      </c>
      <c r="I134" s="791">
        <v>0.04</v>
      </c>
      <c r="J134" s="802">
        <v>29.14</v>
      </c>
      <c r="K134" s="779">
        <v>1.1599999999999999</v>
      </c>
      <c r="L134" s="822">
        <v>29.14</v>
      </c>
      <c r="M134" s="753">
        <v>1.1599999999999999</v>
      </c>
    </row>
    <row r="135" spans="2:13" ht="39" customHeight="1" x14ac:dyDescent="0.25">
      <c r="B135" s="765" t="s">
        <v>487</v>
      </c>
      <c r="C135" s="750" t="s">
        <v>571</v>
      </c>
      <c r="D135" s="749" t="s">
        <v>475</v>
      </c>
      <c r="E135" s="749" t="s">
        <v>572</v>
      </c>
      <c r="F135" s="1008" t="s">
        <v>490</v>
      </c>
      <c r="G135" s="1009"/>
      <c r="H135" s="751" t="s">
        <v>1</v>
      </c>
      <c r="I135" s="791">
        <v>1.1000000000000001</v>
      </c>
      <c r="J135" s="802">
        <v>2.38</v>
      </c>
      <c r="K135" s="779">
        <v>2.61</v>
      </c>
      <c r="L135" s="822">
        <v>2.38</v>
      </c>
      <c r="M135" s="753">
        <v>2.61</v>
      </c>
    </row>
    <row r="136" spans="2:13" x14ac:dyDescent="0.25">
      <c r="B136" s="823"/>
      <c r="C136" s="744"/>
      <c r="D136" s="744"/>
      <c r="E136" s="744"/>
      <c r="F136" s="744" t="s">
        <v>498</v>
      </c>
      <c r="G136" s="745">
        <v>4.2</v>
      </c>
      <c r="H136" s="744" t="s">
        <v>499</v>
      </c>
      <c r="I136" s="787">
        <v>0</v>
      </c>
      <c r="J136" s="823" t="s">
        <v>500</v>
      </c>
      <c r="K136" s="787">
        <v>4.2</v>
      </c>
      <c r="L136" s="744" t="s">
        <v>500</v>
      </c>
      <c r="M136" s="745">
        <v>3.89</v>
      </c>
    </row>
    <row r="137" spans="2:13" ht="14.25" customHeight="1" x14ac:dyDescent="0.25">
      <c r="B137" s="823"/>
      <c r="C137" s="744"/>
      <c r="D137" s="744"/>
      <c r="E137" s="744"/>
      <c r="F137" s="744" t="s">
        <v>501</v>
      </c>
      <c r="G137" s="745">
        <v>2.4</v>
      </c>
      <c r="H137" s="744"/>
      <c r="I137" s="812" t="s">
        <v>502</v>
      </c>
      <c r="J137" s="793"/>
      <c r="K137" s="787">
        <v>11.92</v>
      </c>
      <c r="L137" s="746"/>
      <c r="M137" s="745">
        <v>12.02</v>
      </c>
    </row>
    <row r="138" spans="2:13" ht="50.1" customHeight="1" thickBot="1" x14ac:dyDescent="0.3">
      <c r="B138" s="776"/>
      <c r="C138" s="747"/>
      <c r="D138" s="747"/>
      <c r="E138" s="747"/>
      <c r="F138" s="747"/>
      <c r="G138" s="747"/>
      <c r="H138" s="747" t="s">
        <v>503</v>
      </c>
      <c r="I138" s="806" t="s">
        <v>1343</v>
      </c>
      <c r="J138" s="776" t="s">
        <v>504</v>
      </c>
      <c r="K138" s="807">
        <v>7545.36</v>
      </c>
      <c r="L138" s="747" t="s">
        <v>504</v>
      </c>
      <c r="M138" s="748">
        <v>7608.66</v>
      </c>
    </row>
    <row r="139" spans="2:13" ht="16.5" thickTop="1" x14ac:dyDescent="0.25">
      <c r="B139" s="768"/>
      <c r="C139" s="757"/>
      <c r="D139" s="757"/>
      <c r="E139" s="757"/>
      <c r="F139" s="757"/>
      <c r="G139" s="757"/>
      <c r="H139" s="757"/>
      <c r="I139" s="766"/>
      <c r="J139" s="768"/>
      <c r="K139" s="766"/>
      <c r="L139" s="757"/>
      <c r="M139" s="757"/>
    </row>
    <row r="140" spans="2:13" ht="18" customHeight="1" x14ac:dyDescent="0.25">
      <c r="B140" s="805" t="s">
        <v>1334</v>
      </c>
      <c r="C140" s="736" t="s">
        <v>391</v>
      </c>
      <c r="D140" s="735" t="s">
        <v>392</v>
      </c>
      <c r="E140" s="735" t="s">
        <v>42</v>
      </c>
      <c r="F140" s="1004" t="s">
        <v>39</v>
      </c>
      <c r="G140" s="1005"/>
      <c r="H140" s="738" t="s">
        <v>394</v>
      </c>
      <c r="I140" s="767" t="s">
        <v>395</v>
      </c>
      <c r="J140" s="808" t="s">
        <v>396</v>
      </c>
      <c r="K140" s="767" t="s">
        <v>0</v>
      </c>
      <c r="L140" s="782" t="s">
        <v>396</v>
      </c>
      <c r="M140" s="736" t="s">
        <v>0</v>
      </c>
    </row>
    <row r="141" spans="2:13" ht="24" customHeight="1" x14ac:dyDescent="0.25">
      <c r="B141" s="789" t="s">
        <v>473</v>
      </c>
      <c r="C141" s="740" t="s">
        <v>573</v>
      </c>
      <c r="D141" s="739" t="s">
        <v>509</v>
      </c>
      <c r="E141" s="739" t="s">
        <v>574</v>
      </c>
      <c r="F141" s="1010" t="s">
        <v>568</v>
      </c>
      <c r="G141" s="1011"/>
      <c r="H141" s="742" t="s">
        <v>491</v>
      </c>
      <c r="I141" s="803">
        <v>1</v>
      </c>
      <c r="J141" s="799">
        <v>4.04</v>
      </c>
      <c r="K141" s="814">
        <v>4.04</v>
      </c>
      <c r="L141" s="778">
        <v>3.89</v>
      </c>
      <c r="M141" s="743">
        <v>3.89</v>
      </c>
    </row>
    <row r="142" spans="2:13" ht="24" customHeight="1" x14ac:dyDescent="0.25">
      <c r="B142" s="765" t="s">
        <v>478</v>
      </c>
      <c r="C142" s="750" t="s">
        <v>526</v>
      </c>
      <c r="D142" s="749" t="s">
        <v>475</v>
      </c>
      <c r="E142" s="749" t="s">
        <v>527</v>
      </c>
      <c r="F142" s="1008" t="s">
        <v>1268</v>
      </c>
      <c r="G142" s="1009"/>
      <c r="H142" s="751" t="s">
        <v>484</v>
      </c>
      <c r="I142" s="791">
        <v>0.05</v>
      </c>
      <c r="J142" s="802">
        <v>31.14</v>
      </c>
      <c r="K142" s="779">
        <v>1.55</v>
      </c>
      <c r="L142" s="822">
        <v>29.32</v>
      </c>
      <c r="M142" s="753">
        <v>1.46</v>
      </c>
    </row>
    <row r="143" spans="2:13" ht="24" customHeight="1" x14ac:dyDescent="0.25">
      <c r="B143" s="765" t="s">
        <v>478</v>
      </c>
      <c r="C143" s="750" t="s">
        <v>485</v>
      </c>
      <c r="D143" s="749" t="s">
        <v>475</v>
      </c>
      <c r="E143" s="749" t="s">
        <v>486</v>
      </c>
      <c r="F143" s="1008" t="s">
        <v>1268</v>
      </c>
      <c r="G143" s="1009"/>
      <c r="H143" s="751" t="s">
        <v>484</v>
      </c>
      <c r="I143" s="791">
        <v>0.05</v>
      </c>
      <c r="J143" s="802">
        <v>22.76</v>
      </c>
      <c r="K143" s="779">
        <v>1.1299999999999999</v>
      </c>
      <c r="L143" s="822">
        <v>21.55</v>
      </c>
      <c r="M143" s="753">
        <v>1.07</v>
      </c>
    </row>
    <row r="144" spans="2:13" ht="24" customHeight="1" x14ac:dyDescent="0.25">
      <c r="B144" s="765" t="s">
        <v>487</v>
      </c>
      <c r="C144" s="750" t="s">
        <v>583</v>
      </c>
      <c r="D144" s="749" t="s">
        <v>475</v>
      </c>
      <c r="E144" s="749" t="s">
        <v>584</v>
      </c>
      <c r="F144" s="1008" t="s">
        <v>490</v>
      </c>
      <c r="G144" s="1009"/>
      <c r="H144" s="751" t="s">
        <v>513</v>
      </c>
      <c r="I144" s="791">
        <v>8.9999999999999993E-3</v>
      </c>
      <c r="J144" s="802">
        <v>9.39</v>
      </c>
      <c r="K144" s="779">
        <v>0.08</v>
      </c>
      <c r="L144" s="822">
        <v>9.39</v>
      </c>
      <c r="M144" s="753">
        <v>0.08</v>
      </c>
    </row>
    <row r="145" spans="2:13" ht="26.1" customHeight="1" x14ac:dyDescent="0.25">
      <c r="B145" s="765" t="s">
        <v>487</v>
      </c>
      <c r="C145" s="750" t="s">
        <v>577</v>
      </c>
      <c r="D145" s="749" t="s">
        <v>475</v>
      </c>
      <c r="E145" s="749" t="s">
        <v>578</v>
      </c>
      <c r="F145" s="1008" t="s">
        <v>943</v>
      </c>
      <c r="G145" s="1009"/>
      <c r="H145" s="751" t="s">
        <v>944</v>
      </c>
      <c r="I145" s="791">
        <v>0.24</v>
      </c>
      <c r="J145" s="802">
        <v>1.1299999999999999</v>
      </c>
      <c r="K145" s="779">
        <v>0.27</v>
      </c>
      <c r="L145" s="822">
        <v>1.1299999999999999</v>
      </c>
      <c r="M145" s="753">
        <v>0.27</v>
      </c>
    </row>
    <row r="146" spans="2:13" ht="31.5" x14ac:dyDescent="0.25">
      <c r="B146" s="765" t="s">
        <v>487</v>
      </c>
      <c r="C146" s="750" t="s">
        <v>575</v>
      </c>
      <c r="D146" s="749" t="s">
        <v>475</v>
      </c>
      <c r="E146" s="749" t="s">
        <v>576</v>
      </c>
      <c r="F146" s="1008" t="s">
        <v>490</v>
      </c>
      <c r="G146" s="1009"/>
      <c r="H146" s="751" t="s">
        <v>491</v>
      </c>
      <c r="I146" s="791">
        <v>0.3</v>
      </c>
      <c r="J146" s="802">
        <v>2.81</v>
      </c>
      <c r="K146" s="779">
        <v>0.84</v>
      </c>
      <c r="L146" s="822">
        <v>2.81</v>
      </c>
      <c r="M146" s="753">
        <v>0.84</v>
      </c>
    </row>
    <row r="147" spans="2:13" ht="31.5" x14ac:dyDescent="0.25">
      <c r="B147" s="765" t="s">
        <v>487</v>
      </c>
      <c r="C147" s="750" t="s">
        <v>581</v>
      </c>
      <c r="D147" s="749" t="s">
        <v>475</v>
      </c>
      <c r="E147" s="749" t="s">
        <v>582</v>
      </c>
      <c r="F147" s="1008" t="s">
        <v>490</v>
      </c>
      <c r="G147" s="1009"/>
      <c r="H147" s="751" t="s">
        <v>513</v>
      </c>
      <c r="I147" s="791">
        <v>8.9999999999999993E-3</v>
      </c>
      <c r="J147" s="802">
        <v>9.11</v>
      </c>
      <c r="K147" s="779">
        <v>0.08</v>
      </c>
      <c r="L147" s="822">
        <v>9.11</v>
      </c>
      <c r="M147" s="753">
        <v>0.08</v>
      </c>
    </row>
    <row r="148" spans="2:13" ht="24" customHeight="1" x14ac:dyDescent="0.25">
      <c r="B148" s="765" t="s">
        <v>487</v>
      </c>
      <c r="C148" s="750" t="s">
        <v>579</v>
      </c>
      <c r="D148" s="749" t="s">
        <v>475</v>
      </c>
      <c r="E148" s="749" t="s">
        <v>580</v>
      </c>
      <c r="F148" s="1008" t="s">
        <v>490</v>
      </c>
      <c r="G148" s="1009"/>
      <c r="H148" s="751" t="s">
        <v>513</v>
      </c>
      <c r="I148" s="791">
        <v>8.9999999999999993E-3</v>
      </c>
      <c r="J148" s="802">
        <v>10.46</v>
      </c>
      <c r="K148" s="779">
        <v>0.09</v>
      </c>
      <c r="L148" s="822">
        <v>10.46</v>
      </c>
      <c r="M148" s="753">
        <v>0.09</v>
      </c>
    </row>
    <row r="149" spans="2:13" x14ac:dyDescent="0.25">
      <c r="B149" s="823"/>
      <c r="C149" s="744"/>
      <c r="D149" s="744"/>
      <c r="E149" s="744"/>
      <c r="F149" s="744" t="s">
        <v>498</v>
      </c>
      <c r="G149" s="745">
        <v>2.0299999999999998</v>
      </c>
      <c r="H149" s="744" t="s">
        <v>499</v>
      </c>
      <c r="I149" s="787">
        <v>0</v>
      </c>
      <c r="J149" s="823" t="s">
        <v>500</v>
      </c>
      <c r="K149" s="787">
        <v>2.0299999999999998</v>
      </c>
      <c r="L149" s="744" t="s">
        <v>500</v>
      </c>
      <c r="M149" s="745">
        <v>1.88</v>
      </c>
    </row>
    <row r="150" spans="2:13" ht="14.25" customHeight="1" x14ac:dyDescent="0.25">
      <c r="B150" s="823"/>
      <c r="C150" s="744"/>
      <c r="D150" s="744"/>
      <c r="E150" s="744"/>
      <c r="F150" s="744" t="s">
        <v>501</v>
      </c>
      <c r="G150" s="745">
        <v>1.01</v>
      </c>
      <c r="H150" s="744"/>
      <c r="I150" s="812" t="s">
        <v>502</v>
      </c>
      <c r="J150" s="793"/>
      <c r="K150" s="787">
        <v>5.05</v>
      </c>
      <c r="L150" s="746"/>
      <c r="M150" s="745">
        <v>5.08</v>
      </c>
    </row>
    <row r="151" spans="2:13" ht="50.1" customHeight="1" thickBot="1" x14ac:dyDescent="0.3">
      <c r="B151" s="776"/>
      <c r="C151" s="747"/>
      <c r="D151" s="747"/>
      <c r="E151" s="747"/>
      <c r="F151" s="747"/>
      <c r="G151" s="747"/>
      <c r="H151" s="747" t="s">
        <v>503</v>
      </c>
      <c r="I151" s="806" t="s">
        <v>1344</v>
      </c>
      <c r="J151" s="776" t="s">
        <v>504</v>
      </c>
      <c r="K151" s="807">
        <v>2666.4</v>
      </c>
      <c r="L151" s="747" t="s">
        <v>504</v>
      </c>
      <c r="M151" s="748">
        <v>2682.24</v>
      </c>
    </row>
    <row r="152" spans="2:13" ht="16.5" thickTop="1" x14ac:dyDescent="0.25">
      <c r="B152" s="768"/>
      <c r="C152" s="757"/>
      <c r="D152" s="757"/>
      <c r="E152" s="757"/>
      <c r="F152" s="757"/>
      <c r="G152" s="757"/>
      <c r="H152" s="757"/>
      <c r="I152" s="766"/>
      <c r="J152" s="768"/>
      <c r="K152" s="766"/>
      <c r="L152" s="757"/>
      <c r="M152" s="757"/>
    </row>
    <row r="153" spans="2:13" ht="24" customHeight="1" x14ac:dyDescent="0.25">
      <c r="B153" s="771" t="s">
        <v>402</v>
      </c>
      <c r="C153" s="617"/>
      <c r="D153" s="617"/>
      <c r="E153" s="617" t="s">
        <v>945</v>
      </c>
      <c r="F153" s="1012"/>
      <c r="G153" s="1013"/>
      <c r="H153" s="755"/>
      <c r="I153" s="792"/>
      <c r="J153" s="771"/>
      <c r="K153" s="796">
        <v>16992.650000000001</v>
      </c>
      <c r="L153" s="815"/>
      <c r="M153" s="756">
        <v>17029.3</v>
      </c>
    </row>
    <row r="154" spans="2:13" ht="18" customHeight="1" x14ac:dyDescent="0.25">
      <c r="B154" s="805" t="s">
        <v>946</v>
      </c>
      <c r="C154" s="736" t="s">
        <v>391</v>
      </c>
      <c r="D154" s="735" t="s">
        <v>392</v>
      </c>
      <c r="E154" s="735" t="s">
        <v>42</v>
      </c>
      <c r="F154" s="1004" t="s">
        <v>39</v>
      </c>
      <c r="G154" s="1005"/>
      <c r="H154" s="738" t="s">
        <v>394</v>
      </c>
      <c r="I154" s="767" t="s">
        <v>395</v>
      </c>
      <c r="J154" s="808" t="s">
        <v>396</v>
      </c>
      <c r="K154" s="767" t="s">
        <v>0</v>
      </c>
      <c r="L154" s="782" t="s">
        <v>396</v>
      </c>
      <c r="M154" s="736" t="s">
        <v>0</v>
      </c>
    </row>
    <row r="155" spans="2:13" ht="31.5" x14ac:dyDescent="0.25">
      <c r="B155" s="789" t="s">
        <v>473</v>
      </c>
      <c r="C155" s="740" t="s">
        <v>947</v>
      </c>
      <c r="D155" s="739" t="s">
        <v>509</v>
      </c>
      <c r="E155" s="739" t="s">
        <v>948</v>
      </c>
      <c r="F155" s="1010" t="s">
        <v>568</v>
      </c>
      <c r="G155" s="1011"/>
      <c r="H155" s="742" t="s">
        <v>2</v>
      </c>
      <c r="I155" s="803">
        <v>1</v>
      </c>
      <c r="J155" s="799">
        <v>332.93</v>
      </c>
      <c r="K155" s="814">
        <v>332.93</v>
      </c>
      <c r="L155" s="778">
        <v>315.08</v>
      </c>
      <c r="M155" s="743">
        <v>315.08</v>
      </c>
    </row>
    <row r="156" spans="2:13" ht="24" customHeight="1" x14ac:dyDescent="0.25">
      <c r="B156" s="765" t="s">
        <v>478</v>
      </c>
      <c r="C156" s="750" t="s">
        <v>485</v>
      </c>
      <c r="D156" s="749" t="s">
        <v>475</v>
      </c>
      <c r="E156" s="749" t="s">
        <v>486</v>
      </c>
      <c r="F156" s="1008" t="s">
        <v>1268</v>
      </c>
      <c r="G156" s="1009"/>
      <c r="H156" s="751" t="s">
        <v>484</v>
      </c>
      <c r="I156" s="791">
        <v>13</v>
      </c>
      <c r="J156" s="802">
        <v>22.76</v>
      </c>
      <c r="K156" s="779">
        <v>295.88</v>
      </c>
      <c r="L156" s="822">
        <v>21.55</v>
      </c>
      <c r="M156" s="753">
        <v>280.14999999999998</v>
      </c>
    </row>
    <row r="157" spans="2:13" ht="24" customHeight="1" x14ac:dyDescent="0.25">
      <c r="B157" s="765" t="s">
        <v>478</v>
      </c>
      <c r="C157" s="750" t="s">
        <v>620</v>
      </c>
      <c r="D157" s="749" t="s">
        <v>475</v>
      </c>
      <c r="E157" s="749" t="s">
        <v>621</v>
      </c>
      <c r="F157" s="1008" t="s">
        <v>1268</v>
      </c>
      <c r="G157" s="1009"/>
      <c r="H157" s="751" t="s">
        <v>484</v>
      </c>
      <c r="I157" s="791">
        <v>1.3</v>
      </c>
      <c r="J157" s="802">
        <v>28.5</v>
      </c>
      <c r="K157" s="779">
        <v>37.049999999999997</v>
      </c>
      <c r="L157" s="822">
        <v>26.87</v>
      </c>
      <c r="M157" s="753">
        <v>34.93</v>
      </c>
    </row>
    <row r="158" spans="2:13" x14ac:dyDescent="0.25">
      <c r="B158" s="823"/>
      <c r="C158" s="744"/>
      <c r="D158" s="744"/>
      <c r="E158" s="744"/>
      <c r="F158" s="744" t="s">
        <v>498</v>
      </c>
      <c r="G158" s="745">
        <v>239.08</v>
      </c>
      <c r="H158" s="744" t="s">
        <v>499</v>
      </c>
      <c r="I158" s="787">
        <v>0</v>
      </c>
      <c r="J158" s="823" t="s">
        <v>500</v>
      </c>
      <c r="K158" s="787">
        <v>239.08</v>
      </c>
      <c r="L158" s="744" t="s">
        <v>500</v>
      </c>
      <c r="M158" s="745">
        <v>221.23</v>
      </c>
    </row>
    <row r="159" spans="2:13" ht="14.25" customHeight="1" x14ac:dyDescent="0.25">
      <c r="B159" s="823"/>
      <c r="C159" s="744"/>
      <c r="D159" s="744"/>
      <c r="E159" s="744"/>
      <c r="F159" s="744" t="s">
        <v>501</v>
      </c>
      <c r="G159" s="745">
        <v>83.99</v>
      </c>
      <c r="H159" s="744"/>
      <c r="I159" s="812" t="s">
        <v>502</v>
      </c>
      <c r="J159" s="793"/>
      <c r="K159" s="787">
        <v>416.92</v>
      </c>
      <c r="L159" s="746"/>
      <c r="M159" s="745">
        <v>411.68</v>
      </c>
    </row>
    <row r="160" spans="2:13" ht="50.1" customHeight="1" thickBot="1" x14ac:dyDescent="0.3">
      <c r="B160" s="776"/>
      <c r="C160" s="747"/>
      <c r="D160" s="747"/>
      <c r="E160" s="747"/>
      <c r="F160" s="747"/>
      <c r="G160" s="747"/>
      <c r="H160" s="747" t="s">
        <v>503</v>
      </c>
      <c r="I160" s="806" t="s">
        <v>1485</v>
      </c>
      <c r="J160" s="776" t="s">
        <v>504</v>
      </c>
      <c r="K160" s="807">
        <v>6474.76</v>
      </c>
      <c r="L160" s="747" t="s">
        <v>504</v>
      </c>
      <c r="M160" s="748">
        <v>6393.39</v>
      </c>
    </row>
    <row r="161" spans="2:13" ht="16.5" thickTop="1" x14ac:dyDescent="0.25">
      <c r="B161" s="768"/>
      <c r="C161" s="757"/>
      <c r="D161" s="757"/>
      <c r="E161" s="757"/>
      <c r="F161" s="757"/>
      <c r="G161" s="757"/>
      <c r="H161" s="757"/>
      <c r="I161" s="766"/>
      <c r="J161" s="768"/>
      <c r="K161" s="766"/>
      <c r="L161" s="757"/>
      <c r="M161" s="757"/>
    </row>
    <row r="162" spans="2:13" ht="18" customHeight="1" x14ac:dyDescent="0.25">
      <c r="B162" s="805" t="s">
        <v>949</v>
      </c>
      <c r="C162" s="736" t="s">
        <v>391</v>
      </c>
      <c r="D162" s="735" t="s">
        <v>392</v>
      </c>
      <c r="E162" s="735" t="s">
        <v>42</v>
      </c>
      <c r="F162" s="1004" t="s">
        <v>39</v>
      </c>
      <c r="G162" s="1005"/>
      <c r="H162" s="738" t="s">
        <v>394</v>
      </c>
      <c r="I162" s="767" t="s">
        <v>395</v>
      </c>
      <c r="J162" s="808" t="s">
        <v>396</v>
      </c>
      <c r="K162" s="767" t="s">
        <v>0</v>
      </c>
      <c r="L162" s="782" t="s">
        <v>396</v>
      </c>
      <c r="M162" s="736" t="s">
        <v>0</v>
      </c>
    </row>
    <row r="163" spans="2:13" ht="31.5" x14ac:dyDescent="0.25">
      <c r="B163" s="789" t="s">
        <v>473</v>
      </c>
      <c r="C163" s="740" t="s">
        <v>676</v>
      </c>
      <c r="D163" s="739" t="s">
        <v>475</v>
      </c>
      <c r="E163" s="739" t="s">
        <v>677</v>
      </c>
      <c r="F163" s="1010" t="s">
        <v>1411</v>
      </c>
      <c r="G163" s="1011"/>
      <c r="H163" s="742" t="s">
        <v>1</v>
      </c>
      <c r="I163" s="803">
        <v>1</v>
      </c>
      <c r="J163" s="799">
        <v>22.54</v>
      </c>
      <c r="K163" s="814">
        <v>22.54</v>
      </c>
      <c r="L163" s="778">
        <v>21.88</v>
      </c>
      <c r="M163" s="743">
        <v>21.88</v>
      </c>
    </row>
    <row r="164" spans="2:13" ht="39" customHeight="1" x14ac:dyDescent="0.25">
      <c r="B164" s="765" t="s">
        <v>478</v>
      </c>
      <c r="C164" s="750" t="s">
        <v>636</v>
      </c>
      <c r="D164" s="749" t="s">
        <v>475</v>
      </c>
      <c r="E164" s="749" t="s">
        <v>637</v>
      </c>
      <c r="F164" s="1008" t="s">
        <v>1285</v>
      </c>
      <c r="G164" s="1009"/>
      <c r="H164" s="751" t="s">
        <v>592</v>
      </c>
      <c r="I164" s="791">
        <v>8.9599999999999999E-2</v>
      </c>
      <c r="J164" s="802">
        <v>91.03</v>
      </c>
      <c r="K164" s="779">
        <v>8.15</v>
      </c>
      <c r="L164" s="822">
        <v>88.9</v>
      </c>
      <c r="M164" s="753">
        <v>7.96</v>
      </c>
    </row>
    <row r="165" spans="2:13" ht="51.95" customHeight="1" x14ac:dyDescent="0.25">
      <c r="B165" s="765" t="s">
        <v>478</v>
      </c>
      <c r="C165" s="750" t="s">
        <v>794</v>
      </c>
      <c r="D165" s="749" t="s">
        <v>475</v>
      </c>
      <c r="E165" s="749" t="s">
        <v>795</v>
      </c>
      <c r="F165" s="1008" t="s">
        <v>1285</v>
      </c>
      <c r="G165" s="1009"/>
      <c r="H165" s="751" t="s">
        <v>564</v>
      </c>
      <c r="I165" s="791">
        <v>5.2400000000000002E-2</v>
      </c>
      <c r="J165" s="802">
        <v>10.06</v>
      </c>
      <c r="K165" s="779">
        <v>0.52</v>
      </c>
      <c r="L165" s="822">
        <v>10.06</v>
      </c>
      <c r="M165" s="753">
        <v>0.52</v>
      </c>
    </row>
    <row r="166" spans="2:13" ht="24" customHeight="1" x14ac:dyDescent="0.25">
      <c r="B166" s="765" t="s">
        <v>478</v>
      </c>
      <c r="C166" s="750" t="s">
        <v>620</v>
      </c>
      <c r="D166" s="749" t="s">
        <v>475</v>
      </c>
      <c r="E166" s="749" t="s">
        <v>621</v>
      </c>
      <c r="F166" s="1008" t="s">
        <v>1268</v>
      </c>
      <c r="G166" s="1009"/>
      <c r="H166" s="751" t="s">
        <v>484</v>
      </c>
      <c r="I166" s="791">
        <v>0.24329999999999999</v>
      </c>
      <c r="J166" s="802">
        <v>28.5</v>
      </c>
      <c r="K166" s="779">
        <v>6.93</v>
      </c>
      <c r="L166" s="822">
        <v>26.87</v>
      </c>
      <c r="M166" s="753">
        <v>6.53</v>
      </c>
    </row>
    <row r="167" spans="2:13" ht="51.95" customHeight="1" x14ac:dyDescent="0.25">
      <c r="B167" s="765" t="s">
        <v>478</v>
      </c>
      <c r="C167" s="750" t="s">
        <v>1151</v>
      </c>
      <c r="D167" s="749" t="s">
        <v>475</v>
      </c>
      <c r="E167" s="749" t="s">
        <v>1152</v>
      </c>
      <c r="F167" s="1008" t="s">
        <v>1285</v>
      </c>
      <c r="G167" s="1009"/>
      <c r="H167" s="751" t="s">
        <v>592</v>
      </c>
      <c r="I167" s="791">
        <v>8.3599999999999994E-2</v>
      </c>
      <c r="J167" s="802">
        <v>0.62</v>
      </c>
      <c r="K167" s="779">
        <v>0.05</v>
      </c>
      <c r="L167" s="822">
        <v>0.62</v>
      </c>
      <c r="M167" s="753">
        <v>0.05</v>
      </c>
    </row>
    <row r="168" spans="2:13" ht="39" customHeight="1" x14ac:dyDescent="0.25">
      <c r="B168" s="765" t="s">
        <v>478</v>
      </c>
      <c r="C168" s="750" t="s">
        <v>634</v>
      </c>
      <c r="D168" s="749" t="s">
        <v>475</v>
      </c>
      <c r="E168" s="749" t="s">
        <v>635</v>
      </c>
      <c r="F168" s="1008" t="s">
        <v>1285</v>
      </c>
      <c r="G168" s="1009"/>
      <c r="H168" s="751" t="s">
        <v>564</v>
      </c>
      <c r="I168" s="791">
        <v>3.2599999999999997E-2</v>
      </c>
      <c r="J168" s="802">
        <v>211.46</v>
      </c>
      <c r="K168" s="779">
        <v>6.89</v>
      </c>
      <c r="L168" s="822">
        <v>209.33</v>
      </c>
      <c r="M168" s="753">
        <v>6.82</v>
      </c>
    </row>
    <row r="169" spans="2:13" x14ac:dyDescent="0.25">
      <c r="B169" s="823"/>
      <c r="C169" s="744"/>
      <c r="D169" s="744"/>
      <c r="E169" s="744"/>
      <c r="F169" s="744" t="s">
        <v>498</v>
      </c>
      <c r="G169" s="745">
        <v>8.76</v>
      </c>
      <c r="H169" s="744" t="s">
        <v>499</v>
      </c>
      <c r="I169" s="787">
        <v>0</v>
      </c>
      <c r="J169" s="823" t="s">
        <v>500</v>
      </c>
      <c r="K169" s="787">
        <v>8.76</v>
      </c>
      <c r="L169" s="744" t="s">
        <v>500</v>
      </c>
      <c r="M169" s="745">
        <v>8.1</v>
      </c>
    </row>
    <row r="170" spans="2:13" ht="14.25" customHeight="1" x14ac:dyDescent="0.25">
      <c r="B170" s="823"/>
      <c r="C170" s="744"/>
      <c r="D170" s="744"/>
      <c r="E170" s="744"/>
      <c r="F170" s="744" t="s">
        <v>501</v>
      </c>
      <c r="G170" s="745">
        <v>5.68</v>
      </c>
      <c r="H170" s="744"/>
      <c r="I170" s="812" t="s">
        <v>502</v>
      </c>
      <c r="J170" s="793"/>
      <c r="K170" s="787">
        <v>28.22</v>
      </c>
      <c r="L170" s="746"/>
      <c r="M170" s="745">
        <v>28.58</v>
      </c>
    </row>
    <row r="171" spans="2:13" ht="50.1" customHeight="1" thickBot="1" x14ac:dyDescent="0.3">
      <c r="B171" s="776"/>
      <c r="C171" s="747"/>
      <c r="D171" s="747"/>
      <c r="E171" s="747"/>
      <c r="F171" s="747"/>
      <c r="G171" s="747"/>
      <c r="H171" s="747" t="s">
        <v>503</v>
      </c>
      <c r="I171" s="806" t="s">
        <v>1412</v>
      </c>
      <c r="J171" s="776" t="s">
        <v>504</v>
      </c>
      <c r="K171" s="807">
        <v>7538.97</v>
      </c>
      <c r="L171" s="747" t="s">
        <v>504</v>
      </c>
      <c r="M171" s="748">
        <v>7635.14</v>
      </c>
    </row>
    <row r="172" spans="2:13" ht="16.5" thickTop="1" x14ac:dyDescent="0.25">
      <c r="B172" s="768"/>
      <c r="C172" s="757"/>
      <c r="D172" s="757"/>
      <c r="E172" s="757"/>
      <c r="F172" s="757"/>
      <c r="G172" s="757"/>
      <c r="H172" s="757"/>
      <c r="I172" s="766"/>
      <c r="J172" s="768"/>
      <c r="K172" s="766"/>
      <c r="L172" s="757"/>
      <c r="M172" s="757"/>
    </row>
    <row r="173" spans="2:13" ht="18" customHeight="1" x14ac:dyDescent="0.25">
      <c r="B173" s="805" t="s">
        <v>950</v>
      </c>
      <c r="C173" s="736" t="s">
        <v>391</v>
      </c>
      <c r="D173" s="735" t="s">
        <v>392</v>
      </c>
      <c r="E173" s="735" t="s">
        <v>42</v>
      </c>
      <c r="F173" s="1004" t="s">
        <v>39</v>
      </c>
      <c r="G173" s="1005"/>
      <c r="H173" s="738" t="s">
        <v>394</v>
      </c>
      <c r="I173" s="767" t="s">
        <v>395</v>
      </c>
      <c r="J173" s="808" t="s">
        <v>396</v>
      </c>
      <c r="K173" s="767" t="s">
        <v>0</v>
      </c>
      <c r="L173" s="782" t="s">
        <v>396</v>
      </c>
      <c r="M173" s="736" t="s">
        <v>0</v>
      </c>
    </row>
    <row r="174" spans="2:13" ht="51.95" customHeight="1" x14ac:dyDescent="0.25">
      <c r="B174" s="789" t="s">
        <v>473</v>
      </c>
      <c r="C174" s="740" t="s">
        <v>797</v>
      </c>
      <c r="D174" s="739" t="s">
        <v>475</v>
      </c>
      <c r="E174" s="739" t="s">
        <v>798</v>
      </c>
      <c r="F174" s="1010" t="s">
        <v>1289</v>
      </c>
      <c r="G174" s="1011"/>
      <c r="H174" s="742" t="s">
        <v>2</v>
      </c>
      <c r="I174" s="803">
        <v>1</v>
      </c>
      <c r="J174" s="799">
        <v>9.07</v>
      </c>
      <c r="K174" s="814">
        <v>9.07</v>
      </c>
      <c r="L174" s="778">
        <v>8.9700000000000006</v>
      </c>
      <c r="M174" s="743">
        <v>8.9700000000000006</v>
      </c>
    </row>
    <row r="175" spans="2:13" ht="39" customHeight="1" x14ac:dyDescent="0.25">
      <c r="B175" s="765" t="s">
        <v>478</v>
      </c>
      <c r="C175" s="750" t="s">
        <v>634</v>
      </c>
      <c r="D175" s="749" t="s">
        <v>475</v>
      </c>
      <c r="E175" s="749" t="s">
        <v>635</v>
      </c>
      <c r="F175" s="1008" t="s">
        <v>1285</v>
      </c>
      <c r="G175" s="1009"/>
      <c r="H175" s="751" t="s">
        <v>564</v>
      </c>
      <c r="I175" s="791">
        <v>8.3000000000000001E-3</v>
      </c>
      <c r="J175" s="802">
        <v>211.46</v>
      </c>
      <c r="K175" s="779">
        <v>1.75</v>
      </c>
      <c r="L175" s="822">
        <v>209.33</v>
      </c>
      <c r="M175" s="753">
        <v>1.73</v>
      </c>
    </row>
    <row r="176" spans="2:13" ht="65.099999999999994" customHeight="1" x14ac:dyDescent="0.25">
      <c r="B176" s="765" t="s">
        <v>478</v>
      </c>
      <c r="C176" s="750" t="s">
        <v>601</v>
      </c>
      <c r="D176" s="749" t="s">
        <v>475</v>
      </c>
      <c r="E176" s="749" t="s">
        <v>602</v>
      </c>
      <c r="F176" s="1008" t="s">
        <v>1285</v>
      </c>
      <c r="G176" s="1009"/>
      <c r="H176" s="751" t="s">
        <v>564</v>
      </c>
      <c r="I176" s="791">
        <v>1.9800000000000002E-2</v>
      </c>
      <c r="J176" s="802">
        <v>270.25</v>
      </c>
      <c r="K176" s="779">
        <v>5.35</v>
      </c>
      <c r="L176" s="822">
        <v>268.58</v>
      </c>
      <c r="M176" s="753">
        <v>5.31</v>
      </c>
    </row>
    <row r="177" spans="2:13" ht="39" customHeight="1" x14ac:dyDescent="0.25">
      <c r="B177" s="765" t="s">
        <v>478</v>
      </c>
      <c r="C177" s="750" t="s">
        <v>636</v>
      </c>
      <c r="D177" s="749" t="s">
        <v>475</v>
      </c>
      <c r="E177" s="749" t="s">
        <v>637</v>
      </c>
      <c r="F177" s="1008" t="s">
        <v>1285</v>
      </c>
      <c r="G177" s="1009"/>
      <c r="H177" s="751" t="s">
        <v>592</v>
      </c>
      <c r="I177" s="791">
        <v>1.0500000000000001E-2</v>
      </c>
      <c r="J177" s="802">
        <v>91.03</v>
      </c>
      <c r="K177" s="779">
        <v>0.95</v>
      </c>
      <c r="L177" s="822">
        <v>88.9</v>
      </c>
      <c r="M177" s="753">
        <v>0.93</v>
      </c>
    </row>
    <row r="178" spans="2:13" ht="65.099999999999994" customHeight="1" x14ac:dyDescent="0.25">
      <c r="B178" s="765" t="s">
        <v>478</v>
      </c>
      <c r="C178" s="750" t="s">
        <v>603</v>
      </c>
      <c r="D178" s="749" t="s">
        <v>475</v>
      </c>
      <c r="E178" s="749" t="s">
        <v>604</v>
      </c>
      <c r="F178" s="1008" t="s">
        <v>1285</v>
      </c>
      <c r="G178" s="1009"/>
      <c r="H178" s="751" t="s">
        <v>592</v>
      </c>
      <c r="I178" s="791">
        <v>1.38E-2</v>
      </c>
      <c r="J178" s="802">
        <v>74.48</v>
      </c>
      <c r="K178" s="779">
        <v>1.02</v>
      </c>
      <c r="L178" s="822">
        <v>72.81</v>
      </c>
      <c r="M178" s="753">
        <v>1</v>
      </c>
    </row>
    <row r="179" spans="2:13" x14ac:dyDescent="0.25">
      <c r="B179" s="823"/>
      <c r="C179" s="744"/>
      <c r="D179" s="744"/>
      <c r="E179" s="744"/>
      <c r="F179" s="744" t="s">
        <v>498</v>
      </c>
      <c r="G179" s="745">
        <v>1.25</v>
      </c>
      <c r="H179" s="744" t="s">
        <v>499</v>
      </c>
      <c r="I179" s="787">
        <v>0</v>
      </c>
      <c r="J179" s="823" t="s">
        <v>500</v>
      </c>
      <c r="K179" s="787">
        <v>1.25</v>
      </c>
      <c r="L179" s="744" t="s">
        <v>500</v>
      </c>
      <c r="M179" s="745">
        <v>1.1599999999999999</v>
      </c>
    </row>
    <row r="180" spans="2:13" ht="14.25" customHeight="1" x14ac:dyDescent="0.25">
      <c r="B180" s="823"/>
      <c r="C180" s="744"/>
      <c r="D180" s="744"/>
      <c r="E180" s="744"/>
      <c r="F180" s="744" t="s">
        <v>501</v>
      </c>
      <c r="G180" s="745">
        <v>2.2799999999999998</v>
      </c>
      <c r="H180" s="744"/>
      <c r="I180" s="812" t="s">
        <v>502</v>
      </c>
      <c r="J180" s="793"/>
      <c r="K180" s="787">
        <v>11.35</v>
      </c>
      <c r="L180" s="746"/>
      <c r="M180" s="745">
        <v>11.72</v>
      </c>
    </row>
    <row r="181" spans="2:13" ht="50.1" customHeight="1" thickBot="1" x14ac:dyDescent="0.3">
      <c r="B181" s="776"/>
      <c r="C181" s="747"/>
      <c r="D181" s="747"/>
      <c r="E181" s="747"/>
      <c r="F181" s="747"/>
      <c r="G181" s="747"/>
      <c r="H181" s="747" t="s">
        <v>503</v>
      </c>
      <c r="I181" s="806" t="s">
        <v>1486</v>
      </c>
      <c r="J181" s="776" t="s">
        <v>504</v>
      </c>
      <c r="K181" s="807">
        <v>347.31</v>
      </c>
      <c r="L181" s="747" t="s">
        <v>504</v>
      </c>
      <c r="M181" s="748">
        <v>358.63</v>
      </c>
    </row>
    <row r="182" spans="2:13" ht="16.5" thickTop="1" x14ac:dyDescent="0.25">
      <c r="B182" s="768"/>
      <c r="C182" s="757"/>
      <c r="D182" s="757"/>
      <c r="E182" s="757"/>
      <c r="F182" s="757"/>
      <c r="G182" s="757"/>
      <c r="H182" s="757"/>
      <c r="I182" s="766"/>
      <c r="J182" s="768"/>
      <c r="K182" s="766"/>
      <c r="L182" s="757"/>
      <c r="M182" s="757"/>
    </row>
    <row r="183" spans="2:13" ht="18" customHeight="1" x14ac:dyDescent="0.25">
      <c r="B183" s="805" t="s">
        <v>1153</v>
      </c>
      <c r="C183" s="736" t="s">
        <v>391</v>
      </c>
      <c r="D183" s="735" t="s">
        <v>392</v>
      </c>
      <c r="E183" s="735" t="s">
        <v>42</v>
      </c>
      <c r="F183" s="1004" t="s">
        <v>39</v>
      </c>
      <c r="G183" s="1005"/>
      <c r="H183" s="738" t="s">
        <v>394</v>
      </c>
      <c r="I183" s="767" t="s">
        <v>395</v>
      </c>
      <c r="J183" s="808" t="s">
        <v>396</v>
      </c>
      <c r="K183" s="767" t="s">
        <v>0</v>
      </c>
      <c r="L183" s="782" t="s">
        <v>396</v>
      </c>
      <c r="M183" s="736" t="s">
        <v>0</v>
      </c>
    </row>
    <row r="184" spans="2:13" ht="39" customHeight="1" x14ac:dyDescent="0.25">
      <c r="B184" s="789" t="s">
        <v>473</v>
      </c>
      <c r="C184" s="740" t="s">
        <v>605</v>
      </c>
      <c r="D184" s="739" t="s">
        <v>475</v>
      </c>
      <c r="E184" s="739" t="s">
        <v>731</v>
      </c>
      <c r="F184" s="1010" t="s">
        <v>1289</v>
      </c>
      <c r="G184" s="1011"/>
      <c r="H184" s="742" t="s">
        <v>606</v>
      </c>
      <c r="I184" s="803">
        <v>1</v>
      </c>
      <c r="J184" s="799">
        <v>2.5</v>
      </c>
      <c r="K184" s="814">
        <v>2.5</v>
      </c>
      <c r="L184" s="778">
        <v>2.48</v>
      </c>
      <c r="M184" s="743">
        <v>2.48</v>
      </c>
    </row>
    <row r="185" spans="2:13" ht="65.099999999999994" customHeight="1" x14ac:dyDescent="0.25">
      <c r="B185" s="765" t="s">
        <v>478</v>
      </c>
      <c r="C185" s="750" t="s">
        <v>603</v>
      </c>
      <c r="D185" s="749" t="s">
        <v>475</v>
      </c>
      <c r="E185" s="749" t="s">
        <v>604</v>
      </c>
      <c r="F185" s="1008" t="s">
        <v>1285</v>
      </c>
      <c r="G185" s="1009"/>
      <c r="H185" s="751" t="s">
        <v>592</v>
      </c>
      <c r="I185" s="791">
        <v>3.5999999999999999E-3</v>
      </c>
      <c r="J185" s="802">
        <v>74.48</v>
      </c>
      <c r="K185" s="779">
        <v>0.26</v>
      </c>
      <c r="L185" s="822">
        <v>72.81</v>
      </c>
      <c r="M185" s="753">
        <v>0.26</v>
      </c>
    </row>
    <row r="186" spans="2:13" ht="65.099999999999994" customHeight="1" x14ac:dyDescent="0.25">
      <c r="B186" s="765" t="s">
        <v>478</v>
      </c>
      <c r="C186" s="750" t="s">
        <v>601</v>
      </c>
      <c r="D186" s="749" t="s">
        <v>475</v>
      </c>
      <c r="E186" s="749" t="s">
        <v>602</v>
      </c>
      <c r="F186" s="1008" t="s">
        <v>1285</v>
      </c>
      <c r="G186" s="1009"/>
      <c r="H186" s="751" t="s">
        <v>564</v>
      </c>
      <c r="I186" s="791">
        <v>8.3000000000000001E-3</v>
      </c>
      <c r="J186" s="802">
        <v>270.25</v>
      </c>
      <c r="K186" s="779">
        <v>2.2400000000000002</v>
      </c>
      <c r="L186" s="822">
        <v>268.58</v>
      </c>
      <c r="M186" s="753">
        <v>2.2200000000000002</v>
      </c>
    </row>
    <row r="187" spans="2:13" x14ac:dyDescent="0.25">
      <c r="B187" s="823"/>
      <c r="C187" s="744"/>
      <c r="D187" s="744"/>
      <c r="E187" s="744"/>
      <c r="F187" s="744" t="s">
        <v>498</v>
      </c>
      <c r="G187" s="745">
        <v>0.25</v>
      </c>
      <c r="H187" s="744" t="s">
        <v>499</v>
      </c>
      <c r="I187" s="787">
        <v>0</v>
      </c>
      <c r="J187" s="823" t="s">
        <v>500</v>
      </c>
      <c r="K187" s="787">
        <v>0.25</v>
      </c>
      <c r="L187" s="744" t="s">
        <v>500</v>
      </c>
      <c r="M187" s="745">
        <v>0.24</v>
      </c>
    </row>
    <row r="188" spans="2:13" ht="14.25" customHeight="1" x14ac:dyDescent="0.25">
      <c r="B188" s="823"/>
      <c r="C188" s="744"/>
      <c r="D188" s="744"/>
      <c r="E188" s="744"/>
      <c r="F188" s="744" t="s">
        <v>501</v>
      </c>
      <c r="G188" s="745">
        <v>0.63</v>
      </c>
      <c r="H188" s="744"/>
      <c r="I188" s="812" t="s">
        <v>502</v>
      </c>
      <c r="J188" s="793"/>
      <c r="K188" s="787">
        <v>3.13</v>
      </c>
      <c r="L188" s="746"/>
      <c r="M188" s="745">
        <v>3.24</v>
      </c>
    </row>
    <row r="189" spans="2:13" ht="50.1" customHeight="1" thickBot="1" x14ac:dyDescent="0.3">
      <c r="B189" s="776"/>
      <c r="C189" s="747"/>
      <c r="D189" s="747"/>
      <c r="E189" s="747"/>
      <c r="F189" s="747"/>
      <c r="G189" s="747"/>
      <c r="H189" s="747" t="s">
        <v>503</v>
      </c>
      <c r="I189" s="806" t="s">
        <v>1487</v>
      </c>
      <c r="J189" s="776" t="s">
        <v>504</v>
      </c>
      <c r="K189" s="807">
        <v>440.57</v>
      </c>
      <c r="L189" s="747" t="s">
        <v>504</v>
      </c>
      <c r="M189" s="748">
        <v>456.06</v>
      </c>
    </row>
    <row r="190" spans="2:13" ht="16.5" thickTop="1" x14ac:dyDescent="0.25">
      <c r="B190" s="768"/>
      <c r="C190" s="757"/>
      <c r="D190" s="757"/>
      <c r="E190" s="757"/>
      <c r="F190" s="757"/>
      <c r="G190" s="757"/>
      <c r="H190" s="757"/>
      <c r="I190" s="766"/>
      <c r="J190" s="768"/>
      <c r="K190" s="766"/>
      <c r="L190" s="757"/>
      <c r="M190" s="757"/>
    </row>
    <row r="191" spans="2:13" ht="18" customHeight="1" x14ac:dyDescent="0.25">
      <c r="B191" s="805" t="s">
        <v>1238</v>
      </c>
      <c r="C191" s="736" t="s">
        <v>391</v>
      </c>
      <c r="D191" s="735" t="s">
        <v>392</v>
      </c>
      <c r="E191" s="735" t="s">
        <v>42</v>
      </c>
      <c r="F191" s="1004" t="s">
        <v>39</v>
      </c>
      <c r="G191" s="1005"/>
      <c r="H191" s="738" t="s">
        <v>394</v>
      </c>
      <c r="I191" s="767" t="s">
        <v>395</v>
      </c>
      <c r="J191" s="808" t="s">
        <v>396</v>
      </c>
      <c r="K191" s="767" t="s">
        <v>0</v>
      </c>
      <c r="L191" s="782" t="s">
        <v>396</v>
      </c>
      <c r="M191" s="736" t="s">
        <v>0</v>
      </c>
    </row>
    <row r="192" spans="2:13" ht="39" customHeight="1" x14ac:dyDescent="0.25">
      <c r="B192" s="789" t="s">
        <v>473</v>
      </c>
      <c r="C192" s="740" t="s">
        <v>1239</v>
      </c>
      <c r="D192" s="739" t="s">
        <v>475</v>
      </c>
      <c r="E192" s="739" t="s">
        <v>1240</v>
      </c>
      <c r="F192" s="1010" t="s">
        <v>1413</v>
      </c>
      <c r="G192" s="1011"/>
      <c r="H192" s="742" t="s">
        <v>513</v>
      </c>
      <c r="I192" s="803">
        <v>1</v>
      </c>
      <c r="J192" s="799">
        <v>80.72</v>
      </c>
      <c r="K192" s="814">
        <v>80.72</v>
      </c>
      <c r="L192" s="778">
        <v>76.34</v>
      </c>
      <c r="M192" s="743">
        <v>76.34</v>
      </c>
    </row>
    <row r="193" spans="2:13" ht="31.5" customHeight="1" x14ac:dyDescent="0.25">
      <c r="B193" s="765" t="s">
        <v>478</v>
      </c>
      <c r="C193" s="750" t="s">
        <v>485</v>
      </c>
      <c r="D193" s="749" t="s">
        <v>475</v>
      </c>
      <c r="E193" s="749" t="s">
        <v>486</v>
      </c>
      <c r="F193" s="1008" t="s">
        <v>1268</v>
      </c>
      <c r="G193" s="1009"/>
      <c r="H193" s="751" t="s">
        <v>484</v>
      </c>
      <c r="I193" s="791">
        <v>2.1684999999999999</v>
      </c>
      <c r="J193" s="802">
        <v>22.76</v>
      </c>
      <c r="K193" s="779">
        <v>49.35</v>
      </c>
      <c r="L193" s="822">
        <v>21.55</v>
      </c>
      <c r="M193" s="753">
        <v>46.73</v>
      </c>
    </row>
    <row r="194" spans="2:13" ht="31.5" customHeight="1" x14ac:dyDescent="0.25">
      <c r="B194" s="765" t="s">
        <v>478</v>
      </c>
      <c r="C194" s="750" t="s">
        <v>1241</v>
      </c>
      <c r="D194" s="749" t="s">
        <v>475</v>
      </c>
      <c r="E194" s="749" t="s">
        <v>1242</v>
      </c>
      <c r="F194" s="1008" t="s">
        <v>1268</v>
      </c>
      <c r="G194" s="1009"/>
      <c r="H194" s="751" t="s">
        <v>484</v>
      </c>
      <c r="I194" s="791">
        <v>1.1535</v>
      </c>
      <c r="J194" s="802">
        <v>27.2</v>
      </c>
      <c r="K194" s="779">
        <v>31.37</v>
      </c>
      <c r="L194" s="822">
        <v>25.67</v>
      </c>
      <c r="M194" s="753">
        <v>29.61</v>
      </c>
    </row>
    <row r="195" spans="2:13" x14ac:dyDescent="0.25">
      <c r="B195" s="823"/>
      <c r="C195" s="744"/>
      <c r="D195" s="744"/>
      <c r="E195" s="744"/>
      <c r="F195" s="744" t="s">
        <v>498</v>
      </c>
      <c r="G195" s="745">
        <v>58.71</v>
      </c>
      <c r="H195" s="744" t="s">
        <v>499</v>
      </c>
      <c r="I195" s="787">
        <v>0</v>
      </c>
      <c r="J195" s="823" t="s">
        <v>500</v>
      </c>
      <c r="K195" s="787">
        <v>58.71</v>
      </c>
      <c r="L195" s="744" t="s">
        <v>500</v>
      </c>
      <c r="M195" s="745">
        <v>54.31</v>
      </c>
    </row>
    <row r="196" spans="2:13" ht="14.25" customHeight="1" x14ac:dyDescent="0.25">
      <c r="B196" s="823"/>
      <c r="C196" s="744"/>
      <c r="D196" s="744"/>
      <c r="E196" s="744"/>
      <c r="F196" s="744" t="s">
        <v>501</v>
      </c>
      <c r="G196" s="745">
        <v>20.36</v>
      </c>
      <c r="H196" s="744"/>
      <c r="I196" s="812" t="s">
        <v>502</v>
      </c>
      <c r="J196" s="793"/>
      <c r="K196" s="787">
        <v>101.08</v>
      </c>
      <c r="L196" s="746"/>
      <c r="M196" s="745">
        <v>99.74</v>
      </c>
    </row>
    <row r="197" spans="2:13" ht="50.1" customHeight="1" thickBot="1" x14ac:dyDescent="0.3">
      <c r="B197" s="776"/>
      <c r="C197" s="747"/>
      <c r="D197" s="747"/>
      <c r="E197" s="747"/>
      <c r="F197" s="747"/>
      <c r="G197" s="747"/>
      <c r="H197" s="747" t="s">
        <v>503</v>
      </c>
      <c r="I197" s="806" t="s">
        <v>1146</v>
      </c>
      <c r="J197" s="776" t="s">
        <v>504</v>
      </c>
      <c r="K197" s="807">
        <v>808.64</v>
      </c>
      <c r="L197" s="747" t="s">
        <v>504</v>
      </c>
      <c r="M197" s="748">
        <v>797.92</v>
      </c>
    </row>
    <row r="198" spans="2:13" ht="16.5" thickTop="1" x14ac:dyDescent="0.25">
      <c r="B198" s="768"/>
      <c r="C198" s="757"/>
      <c r="D198" s="757"/>
      <c r="E198" s="757"/>
      <c r="F198" s="757"/>
      <c r="G198" s="757"/>
      <c r="H198" s="757"/>
      <c r="I198" s="766"/>
      <c r="J198" s="768"/>
      <c r="K198" s="766"/>
      <c r="L198" s="757"/>
      <c r="M198" s="757"/>
    </row>
    <row r="199" spans="2:13" ht="18" customHeight="1" x14ac:dyDescent="0.25">
      <c r="B199" s="805" t="s">
        <v>1243</v>
      </c>
      <c r="C199" s="736" t="s">
        <v>391</v>
      </c>
      <c r="D199" s="735" t="s">
        <v>392</v>
      </c>
      <c r="E199" s="735" t="s">
        <v>42</v>
      </c>
      <c r="F199" s="1004" t="s">
        <v>39</v>
      </c>
      <c r="G199" s="1005"/>
      <c r="H199" s="738" t="s">
        <v>394</v>
      </c>
      <c r="I199" s="767" t="s">
        <v>395</v>
      </c>
      <c r="J199" s="808" t="s">
        <v>396</v>
      </c>
      <c r="K199" s="767" t="s">
        <v>0</v>
      </c>
      <c r="L199" s="782" t="s">
        <v>396</v>
      </c>
      <c r="M199" s="736" t="s">
        <v>0</v>
      </c>
    </row>
    <row r="200" spans="2:13" ht="39" customHeight="1" x14ac:dyDescent="0.25">
      <c r="B200" s="789" t="s">
        <v>473</v>
      </c>
      <c r="C200" s="740" t="s">
        <v>1244</v>
      </c>
      <c r="D200" s="739" t="s">
        <v>475</v>
      </c>
      <c r="E200" s="739" t="s">
        <v>1245</v>
      </c>
      <c r="F200" s="1010" t="s">
        <v>1413</v>
      </c>
      <c r="G200" s="1011"/>
      <c r="H200" s="742" t="s">
        <v>513</v>
      </c>
      <c r="I200" s="803">
        <v>1</v>
      </c>
      <c r="J200" s="799">
        <v>137.99</v>
      </c>
      <c r="K200" s="814">
        <v>137.99</v>
      </c>
      <c r="L200" s="778">
        <v>132.81</v>
      </c>
      <c r="M200" s="743">
        <v>132.81</v>
      </c>
    </row>
    <row r="201" spans="2:13" ht="65.099999999999994" customHeight="1" x14ac:dyDescent="0.25">
      <c r="B201" s="765" t="s">
        <v>478</v>
      </c>
      <c r="C201" s="750" t="s">
        <v>588</v>
      </c>
      <c r="D201" s="749" t="s">
        <v>475</v>
      </c>
      <c r="E201" s="749" t="s">
        <v>589</v>
      </c>
      <c r="F201" s="1008" t="s">
        <v>1285</v>
      </c>
      <c r="G201" s="1009"/>
      <c r="H201" s="751" t="s">
        <v>564</v>
      </c>
      <c r="I201" s="791">
        <v>0.16220000000000001</v>
      </c>
      <c r="J201" s="802">
        <v>150.82</v>
      </c>
      <c r="K201" s="779">
        <v>24.46</v>
      </c>
      <c r="L201" s="822">
        <v>148.69</v>
      </c>
      <c r="M201" s="753">
        <v>24.11</v>
      </c>
    </row>
    <row r="202" spans="2:13" ht="31.5" customHeight="1" x14ac:dyDescent="0.25">
      <c r="B202" s="765" t="s">
        <v>478</v>
      </c>
      <c r="C202" s="750" t="s">
        <v>485</v>
      </c>
      <c r="D202" s="749" t="s">
        <v>475</v>
      </c>
      <c r="E202" s="749" t="s">
        <v>486</v>
      </c>
      <c r="F202" s="1008" t="s">
        <v>1268</v>
      </c>
      <c r="G202" s="1009"/>
      <c r="H202" s="751" t="s">
        <v>484</v>
      </c>
      <c r="I202" s="791">
        <v>1.0619000000000001</v>
      </c>
      <c r="J202" s="802">
        <v>22.76</v>
      </c>
      <c r="K202" s="779">
        <v>24.16</v>
      </c>
      <c r="L202" s="822">
        <v>21.55</v>
      </c>
      <c r="M202" s="753">
        <v>22.88</v>
      </c>
    </row>
    <row r="203" spans="2:13" ht="78.75" x14ac:dyDescent="0.25">
      <c r="B203" s="765" t="s">
        <v>478</v>
      </c>
      <c r="C203" s="750" t="s">
        <v>590</v>
      </c>
      <c r="D203" s="749" t="s">
        <v>475</v>
      </c>
      <c r="E203" s="749" t="s">
        <v>591</v>
      </c>
      <c r="F203" s="1008" t="s">
        <v>1285</v>
      </c>
      <c r="G203" s="1009"/>
      <c r="H203" s="751" t="s">
        <v>592</v>
      </c>
      <c r="I203" s="791">
        <v>0.89970000000000006</v>
      </c>
      <c r="J203" s="802">
        <v>67.239999999999995</v>
      </c>
      <c r="K203" s="779">
        <v>60.49</v>
      </c>
      <c r="L203" s="822">
        <v>65.11</v>
      </c>
      <c r="M203" s="753">
        <v>58.57</v>
      </c>
    </row>
    <row r="204" spans="2:13" ht="31.5" customHeight="1" x14ac:dyDescent="0.25">
      <c r="B204" s="765" t="s">
        <v>478</v>
      </c>
      <c r="C204" s="750" t="s">
        <v>1241</v>
      </c>
      <c r="D204" s="749" t="s">
        <v>475</v>
      </c>
      <c r="E204" s="749" t="s">
        <v>1242</v>
      </c>
      <c r="F204" s="1008" t="s">
        <v>1268</v>
      </c>
      <c r="G204" s="1009"/>
      <c r="H204" s="751" t="s">
        <v>484</v>
      </c>
      <c r="I204" s="791">
        <v>1.0619000000000001</v>
      </c>
      <c r="J204" s="802">
        <v>27.2</v>
      </c>
      <c r="K204" s="779">
        <v>28.88</v>
      </c>
      <c r="L204" s="822">
        <v>25.67</v>
      </c>
      <c r="M204" s="753">
        <v>27.25</v>
      </c>
    </row>
    <row r="205" spans="2:13" x14ac:dyDescent="0.25">
      <c r="B205" s="823"/>
      <c r="C205" s="744"/>
      <c r="D205" s="744"/>
      <c r="E205" s="744"/>
      <c r="F205" s="744" t="s">
        <v>498</v>
      </c>
      <c r="G205" s="745">
        <v>69.22</v>
      </c>
      <c r="H205" s="744" t="s">
        <v>499</v>
      </c>
      <c r="I205" s="787">
        <v>0</v>
      </c>
      <c r="J205" s="823" t="s">
        <v>500</v>
      </c>
      <c r="K205" s="787">
        <v>69.22</v>
      </c>
      <c r="L205" s="744" t="s">
        <v>500</v>
      </c>
      <c r="M205" s="745">
        <v>64.03</v>
      </c>
    </row>
    <row r="206" spans="2:13" ht="14.25" customHeight="1" x14ac:dyDescent="0.25">
      <c r="B206" s="823"/>
      <c r="C206" s="744"/>
      <c r="D206" s="744"/>
      <c r="E206" s="744"/>
      <c r="F206" s="744" t="s">
        <v>501</v>
      </c>
      <c r="G206" s="745">
        <v>34.81</v>
      </c>
      <c r="H206" s="744"/>
      <c r="I206" s="812" t="s">
        <v>502</v>
      </c>
      <c r="J206" s="793"/>
      <c r="K206" s="787">
        <v>172.8</v>
      </c>
      <c r="L206" s="746"/>
      <c r="M206" s="745">
        <v>173.52</v>
      </c>
    </row>
    <row r="207" spans="2:13" ht="50.1" customHeight="1" thickBot="1" x14ac:dyDescent="0.3">
      <c r="B207" s="776"/>
      <c r="C207" s="747"/>
      <c r="D207" s="747"/>
      <c r="E207" s="747"/>
      <c r="F207" s="747"/>
      <c r="G207" s="747"/>
      <c r="H207" s="747" t="s">
        <v>503</v>
      </c>
      <c r="I207" s="806" t="s">
        <v>1146</v>
      </c>
      <c r="J207" s="776" t="s">
        <v>504</v>
      </c>
      <c r="K207" s="807">
        <v>1382.4</v>
      </c>
      <c r="L207" s="747" t="s">
        <v>504</v>
      </c>
      <c r="M207" s="748">
        <v>1388.16</v>
      </c>
    </row>
    <row r="208" spans="2:13" ht="16.5" thickTop="1" x14ac:dyDescent="0.25">
      <c r="B208" s="768"/>
      <c r="C208" s="757"/>
      <c r="D208" s="757"/>
      <c r="E208" s="757"/>
      <c r="F208" s="757"/>
      <c r="G208" s="757"/>
      <c r="H208" s="757"/>
      <c r="I208" s="766"/>
      <c r="J208" s="768"/>
      <c r="K208" s="766"/>
      <c r="L208" s="757"/>
      <c r="M208" s="757"/>
    </row>
    <row r="209" spans="2:13" ht="24" customHeight="1" x14ac:dyDescent="0.25">
      <c r="B209" s="771" t="s">
        <v>373</v>
      </c>
      <c r="C209" s="617"/>
      <c r="D209" s="617"/>
      <c r="E209" s="617" t="s">
        <v>374</v>
      </c>
      <c r="F209" s="1012"/>
      <c r="G209" s="1013"/>
      <c r="H209" s="755"/>
      <c r="I209" s="792"/>
      <c r="J209" s="771"/>
      <c r="K209" s="796">
        <v>3111720.31</v>
      </c>
      <c r="L209" s="815"/>
      <c r="M209" s="756">
        <v>2917786.89</v>
      </c>
    </row>
    <row r="210" spans="2:13" ht="24" customHeight="1" x14ac:dyDescent="0.25">
      <c r="B210" s="771" t="s">
        <v>403</v>
      </c>
      <c r="C210" s="617"/>
      <c r="D210" s="617"/>
      <c r="E210" s="617" t="s">
        <v>404</v>
      </c>
      <c r="F210" s="1012"/>
      <c r="G210" s="1013"/>
      <c r="H210" s="755"/>
      <c r="I210" s="792"/>
      <c r="J210" s="771"/>
      <c r="K210" s="796">
        <v>592015.42000000004</v>
      </c>
      <c r="L210" s="815"/>
      <c r="M210" s="756">
        <v>598370.62</v>
      </c>
    </row>
    <row r="211" spans="2:13" ht="18" customHeight="1" x14ac:dyDescent="0.25">
      <c r="B211" s="805" t="s">
        <v>405</v>
      </c>
      <c r="C211" s="736" t="s">
        <v>391</v>
      </c>
      <c r="D211" s="735" t="s">
        <v>392</v>
      </c>
      <c r="E211" s="735" t="s">
        <v>42</v>
      </c>
      <c r="F211" s="1004" t="s">
        <v>39</v>
      </c>
      <c r="G211" s="1005"/>
      <c r="H211" s="738" t="s">
        <v>394</v>
      </c>
      <c r="I211" s="767" t="s">
        <v>395</v>
      </c>
      <c r="J211" s="808" t="s">
        <v>396</v>
      </c>
      <c r="K211" s="767" t="s">
        <v>0</v>
      </c>
      <c r="L211" s="782" t="s">
        <v>396</v>
      </c>
      <c r="M211" s="736" t="s">
        <v>0</v>
      </c>
    </row>
    <row r="212" spans="2:13" ht="65.099999999999994" customHeight="1" x14ac:dyDescent="0.25">
      <c r="B212" s="789" t="s">
        <v>473</v>
      </c>
      <c r="C212" s="740" t="s">
        <v>585</v>
      </c>
      <c r="D212" s="739" t="s">
        <v>475</v>
      </c>
      <c r="E212" s="739" t="s">
        <v>586</v>
      </c>
      <c r="F212" s="1010" t="s">
        <v>1291</v>
      </c>
      <c r="G212" s="1011"/>
      <c r="H212" s="742" t="s">
        <v>2</v>
      </c>
      <c r="I212" s="803">
        <v>1</v>
      </c>
      <c r="J212" s="799">
        <v>8.42</v>
      </c>
      <c r="K212" s="814">
        <v>8.42</v>
      </c>
      <c r="L212" s="778">
        <v>8.2100000000000009</v>
      </c>
      <c r="M212" s="743">
        <v>8.2100000000000009</v>
      </c>
    </row>
    <row r="213" spans="2:13" ht="65.099999999999994" customHeight="1" x14ac:dyDescent="0.25">
      <c r="B213" s="765" t="s">
        <v>478</v>
      </c>
      <c r="C213" s="750" t="s">
        <v>590</v>
      </c>
      <c r="D213" s="749" t="s">
        <v>475</v>
      </c>
      <c r="E213" s="749" t="s">
        <v>591</v>
      </c>
      <c r="F213" s="1008" t="s">
        <v>1285</v>
      </c>
      <c r="G213" s="1009"/>
      <c r="H213" s="751" t="s">
        <v>592</v>
      </c>
      <c r="I213" s="791">
        <v>3.4620199999999997E-2</v>
      </c>
      <c r="J213" s="802">
        <v>67.239999999999995</v>
      </c>
      <c r="K213" s="779">
        <v>2.3199999999999998</v>
      </c>
      <c r="L213" s="822">
        <v>65.11</v>
      </c>
      <c r="M213" s="753">
        <v>2.25</v>
      </c>
    </row>
    <row r="214" spans="2:13" ht="24" customHeight="1" x14ac:dyDescent="0.25">
      <c r="B214" s="765" t="s">
        <v>478</v>
      </c>
      <c r="C214" s="750" t="s">
        <v>485</v>
      </c>
      <c r="D214" s="749" t="s">
        <v>475</v>
      </c>
      <c r="E214" s="749" t="s">
        <v>486</v>
      </c>
      <c r="F214" s="1008" t="s">
        <v>1268</v>
      </c>
      <c r="G214" s="1009"/>
      <c r="H214" s="751" t="s">
        <v>484</v>
      </c>
      <c r="I214" s="791">
        <v>6.5312200000000001E-2</v>
      </c>
      <c r="J214" s="802">
        <v>22.76</v>
      </c>
      <c r="K214" s="779">
        <v>1.48</v>
      </c>
      <c r="L214" s="822">
        <v>21.55</v>
      </c>
      <c r="M214" s="753">
        <v>1.4</v>
      </c>
    </row>
    <row r="215" spans="2:13" ht="65.099999999999994" customHeight="1" x14ac:dyDescent="0.25">
      <c r="B215" s="765" t="s">
        <v>478</v>
      </c>
      <c r="C215" s="750" t="s">
        <v>588</v>
      </c>
      <c r="D215" s="749" t="s">
        <v>475</v>
      </c>
      <c r="E215" s="749" t="s">
        <v>589</v>
      </c>
      <c r="F215" s="1008" t="s">
        <v>1285</v>
      </c>
      <c r="G215" s="1009"/>
      <c r="H215" s="751" t="s">
        <v>564</v>
      </c>
      <c r="I215" s="791">
        <v>3.0692000000000001E-2</v>
      </c>
      <c r="J215" s="802">
        <v>150.82</v>
      </c>
      <c r="K215" s="779">
        <v>4.62</v>
      </c>
      <c r="L215" s="822">
        <v>148.69</v>
      </c>
      <c r="M215" s="753">
        <v>4.5599999999999996</v>
      </c>
    </row>
    <row r="216" spans="2:13" x14ac:dyDescent="0.25">
      <c r="B216" s="823"/>
      <c r="C216" s="744"/>
      <c r="D216" s="744"/>
      <c r="E216" s="744"/>
      <c r="F216" s="744" t="s">
        <v>498</v>
      </c>
      <c r="G216" s="745">
        <v>2.9</v>
      </c>
      <c r="H216" s="744" t="s">
        <v>499</v>
      </c>
      <c r="I216" s="787">
        <v>0</v>
      </c>
      <c r="J216" s="823" t="s">
        <v>500</v>
      </c>
      <c r="K216" s="787">
        <v>2.9</v>
      </c>
      <c r="L216" s="744" t="s">
        <v>500</v>
      </c>
      <c r="M216" s="745">
        <v>2.7</v>
      </c>
    </row>
    <row r="217" spans="2:13" ht="14.25" customHeight="1" x14ac:dyDescent="0.25">
      <c r="B217" s="823"/>
      <c r="C217" s="744"/>
      <c r="D217" s="744"/>
      <c r="E217" s="744"/>
      <c r="F217" s="744" t="s">
        <v>501</v>
      </c>
      <c r="G217" s="745">
        <v>2.12</v>
      </c>
      <c r="H217" s="744"/>
      <c r="I217" s="812" t="s">
        <v>502</v>
      </c>
      <c r="J217" s="793"/>
      <c r="K217" s="787">
        <v>10.54</v>
      </c>
      <c r="L217" s="746"/>
      <c r="M217" s="745">
        <v>10.72</v>
      </c>
    </row>
    <row r="218" spans="2:13" ht="50.1" customHeight="1" thickBot="1" x14ac:dyDescent="0.3">
      <c r="B218" s="776"/>
      <c r="C218" s="747"/>
      <c r="D218" s="747"/>
      <c r="E218" s="747"/>
      <c r="F218" s="747"/>
      <c r="G218" s="747"/>
      <c r="H218" s="747" t="s">
        <v>503</v>
      </c>
      <c r="I218" s="806" t="s">
        <v>1345</v>
      </c>
      <c r="J218" s="776" t="s">
        <v>504</v>
      </c>
      <c r="K218" s="807">
        <v>12223.97</v>
      </c>
      <c r="L218" s="747" t="s">
        <v>504</v>
      </c>
      <c r="M218" s="748">
        <v>12432.73</v>
      </c>
    </row>
    <row r="219" spans="2:13" ht="16.5" thickTop="1" x14ac:dyDescent="0.25">
      <c r="B219" s="768"/>
      <c r="C219" s="757"/>
      <c r="D219" s="757"/>
      <c r="E219" s="757"/>
      <c r="F219" s="757"/>
      <c r="G219" s="757"/>
      <c r="H219" s="757"/>
      <c r="I219" s="766"/>
      <c r="J219" s="768"/>
      <c r="K219" s="766"/>
      <c r="L219" s="757"/>
      <c r="M219" s="757"/>
    </row>
    <row r="220" spans="2:13" ht="18" customHeight="1" x14ac:dyDescent="0.25">
      <c r="B220" s="805" t="s">
        <v>406</v>
      </c>
      <c r="C220" s="736" t="s">
        <v>391</v>
      </c>
      <c r="D220" s="735" t="s">
        <v>392</v>
      </c>
      <c r="E220" s="735" t="s">
        <v>42</v>
      </c>
      <c r="F220" s="1004" t="s">
        <v>39</v>
      </c>
      <c r="G220" s="1005"/>
      <c r="H220" s="738" t="s">
        <v>394</v>
      </c>
      <c r="I220" s="767" t="s">
        <v>395</v>
      </c>
      <c r="J220" s="808" t="s">
        <v>396</v>
      </c>
      <c r="K220" s="767" t="s">
        <v>0</v>
      </c>
      <c r="L220" s="782" t="s">
        <v>396</v>
      </c>
      <c r="M220" s="736" t="s">
        <v>0</v>
      </c>
    </row>
    <row r="221" spans="2:13" ht="65.099999999999994" customHeight="1" x14ac:dyDescent="0.25">
      <c r="B221" s="789" t="s">
        <v>473</v>
      </c>
      <c r="C221" s="740" t="s">
        <v>593</v>
      </c>
      <c r="D221" s="739" t="s">
        <v>475</v>
      </c>
      <c r="E221" s="739" t="s">
        <v>594</v>
      </c>
      <c r="F221" s="1010" t="s">
        <v>1291</v>
      </c>
      <c r="G221" s="1011"/>
      <c r="H221" s="742" t="s">
        <v>2</v>
      </c>
      <c r="I221" s="803">
        <v>1</v>
      </c>
      <c r="J221" s="799">
        <v>5.63</v>
      </c>
      <c r="K221" s="814">
        <v>5.63</v>
      </c>
      <c r="L221" s="778">
        <v>5.53</v>
      </c>
      <c r="M221" s="743">
        <v>5.53</v>
      </c>
    </row>
    <row r="222" spans="2:13" ht="24" customHeight="1" x14ac:dyDescent="0.25">
      <c r="B222" s="765" t="s">
        <v>478</v>
      </c>
      <c r="C222" s="750" t="s">
        <v>485</v>
      </c>
      <c r="D222" s="749" t="s">
        <v>475</v>
      </c>
      <c r="E222" s="749" t="s">
        <v>486</v>
      </c>
      <c r="F222" s="1008" t="s">
        <v>1268</v>
      </c>
      <c r="G222" s="1009"/>
      <c r="H222" s="751" t="s">
        <v>484</v>
      </c>
      <c r="I222" s="791">
        <v>2.72651E-2</v>
      </c>
      <c r="J222" s="802">
        <v>22.76</v>
      </c>
      <c r="K222" s="779">
        <v>0.62</v>
      </c>
      <c r="L222" s="822">
        <v>21.55</v>
      </c>
      <c r="M222" s="753">
        <v>0.57999999999999996</v>
      </c>
    </row>
    <row r="223" spans="2:13" ht="39" customHeight="1" x14ac:dyDescent="0.25">
      <c r="B223" s="765" t="s">
        <v>478</v>
      </c>
      <c r="C223" s="750" t="s">
        <v>595</v>
      </c>
      <c r="D223" s="749" t="s">
        <v>475</v>
      </c>
      <c r="E223" s="749" t="s">
        <v>596</v>
      </c>
      <c r="F223" s="1008" t="s">
        <v>1285</v>
      </c>
      <c r="G223" s="1009"/>
      <c r="H223" s="751" t="s">
        <v>564</v>
      </c>
      <c r="I223" s="791">
        <v>1.52514E-2</v>
      </c>
      <c r="J223" s="802">
        <v>251.7</v>
      </c>
      <c r="K223" s="779">
        <v>3.83</v>
      </c>
      <c r="L223" s="822">
        <v>249.57</v>
      </c>
      <c r="M223" s="753">
        <v>3.8</v>
      </c>
    </row>
    <row r="224" spans="2:13" ht="39" customHeight="1" x14ac:dyDescent="0.25">
      <c r="B224" s="765" t="s">
        <v>478</v>
      </c>
      <c r="C224" s="750" t="s">
        <v>597</v>
      </c>
      <c r="D224" s="749" t="s">
        <v>475</v>
      </c>
      <c r="E224" s="749" t="s">
        <v>598</v>
      </c>
      <c r="F224" s="1008" t="s">
        <v>1285</v>
      </c>
      <c r="G224" s="1009"/>
      <c r="H224" s="751" t="s">
        <v>592</v>
      </c>
      <c r="I224" s="791">
        <v>1.20137E-2</v>
      </c>
      <c r="J224" s="802">
        <v>98.52</v>
      </c>
      <c r="K224" s="779">
        <v>1.18</v>
      </c>
      <c r="L224" s="822">
        <v>96.39</v>
      </c>
      <c r="M224" s="753">
        <v>1.1499999999999999</v>
      </c>
    </row>
    <row r="225" spans="2:13" x14ac:dyDescent="0.25">
      <c r="B225" s="823"/>
      <c r="C225" s="744"/>
      <c r="D225" s="744"/>
      <c r="E225" s="744"/>
      <c r="F225" s="744" t="s">
        <v>498</v>
      </c>
      <c r="G225" s="745">
        <v>1.21</v>
      </c>
      <c r="H225" s="744" t="s">
        <v>499</v>
      </c>
      <c r="I225" s="787">
        <v>0</v>
      </c>
      <c r="J225" s="823" t="s">
        <v>500</v>
      </c>
      <c r="K225" s="787">
        <v>1.21</v>
      </c>
      <c r="L225" s="744" t="s">
        <v>500</v>
      </c>
      <c r="M225" s="745">
        <v>1.1100000000000001</v>
      </c>
    </row>
    <row r="226" spans="2:13" ht="14.25" customHeight="1" x14ac:dyDescent="0.25">
      <c r="B226" s="823"/>
      <c r="C226" s="744"/>
      <c r="D226" s="744"/>
      <c r="E226" s="744"/>
      <c r="F226" s="744" t="s">
        <v>501</v>
      </c>
      <c r="G226" s="745">
        <v>1.42</v>
      </c>
      <c r="H226" s="744"/>
      <c r="I226" s="812" t="s">
        <v>502</v>
      </c>
      <c r="J226" s="793"/>
      <c r="K226" s="787">
        <v>7.05</v>
      </c>
      <c r="L226" s="746"/>
      <c r="M226" s="745">
        <v>7.22</v>
      </c>
    </row>
    <row r="227" spans="2:13" ht="50.1" customHeight="1" thickBot="1" x14ac:dyDescent="0.3">
      <c r="B227" s="776"/>
      <c r="C227" s="747"/>
      <c r="D227" s="747"/>
      <c r="E227" s="747"/>
      <c r="F227" s="747"/>
      <c r="G227" s="747"/>
      <c r="H227" s="747" t="s">
        <v>503</v>
      </c>
      <c r="I227" s="806" t="s">
        <v>1488</v>
      </c>
      <c r="J227" s="776" t="s">
        <v>504</v>
      </c>
      <c r="K227" s="807">
        <v>25641.34</v>
      </c>
      <c r="L227" s="747" t="s">
        <v>504</v>
      </c>
      <c r="M227" s="748">
        <v>26259.64</v>
      </c>
    </row>
    <row r="228" spans="2:13" ht="16.5" thickTop="1" x14ac:dyDescent="0.25">
      <c r="B228" s="768"/>
      <c r="C228" s="757"/>
      <c r="D228" s="757"/>
      <c r="E228" s="757"/>
      <c r="F228" s="757"/>
      <c r="G228" s="757"/>
      <c r="H228" s="757"/>
      <c r="I228" s="766"/>
      <c r="J228" s="768"/>
      <c r="K228" s="766"/>
      <c r="L228" s="757"/>
      <c r="M228" s="757"/>
    </row>
    <row r="229" spans="2:13" ht="18" customHeight="1" x14ac:dyDescent="0.25">
      <c r="B229" s="805" t="s">
        <v>407</v>
      </c>
      <c r="C229" s="736" t="s">
        <v>391</v>
      </c>
      <c r="D229" s="735" t="s">
        <v>392</v>
      </c>
      <c r="E229" s="735" t="s">
        <v>42</v>
      </c>
      <c r="F229" s="1004" t="s">
        <v>39</v>
      </c>
      <c r="G229" s="1005"/>
      <c r="H229" s="738" t="s">
        <v>394</v>
      </c>
      <c r="I229" s="767" t="s">
        <v>395</v>
      </c>
      <c r="J229" s="808" t="s">
        <v>396</v>
      </c>
      <c r="K229" s="767" t="s">
        <v>0</v>
      </c>
      <c r="L229" s="782" t="s">
        <v>396</v>
      </c>
      <c r="M229" s="736" t="s">
        <v>0</v>
      </c>
    </row>
    <row r="230" spans="2:13" ht="65.099999999999994" customHeight="1" x14ac:dyDescent="0.25">
      <c r="B230" s="789" t="s">
        <v>473</v>
      </c>
      <c r="C230" s="740" t="s">
        <v>1154</v>
      </c>
      <c r="D230" s="739" t="s">
        <v>475</v>
      </c>
      <c r="E230" s="739" t="s">
        <v>1155</v>
      </c>
      <c r="F230" s="1010" t="s">
        <v>1291</v>
      </c>
      <c r="G230" s="1011"/>
      <c r="H230" s="742" t="s">
        <v>2</v>
      </c>
      <c r="I230" s="803">
        <v>1</v>
      </c>
      <c r="J230" s="799">
        <v>5.41</v>
      </c>
      <c r="K230" s="814">
        <v>5.41</v>
      </c>
      <c r="L230" s="778">
        <v>5.33</v>
      </c>
      <c r="M230" s="743">
        <v>5.33</v>
      </c>
    </row>
    <row r="231" spans="2:13" ht="39" customHeight="1" x14ac:dyDescent="0.25">
      <c r="B231" s="765" t="s">
        <v>478</v>
      </c>
      <c r="C231" s="750" t="s">
        <v>597</v>
      </c>
      <c r="D231" s="749" t="s">
        <v>475</v>
      </c>
      <c r="E231" s="749" t="s">
        <v>598</v>
      </c>
      <c r="F231" s="1008" t="s">
        <v>1285</v>
      </c>
      <c r="G231" s="1009"/>
      <c r="H231" s="751" t="s">
        <v>592</v>
      </c>
      <c r="I231" s="791">
        <v>1.1552700000000001E-2</v>
      </c>
      <c r="J231" s="802">
        <v>98.52</v>
      </c>
      <c r="K231" s="779">
        <v>1.1299999999999999</v>
      </c>
      <c r="L231" s="822">
        <v>96.39</v>
      </c>
      <c r="M231" s="753">
        <v>1.1100000000000001</v>
      </c>
    </row>
    <row r="232" spans="2:13" ht="39" customHeight="1" x14ac:dyDescent="0.25">
      <c r="B232" s="765" t="s">
        <v>478</v>
      </c>
      <c r="C232" s="750" t="s">
        <v>595</v>
      </c>
      <c r="D232" s="749" t="s">
        <v>475</v>
      </c>
      <c r="E232" s="749" t="s">
        <v>596</v>
      </c>
      <c r="F232" s="1008" t="s">
        <v>1285</v>
      </c>
      <c r="G232" s="1009"/>
      <c r="H232" s="751" t="s">
        <v>564</v>
      </c>
      <c r="I232" s="791">
        <v>1.4666200000000001E-2</v>
      </c>
      <c r="J232" s="802">
        <v>251.7</v>
      </c>
      <c r="K232" s="779">
        <v>3.69</v>
      </c>
      <c r="L232" s="822">
        <v>249.57</v>
      </c>
      <c r="M232" s="753">
        <v>3.66</v>
      </c>
    </row>
    <row r="233" spans="2:13" ht="24" customHeight="1" x14ac:dyDescent="0.25">
      <c r="B233" s="765" t="s">
        <v>478</v>
      </c>
      <c r="C233" s="750" t="s">
        <v>485</v>
      </c>
      <c r="D233" s="749" t="s">
        <v>475</v>
      </c>
      <c r="E233" s="749" t="s">
        <v>486</v>
      </c>
      <c r="F233" s="1008" t="s">
        <v>1268</v>
      </c>
      <c r="G233" s="1009"/>
      <c r="H233" s="751" t="s">
        <v>484</v>
      </c>
      <c r="I233" s="791">
        <v>2.62189E-2</v>
      </c>
      <c r="J233" s="802">
        <v>22.76</v>
      </c>
      <c r="K233" s="779">
        <v>0.59</v>
      </c>
      <c r="L233" s="822">
        <v>21.55</v>
      </c>
      <c r="M233" s="753">
        <v>0.56000000000000005</v>
      </c>
    </row>
    <row r="234" spans="2:13" x14ac:dyDescent="0.25">
      <c r="B234" s="823"/>
      <c r="C234" s="744"/>
      <c r="D234" s="744"/>
      <c r="E234" s="744"/>
      <c r="F234" s="744" t="s">
        <v>498</v>
      </c>
      <c r="G234" s="745">
        <v>1.1599999999999999</v>
      </c>
      <c r="H234" s="744" t="s">
        <v>499</v>
      </c>
      <c r="I234" s="787">
        <v>0</v>
      </c>
      <c r="J234" s="823" t="s">
        <v>500</v>
      </c>
      <c r="K234" s="787">
        <v>1.1599999999999999</v>
      </c>
      <c r="L234" s="744" t="s">
        <v>500</v>
      </c>
      <c r="M234" s="745">
        <v>1.07</v>
      </c>
    </row>
    <row r="235" spans="2:13" ht="14.25" customHeight="1" x14ac:dyDescent="0.25">
      <c r="B235" s="823"/>
      <c r="C235" s="744"/>
      <c r="D235" s="744"/>
      <c r="E235" s="744"/>
      <c r="F235" s="744" t="s">
        <v>501</v>
      </c>
      <c r="G235" s="745">
        <v>1.36</v>
      </c>
      <c r="H235" s="744"/>
      <c r="I235" s="812" t="s">
        <v>502</v>
      </c>
      <c r="J235" s="793"/>
      <c r="K235" s="787">
        <v>6.77</v>
      </c>
      <c r="L235" s="746"/>
      <c r="M235" s="745">
        <v>6.96</v>
      </c>
    </row>
    <row r="236" spans="2:13" ht="50.1" customHeight="1" thickBot="1" x14ac:dyDescent="0.3">
      <c r="B236" s="776"/>
      <c r="C236" s="747"/>
      <c r="D236" s="747"/>
      <c r="E236" s="747"/>
      <c r="F236" s="747"/>
      <c r="G236" s="747"/>
      <c r="H236" s="747" t="s">
        <v>503</v>
      </c>
      <c r="I236" s="806" t="s">
        <v>1319</v>
      </c>
      <c r="J236" s="776" t="s">
        <v>504</v>
      </c>
      <c r="K236" s="807">
        <v>8595.1200000000008</v>
      </c>
      <c r="L236" s="747" t="s">
        <v>504</v>
      </c>
      <c r="M236" s="748">
        <v>8836.34</v>
      </c>
    </row>
    <row r="237" spans="2:13" ht="16.5" thickTop="1" x14ac:dyDescent="0.25">
      <c r="B237" s="768"/>
      <c r="C237" s="757"/>
      <c r="D237" s="757"/>
      <c r="E237" s="757"/>
      <c r="F237" s="757"/>
      <c r="G237" s="757"/>
      <c r="H237" s="757"/>
      <c r="I237" s="766"/>
      <c r="J237" s="768"/>
      <c r="K237" s="766"/>
      <c r="L237" s="757"/>
      <c r="M237" s="757"/>
    </row>
    <row r="238" spans="2:13" ht="18" customHeight="1" x14ac:dyDescent="0.25">
      <c r="B238" s="805" t="s">
        <v>408</v>
      </c>
      <c r="C238" s="736" t="s">
        <v>391</v>
      </c>
      <c r="D238" s="735" t="s">
        <v>392</v>
      </c>
      <c r="E238" s="735" t="s">
        <v>42</v>
      </c>
      <c r="F238" s="1004" t="s">
        <v>39</v>
      </c>
      <c r="G238" s="1005"/>
      <c r="H238" s="738" t="s">
        <v>394</v>
      </c>
      <c r="I238" s="767" t="s">
        <v>395</v>
      </c>
      <c r="J238" s="808" t="s">
        <v>396</v>
      </c>
      <c r="K238" s="767" t="s">
        <v>0</v>
      </c>
      <c r="L238" s="782" t="s">
        <v>396</v>
      </c>
      <c r="M238" s="736" t="s">
        <v>0</v>
      </c>
    </row>
    <row r="239" spans="2:13" ht="65.099999999999994" customHeight="1" x14ac:dyDescent="0.25">
      <c r="B239" s="789" t="s">
        <v>473</v>
      </c>
      <c r="C239" s="740" t="s">
        <v>1346</v>
      </c>
      <c r="D239" s="739" t="s">
        <v>475</v>
      </c>
      <c r="E239" s="739" t="s">
        <v>1347</v>
      </c>
      <c r="F239" s="1010" t="s">
        <v>1291</v>
      </c>
      <c r="G239" s="1011"/>
      <c r="H239" s="742" t="s">
        <v>2</v>
      </c>
      <c r="I239" s="803">
        <v>1</v>
      </c>
      <c r="J239" s="799">
        <v>5.3</v>
      </c>
      <c r="K239" s="814">
        <v>5.3</v>
      </c>
      <c r="L239" s="778">
        <v>5.22</v>
      </c>
      <c r="M239" s="743">
        <v>5.22</v>
      </c>
    </row>
    <row r="240" spans="2:13" ht="24" customHeight="1" x14ac:dyDescent="0.25">
      <c r="B240" s="765" t="s">
        <v>478</v>
      </c>
      <c r="C240" s="750" t="s">
        <v>485</v>
      </c>
      <c r="D240" s="749" t="s">
        <v>475</v>
      </c>
      <c r="E240" s="749" t="s">
        <v>486</v>
      </c>
      <c r="F240" s="1008" t="s">
        <v>1268</v>
      </c>
      <c r="G240" s="1009"/>
      <c r="H240" s="751" t="s">
        <v>484</v>
      </c>
      <c r="I240" s="791">
        <v>2.5695699999999998E-2</v>
      </c>
      <c r="J240" s="802">
        <v>22.76</v>
      </c>
      <c r="K240" s="779">
        <v>0.57999999999999996</v>
      </c>
      <c r="L240" s="822">
        <v>21.55</v>
      </c>
      <c r="M240" s="753">
        <v>0.55000000000000004</v>
      </c>
    </row>
    <row r="241" spans="2:13" ht="39" customHeight="1" x14ac:dyDescent="0.25">
      <c r="B241" s="765" t="s">
        <v>478</v>
      </c>
      <c r="C241" s="750" t="s">
        <v>597</v>
      </c>
      <c r="D241" s="749" t="s">
        <v>475</v>
      </c>
      <c r="E241" s="749" t="s">
        <v>598</v>
      </c>
      <c r="F241" s="1008" t="s">
        <v>1285</v>
      </c>
      <c r="G241" s="1009"/>
      <c r="H241" s="751" t="s">
        <v>592</v>
      </c>
      <c r="I241" s="791">
        <v>1.1322199999999999E-2</v>
      </c>
      <c r="J241" s="802">
        <v>98.52</v>
      </c>
      <c r="K241" s="779">
        <v>1.1100000000000001</v>
      </c>
      <c r="L241" s="822">
        <v>96.39</v>
      </c>
      <c r="M241" s="753">
        <v>1.0900000000000001</v>
      </c>
    </row>
    <row r="242" spans="2:13" ht="39" customHeight="1" x14ac:dyDescent="0.25">
      <c r="B242" s="765" t="s">
        <v>478</v>
      </c>
      <c r="C242" s="750" t="s">
        <v>595</v>
      </c>
      <c r="D242" s="749" t="s">
        <v>475</v>
      </c>
      <c r="E242" s="749" t="s">
        <v>596</v>
      </c>
      <c r="F242" s="1008" t="s">
        <v>1285</v>
      </c>
      <c r="G242" s="1009"/>
      <c r="H242" s="751" t="s">
        <v>564</v>
      </c>
      <c r="I242" s="791">
        <v>1.43736E-2</v>
      </c>
      <c r="J242" s="802">
        <v>251.7</v>
      </c>
      <c r="K242" s="779">
        <v>3.61</v>
      </c>
      <c r="L242" s="822">
        <v>249.57</v>
      </c>
      <c r="M242" s="753">
        <v>3.58</v>
      </c>
    </row>
    <row r="243" spans="2:13" x14ac:dyDescent="0.25">
      <c r="B243" s="823"/>
      <c r="C243" s="744"/>
      <c r="D243" s="744"/>
      <c r="E243" s="744"/>
      <c r="F243" s="744" t="s">
        <v>498</v>
      </c>
      <c r="G243" s="745">
        <v>1.1399999999999999</v>
      </c>
      <c r="H243" s="744" t="s">
        <v>499</v>
      </c>
      <c r="I243" s="787">
        <v>0</v>
      </c>
      <c r="J243" s="823" t="s">
        <v>500</v>
      </c>
      <c r="K243" s="787">
        <v>1.1399999999999999</v>
      </c>
      <c r="L243" s="744" t="s">
        <v>500</v>
      </c>
      <c r="M243" s="745">
        <v>1.05</v>
      </c>
    </row>
    <row r="244" spans="2:13" ht="14.25" customHeight="1" x14ac:dyDescent="0.25">
      <c r="B244" s="823"/>
      <c r="C244" s="744"/>
      <c r="D244" s="744"/>
      <c r="E244" s="744"/>
      <c r="F244" s="744" t="s">
        <v>501</v>
      </c>
      <c r="G244" s="745">
        <v>1.33</v>
      </c>
      <c r="H244" s="744"/>
      <c r="I244" s="812" t="s">
        <v>502</v>
      </c>
      <c r="J244" s="793"/>
      <c r="K244" s="787">
        <v>6.63</v>
      </c>
      <c r="L244" s="746"/>
      <c r="M244" s="745">
        <v>6.82</v>
      </c>
    </row>
    <row r="245" spans="2:13" ht="50.1" customHeight="1" thickBot="1" x14ac:dyDescent="0.3">
      <c r="B245" s="776"/>
      <c r="C245" s="747"/>
      <c r="D245" s="747"/>
      <c r="E245" s="747"/>
      <c r="F245" s="747"/>
      <c r="G245" s="747"/>
      <c r="H245" s="747" t="s">
        <v>503</v>
      </c>
      <c r="I245" s="806" t="s">
        <v>1348</v>
      </c>
      <c r="J245" s="776" t="s">
        <v>504</v>
      </c>
      <c r="K245" s="807">
        <v>23721.54</v>
      </c>
      <c r="L245" s="747" t="s">
        <v>504</v>
      </c>
      <c r="M245" s="748">
        <v>24401.34</v>
      </c>
    </row>
    <row r="246" spans="2:13" ht="16.5" thickTop="1" x14ac:dyDescent="0.25">
      <c r="B246" s="768"/>
      <c r="C246" s="757"/>
      <c r="D246" s="757"/>
      <c r="E246" s="757"/>
      <c r="F246" s="757"/>
      <c r="G246" s="757"/>
      <c r="H246" s="757"/>
      <c r="I246" s="766"/>
      <c r="J246" s="768"/>
      <c r="K246" s="766"/>
      <c r="L246" s="757"/>
      <c r="M246" s="757"/>
    </row>
    <row r="247" spans="2:13" ht="18" customHeight="1" x14ac:dyDescent="0.25">
      <c r="B247" s="805" t="s">
        <v>409</v>
      </c>
      <c r="C247" s="736" t="s">
        <v>391</v>
      </c>
      <c r="D247" s="735" t="s">
        <v>392</v>
      </c>
      <c r="E247" s="735" t="s">
        <v>42</v>
      </c>
      <c r="F247" s="1004" t="s">
        <v>39</v>
      </c>
      <c r="G247" s="1005"/>
      <c r="H247" s="738" t="s">
        <v>394</v>
      </c>
      <c r="I247" s="767" t="s">
        <v>395</v>
      </c>
      <c r="J247" s="808" t="s">
        <v>396</v>
      </c>
      <c r="K247" s="767" t="s">
        <v>0</v>
      </c>
      <c r="L247" s="782" t="s">
        <v>396</v>
      </c>
      <c r="M247" s="736" t="s">
        <v>0</v>
      </c>
    </row>
    <row r="248" spans="2:13" ht="51.95" customHeight="1" x14ac:dyDescent="0.25">
      <c r="B248" s="789" t="s">
        <v>473</v>
      </c>
      <c r="C248" s="740" t="s">
        <v>599</v>
      </c>
      <c r="D248" s="739" t="s">
        <v>475</v>
      </c>
      <c r="E248" s="739" t="s">
        <v>600</v>
      </c>
      <c r="F248" s="1010" t="s">
        <v>1289</v>
      </c>
      <c r="G248" s="1011"/>
      <c r="H248" s="742" t="s">
        <v>2</v>
      </c>
      <c r="I248" s="803">
        <v>1</v>
      </c>
      <c r="J248" s="799">
        <v>7.03</v>
      </c>
      <c r="K248" s="814">
        <v>7.03</v>
      </c>
      <c r="L248" s="778">
        <v>6.95</v>
      </c>
      <c r="M248" s="743">
        <v>6.95</v>
      </c>
    </row>
    <row r="249" spans="2:13" ht="39" customHeight="1" x14ac:dyDescent="0.25">
      <c r="B249" s="765" t="s">
        <v>478</v>
      </c>
      <c r="C249" s="750" t="s">
        <v>595</v>
      </c>
      <c r="D249" s="749" t="s">
        <v>475</v>
      </c>
      <c r="E249" s="749" t="s">
        <v>596</v>
      </c>
      <c r="F249" s="1008" t="s">
        <v>1285</v>
      </c>
      <c r="G249" s="1009"/>
      <c r="H249" s="751" t="s">
        <v>564</v>
      </c>
      <c r="I249" s="791">
        <v>4.1999999999999997E-3</v>
      </c>
      <c r="J249" s="802">
        <v>251.7</v>
      </c>
      <c r="K249" s="779">
        <v>1.05</v>
      </c>
      <c r="L249" s="822">
        <v>249.57</v>
      </c>
      <c r="M249" s="753">
        <v>1.04</v>
      </c>
    </row>
    <row r="250" spans="2:13" ht="65.099999999999994" customHeight="1" x14ac:dyDescent="0.25">
      <c r="B250" s="765" t="s">
        <v>478</v>
      </c>
      <c r="C250" s="750" t="s">
        <v>603</v>
      </c>
      <c r="D250" s="749" t="s">
        <v>475</v>
      </c>
      <c r="E250" s="749" t="s">
        <v>604</v>
      </c>
      <c r="F250" s="1008" t="s">
        <v>1285</v>
      </c>
      <c r="G250" s="1009"/>
      <c r="H250" s="751" t="s">
        <v>592</v>
      </c>
      <c r="I250" s="791">
        <v>1.2E-2</v>
      </c>
      <c r="J250" s="802">
        <v>74.48</v>
      </c>
      <c r="K250" s="779">
        <v>0.89</v>
      </c>
      <c r="L250" s="822">
        <v>72.81</v>
      </c>
      <c r="M250" s="753">
        <v>0.87</v>
      </c>
    </row>
    <row r="251" spans="2:13" ht="65.099999999999994" customHeight="1" x14ac:dyDescent="0.25">
      <c r="B251" s="765" t="s">
        <v>478</v>
      </c>
      <c r="C251" s="750" t="s">
        <v>601</v>
      </c>
      <c r="D251" s="749" t="s">
        <v>475</v>
      </c>
      <c r="E251" s="749" t="s">
        <v>602</v>
      </c>
      <c r="F251" s="1008" t="s">
        <v>1285</v>
      </c>
      <c r="G251" s="1009"/>
      <c r="H251" s="751" t="s">
        <v>564</v>
      </c>
      <c r="I251" s="791">
        <v>1.5699999999999999E-2</v>
      </c>
      <c r="J251" s="802">
        <v>270.25</v>
      </c>
      <c r="K251" s="779">
        <v>4.24</v>
      </c>
      <c r="L251" s="822">
        <v>268.58</v>
      </c>
      <c r="M251" s="753">
        <v>4.21</v>
      </c>
    </row>
    <row r="252" spans="2:13" ht="39" customHeight="1" x14ac:dyDescent="0.25">
      <c r="B252" s="765" t="s">
        <v>478</v>
      </c>
      <c r="C252" s="750" t="s">
        <v>597</v>
      </c>
      <c r="D252" s="749" t="s">
        <v>475</v>
      </c>
      <c r="E252" s="749" t="s">
        <v>598</v>
      </c>
      <c r="F252" s="1008" t="s">
        <v>1285</v>
      </c>
      <c r="G252" s="1009"/>
      <c r="H252" s="751" t="s">
        <v>592</v>
      </c>
      <c r="I252" s="791">
        <v>8.6999999999999994E-3</v>
      </c>
      <c r="J252" s="802">
        <v>98.52</v>
      </c>
      <c r="K252" s="779">
        <v>0.85</v>
      </c>
      <c r="L252" s="822">
        <v>96.39</v>
      </c>
      <c r="M252" s="753">
        <v>0.83</v>
      </c>
    </row>
    <row r="253" spans="2:13" x14ac:dyDescent="0.25">
      <c r="B253" s="823"/>
      <c r="C253" s="744"/>
      <c r="D253" s="744"/>
      <c r="E253" s="744"/>
      <c r="F253" s="744" t="s">
        <v>498</v>
      </c>
      <c r="G253" s="745">
        <v>0.95</v>
      </c>
      <c r="H253" s="744" t="s">
        <v>499</v>
      </c>
      <c r="I253" s="787">
        <v>0</v>
      </c>
      <c r="J253" s="823" t="s">
        <v>500</v>
      </c>
      <c r="K253" s="787">
        <v>0.95</v>
      </c>
      <c r="L253" s="744" t="s">
        <v>500</v>
      </c>
      <c r="M253" s="745">
        <v>0.9</v>
      </c>
    </row>
    <row r="254" spans="2:13" ht="14.25" customHeight="1" x14ac:dyDescent="0.25">
      <c r="B254" s="823"/>
      <c r="C254" s="744"/>
      <c r="D254" s="744"/>
      <c r="E254" s="744"/>
      <c r="F254" s="744" t="s">
        <v>501</v>
      </c>
      <c r="G254" s="745">
        <v>1.77</v>
      </c>
      <c r="H254" s="744"/>
      <c r="I254" s="812" t="s">
        <v>502</v>
      </c>
      <c r="J254" s="793"/>
      <c r="K254" s="787">
        <v>8.8000000000000007</v>
      </c>
      <c r="L254" s="746"/>
      <c r="M254" s="745">
        <v>9.08</v>
      </c>
    </row>
    <row r="255" spans="2:13" ht="50.1" customHeight="1" thickBot="1" x14ac:dyDescent="0.3">
      <c r="B255" s="776"/>
      <c r="C255" s="747"/>
      <c r="D255" s="747"/>
      <c r="E255" s="747"/>
      <c r="F255" s="747"/>
      <c r="G255" s="747"/>
      <c r="H255" s="747" t="s">
        <v>503</v>
      </c>
      <c r="I255" s="806" t="s">
        <v>1349</v>
      </c>
      <c r="J255" s="776" t="s">
        <v>504</v>
      </c>
      <c r="K255" s="807">
        <v>11375.32</v>
      </c>
      <c r="L255" s="747" t="s">
        <v>504</v>
      </c>
      <c r="M255" s="748">
        <v>11737.26</v>
      </c>
    </row>
    <row r="256" spans="2:13" ht="16.5" thickTop="1" x14ac:dyDescent="0.25">
      <c r="B256" s="768"/>
      <c r="C256" s="757"/>
      <c r="D256" s="757"/>
      <c r="E256" s="757"/>
      <c r="F256" s="757"/>
      <c r="G256" s="757"/>
      <c r="H256" s="757"/>
      <c r="I256" s="766"/>
      <c r="J256" s="768"/>
      <c r="K256" s="766"/>
      <c r="L256" s="757"/>
      <c r="M256" s="757"/>
    </row>
    <row r="257" spans="2:13" ht="18" customHeight="1" x14ac:dyDescent="0.25">
      <c r="B257" s="805" t="s">
        <v>410</v>
      </c>
      <c r="C257" s="736" t="s">
        <v>391</v>
      </c>
      <c r="D257" s="735" t="s">
        <v>392</v>
      </c>
      <c r="E257" s="735" t="s">
        <v>42</v>
      </c>
      <c r="F257" s="1004" t="s">
        <v>39</v>
      </c>
      <c r="G257" s="1005"/>
      <c r="H257" s="738" t="s">
        <v>394</v>
      </c>
      <c r="I257" s="767" t="s">
        <v>395</v>
      </c>
      <c r="J257" s="808" t="s">
        <v>396</v>
      </c>
      <c r="K257" s="767" t="s">
        <v>0</v>
      </c>
      <c r="L257" s="782" t="s">
        <v>396</v>
      </c>
      <c r="M257" s="736" t="s">
        <v>0</v>
      </c>
    </row>
    <row r="258" spans="2:13" ht="39" customHeight="1" x14ac:dyDescent="0.25">
      <c r="B258" s="789" t="s">
        <v>473</v>
      </c>
      <c r="C258" s="740" t="s">
        <v>605</v>
      </c>
      <c r="D258" s="739" t="s">
        <v>475</v>
      </c>
      <c r="E258" s="739" t="s">
        <v>731</v>
      </c>
      <c r="F258" s="1010" t="s">
        <v>1289</v>
      </c>
      <c r="G258" s="1011"/>
      <c r="H258" s="742" t="s">
        <v>606</v>
      </c>
      <c r="I258" s="803">
        <v>1</v>
      </c>
      <c r="J258" s="799">
        <v>2.5</v>
      </c>
      <c r="K258" s="814">
        <v>2.5</v>
      </c>
      <c r="L258" s="778">
        <v>2.48</v>
      </c>
      <c r="M258" s="743">
        <v>2.48</v>
      </c>
    </row>
    <row r="259" spans="2:13" ht="65.099999999999994" customHeight="1" x14ac:dyDescent="0.25">
      <c r="B259" s="765" t="s">
        <v>478</v>
      </c>
      <c r="C259" s="750" t="s">
        <v>603</v>
      </c>
      <c r="D259" s="749" t="s">
        <v>475</v>
      </c>
      <c r="E259" s="749" t="s">
        <v>604</v>
      </c>
      <c r="F259" s="1008" t="s">
        <v>1285</v>
      </c>
      <c r="G259" s="1009"/>
      <c r="H259" s="751" t="s">
        <v>592</v>
      </c>
      <c r="I259" s="791">
        <v>3.5999999999999999E-3</v>
      </c>
      <c r="J259" s="802">
        <v>74.48</v>
      </c>
      <c r="K259" s="779">
        <v>0.26</v>
      </c>
      <c r="L259" s="822">
        <v>72.81</v>
      </c>
      <c r="M259" s="753">
        <v>0.26</v>
      </c>
    </row>
    <row r="260" spans="2:13" ht="65.099999999999994" customHeight="1" x14ac:dyDescent="0.25">
      <c r="B260" s="765" t="s">
        <v>478</v>
      </c>
      <c r="C260" s="750" t="s">
        <v>601</v>
      </c>
      <c r="D260" s="749" t="s">
        <v>475</v>
      </c>
      <c r="E260" s="749" t="s">
        <v>602</v>
      </c>
      <c r="F260" s="1008" t="s">
        <v>1285</v>
      </c>
      <c r="G260" s="1009"/>
      <c r="H260" s="751" t="s">
        <v>564</v>
      </c>
      <c r="I260" s="791">
        <v>8.3000000000000001E-3</v>
      </c>
      <c r="J260" s="802">
        <v>270.25</v>
      </c>
      <c r="K260" s="779">
        <v>2.2400000000000002</v>
      </c>
      <c r="L260" s="822">
        <v>268.58</v>
      </c>
      <c r="M260" s="753">
        <v>2.2200000000000002</v>
      </c>
    </row>
    <row r="261" spans="2:13" x14ac:dyDescent="0.25">
      <c r="B261" s="823"/>
      <c r="C261" s="744"/>
      <c r="D261" s="744"/>
      <c r="E261" s="744"/>
      <c r="F261" s="744" t="s">
        <v>498</v>
      </c>
      <c r="G261" s="745">
        <v>0.25</v>
      </c>
      <c r="H261" s="744" t="s">
        <v>499</v>
      </c>
      <c r="I261" s="787">
        <v>0</v>
      </c>
      <c r="J261" s="823" t="s">
        <v>500</v>
      </c>
      <c r="K261" s="787">
        <v>0.25</v>
      </c>
      <c r="L261" s="744" t="s">
        <v>500</v>
      </c>
      <c r="M261" s="745">
        <v>0.24</v>
      </c>
    </row>
    <row r="262" spans="2:13" ht="14.25" customHeight="1" x14ac:dyDescent="0.25">
      <c r="B262" s="823"/>
      <c r="C262" s="744"/>
      <c r="D262" s="744"/>
      <c r="E262" s="744"/>
      <c r="F262" s="744" t="s">
        <v>501</v>
      </c>
      <c r="G262" s="745">
        <v>0.63</v>
      </c>
      <c r="H262" s="744"/>
      <c r="I262" s="812" t="s">
        <v>502</v>
      </c>
      <c r="J262" s="793"/>
      <c r="K262" s="787">
        <v>3.13</v>
      </c>
      <c r="L262" s="746"/>
      <c r="M262" s="745">
        <v>3.24</v>
      </c>
    </row>
    <row r="263" spans="2:13" ht="50.1" customHeight="1" thickBot="1" x14ac:dyDescent="0.3">
      <c r="B263" s="776"/>
      <c r="C263" s="747"/>
      <c r="D263" s="747"/>
      <c r="E263" s="747"/>
      <c r="F263" s="747"/>
      <c r="G263" s="747"/>
      <c r="H263" s="747" t="s">
        <v>503</v>
      </c>
      <c r="I263" s="806" t="s">
        <v>1489</v>
      </c>
      <c r="J263" s="776" t="s">
        <v>504</v>
      </c>
      <c r="K263" s="807">
        <v>18611.57</v>
      </c>
      <c r="L263" s="747" t="s">
        <v>504</v>
      </c>
      <c r="M263" s="748">
        <v>19265.650000000001</v>
      </c>
    </row>
    <row r="264" spans="2:13" ht="16.5" thickTop="1" x14ac:dyDescent="0.25">
      <c r="B264" s="768"/>
      <c r="C264" s="757"/>
      <c r="D264" s="757"/>
      <c r="E264" s="757"/>
      <c r="F264" s="757"/>
      <c r="G264" s="757"/>
      <c r="H264" s="757"/>
      <c r="I264" s="766"/>
      <c r="J264" s="768"/>
      <c r="K264" s="766"/>
      <c r="L264" s="757"/>
      <c r="M264" s="757"/>
    </row>
    <row r="265" spans="2:13" ht="18" customHeight="1" x14ac:dyDescent="0.25">
      <c r="B265" s="805" t="s">
        <v>411</v>
      </c>
      <c r="C265" s="736" t="s">
        <v>391</v>
      </c>
      <c r="D265" s="735" t="s">
        <v>392</v>
      </c>
      <c r="E265" s="735" t="s">
        <v>42</v>
      </c>
      <c r="F265" s="1004" t="s">
        <v>39</v>
      </c>
      <c r="G265" s="1005"/>
      <c r="H265" s="738" t="s">
        <v>394</v>
      </c>
      <c r="I265" s="767" t="s">
        <v>395</v>
      </c>
      <c r="J265" s="808" t="s">
        <v>396</v>
      </c>
      <c r="K265" s="767" t="s">
        <v>0</v>
      </c>
      <c r="L265" s="782" t="s">
        <v>396</v>
      </c>
      <c r="M265" s="736" t="s">
        <v>0</v>
      </c>
    </row>
    <row r="266" spans="2:13" ht="26.1" customHeight="1" x14ac:dyDescent="0.25">
      <c r="B266" s="789" t="s">
        <v>473</v>
      </c>
      <c r="C266" s="740" t="s">
        <v>607</v>
      </c>
      <c r="D266" s="739" t="s">
        <v>475</v>
      </c>
      <c r="E266" s="739" t="s">
        <v>608</v>
      </c>
      <c r="F266" s="1010" t="s">
        <v>1414</v>
      </c>
      <c r="G266" s="1011"/>
      <c r="H266" s="742" t="s">
        <v>2</v>
      </c>
      <c r="I266" s="803">
        <v>1</v>
      </c>
      <c r="J266" s="799">
        <v>1.42</v>
      </c>
      <c r="K266" s="814">
        <v>1.42</v>
      </c>
      <c r="L266" s="778">
        <v>1.39</v>
      </c>
      <c r="M266" s="743">
        <v>1.39</v>
      </c>
    </row>
    <row r="267" spans="2:13" ht="24" customHeight="1" x14ac:dyDescent="0.25">
      <c r="B267" s="765" t="s">
        <v>478</v>
      </c>
      <c r="C267" s="750" t="s">
        <v>485</v>
      </c>
      <c r="D267" s="749" t="s">
        <v>475</v>
      </c>
      <c r="E267" s="749" t="s">
        <v>486</v>
      </c>
      <c r="F267" s="1008" t="s">
        <v>1268</v>
      </c>
      <c r="G267" s="1009"/>
      <c r="H267" s="751" t="s">
        <v>484</v>
      </c>
      <c r="I267" s="791">
        <v>8.626E-3</v>
      </c>
      <c r="J267" s="802">
        <v>22.76</v>
      </c>
      <c r="K267" s="779">
        <v>0.19</v>
      </c>
      <c r="L267" s="822">
        <v>21.55</v>
      </c>
      <c r="M267" s="753">
        <v>0.18</v>
      </c>
    </row>
    <row r="268" spans="2:13" ht="39" customHeight="1" x14ac:dyDescent="0.25">
      <c r="B268" s="765" t="s">
        <v>478</v>
      </c>
      <c r="C268" s="750" t="s">
        <v>611</v>
      </c>
      <c r="D268" s="749" t="s">
        <v>475</v>
      </c>
      <c r="E268" s="749" t="s">
        <v>612</v>
      </c>
      <c r="F268" s="1008" t="s">
        <v>1285</v>
      </c>
      <c r="G268" s="1009"/>
      <c r="H268" s="751" t="s">
        <v>592</v>
      </c>
      <c r="I268" s="791">
        <v>6.1034000000000001E-3</v>
      </c>
      <c r="J268" s="802">
        <v>93.57</v>
      </c>
      <c r="K268" s="779">
        <v>0.56999999999999995</v>
      </c>
      <c r="L268" s="822">
        <v>91.67</v>
      </c>
      <c r="M268" s="753">
        <v>0.55000000000000004</v>
      </c>
    </row>
    <row r="269" spans="2:13" ht="39" customHeight="1" x14ac:dyDescent="0.25">
      <c r="B269" s="765" t="s">
        <v>478</v>
      </c>
      <c r="C269" s="750" t="s">
        <v>609</v>
      </c>
      <c r="D269" s="749" t="s">
        <v>475</v>
      </c>
      <c r="E269" s="749" t="s">
        <v>610</v>
      </c>
      <c r="F269" s="1008" t="s">
        <v>1285</v>
      </c>
      <c r="G269" s="1009"/>
      <c r="H269" s="751" t="s">
        <v>564</v>
      </c>
      <c r="I269" s="791">
        <v>2.5225999999999998E-3</v>
      </c>
      <c r="J269" s="802">
        <v>264.64</v>
      </c>
      <c r="K269" s="779">
        <v>0.66</v>
      </c>
      <c r="L269" s="822">
        <v>262.74</v>
      </c>
      <c r="M269" s="753">
        <v>0.66</v>
      </c>
    </row>
    <row r="270" spans="2:13" x14ac:dyDescent="0.25">
      <c r="B270" s="823"/>
      <c r="C270" s="744"/>
      <c r="D270" s="744"/>
      <c r="E270" s="744"/>
      <c r="F270" s="744" t="s">
        <v>498</v>
      </c>
      <c r="G270" s="745">
        <v>0.34</v>
      </c>
      <c r="H270" s="744" t="s">
        <v>499</v>
      </c>
      <c r="I270" s="787">
        <v>0</v>
      </c>
      <c r="J270" s="823" t="s">
        <v>500</v>
      </c>
      <c r="K270" s="787">
        <v>0.34</v>
      </c>
      <c r="L270" s="744" t="s">
        <v>500</v>
      </c>
      <c r="M270" s="745">
        <v>0.31</v>
      </c>
    </row>
    <row r="271" spans="2:13" ht="14.25" customHeight="1" x14ac:dyDescent="0.25">
      <c r="B271" s="823"/>
      <c r="C271" s="744"/>
      <c r="D271" s="744"/>
      <c r="E271" s="744"/>
      <c r="F271" s="744" t="s">
        <v>501</v>
      </c>
      <c r="G271" s="745">
        <v>0.35</v>
      </c>
      <c r="H271" s="744"/>
      <c r="I271" s="812" t="s">
        <v>502</v>
      </c>
      <c r="J271" s="793"/>
      <c r="K271" s="787">
        <v>1.77</v>
      </c>
      <c r="L271" s="746"/>
      <c r="M271" s="745">
        <v>1.81</v>
      </c>
    </row>
    <row r="272" spans="2:13" ht="50.1" customHeight="1" thickBot="1" x14ac:dyDescent="0.3">
      <c r="B272" s="776"/>
      <c r="C272" s="747"/>
      <c r="D272" s="747"/>
      <c r="E272" s="747"/>
      <c r="F272" s="747"/>
      <c r="G272" s="747"/>
      <c r="H272" s="747" t="s">
        <v>503</v>
      </c>
      <c r="I272" s="806" t="s">
        <v>1350</v>
      </c>
      <c r="J272" s="776" t="s">
        <v>504</v>
      </c>
      <c r="K272" s="807">
        <v>1989.56</v>
      </c>
      <c r="L272" s="747" t="s">
        <v>504</v>
      </c>
      <c r="M272" s="748">
        <v>2034.53</v>
      </c>
    </row>
    <row r="273" spans="2:13" ht="16.5" thickTop="1" x14ac:dyDescent="0.25">
      <c r="B273" s="768"/>
      <c r="C273" s="757"/>
      <c r="D273" s="757"/>
      <c r="E273" s="757"/>
      <c r="F273" s="757"/>
      <c r="G273" s="757"/>
      <c r="H273" s="757"/>
      <c r="I273" s="766"/>
      <c r="J273" s="768"/>
      <c r="K273" s="766"/>
      <c r="L273" s="757"/>
      <c r="M273" s="757"/>
    </row>
    <row r="274" spans="2:13" ht="18" customHeight="1" x14ac:dyDescent="0.25">
      <c r="B274" s="805" t="s">
        <v>412</v>
      </c>
      <c r="C274" s="736" t="s">
        <v>391</v>
      </c>
      <c r="D274" s="735" t="s">
        <v>392</v>
      </c>
      <c r="E274" s="735" t="s">
        <v>42</v>
      </c>
      <c r="F274" s="1004" t="s">
        <v>39</v>
      </c>
      <c r="G274" s="1005"/>
      <c r="H274" s="738" t="s">
        <v>394</v>
      </c>
      <c r="I274" s="767" t="s">
        <v>395</v>
      </c>
      <c r="J274" s="808" t="s">
        <v>396</v>
      </c>
      <c r="K274" s="767" t="s">
        <v>0</v>
      </c>
      <c r="L274" s="782" t="s">
        <v>396</v>
      </c>
      <c r="M274" s="736" t="s">
        <v>0</v>
      </c>
    </row>
    <row r="275" spans="2:13" ht="47.25" x14ac:dyDescent="0.25">
      <c r="B275" s="789" t="s">
        <v>473</v>
      </c>
      <c r="C275" s="740" t="s">
        <v>952</v>
      </c>
      <c r="D275" s="739" t="s">
        <v>475</v>
      </c>
      <c r="E275" s="739" t="s">
        <v>953</v>
      </c>
      <c r="F275" s="1010" t="s">
        <v>1292</v>
      </c>
      <c r="G275" s="1011"/>
      <c r="H275" s="742" t="s">
        <v>1</v>
      </c>
      <c r="I275" s="803">
        <v>1</v>
      </c>
      <c r="J275" s="799">
        <v>27.19</v>
      </c>
      <c r="K275" s="814">
        <v>27.19</v>
      </c>
      <c r="L275" s="778">
        <v>26.07</v>
      </c>
      <c r="M275" s="743">
        <v>26.07</v>
      </c>
    </row>
    <row r="276" spans="2:13" ht="24" customHeight="1" x14ac:dyDescent="0.25">
      <c r="B276" s="765" t="s">
        <v>478</v>
      </c>
      <c r="C276" s="750" t="s">
        <v>481</v>
      </c>
      <c r="D276" s="749" t="s">
        <v>475</v>
      </c>
      <c r="E276" s="749" t="s">
        <v>482</v>
      </c>
      <c r="F276" s="1008" t="s">
        <v>1268</v>
      </c>
      <c r="G276" s="1009"/>
      <c r="H276" s="751" t="s">
        <v>484</v>
      </c>
      <c r="I276" s="791">
        <v>0.55716699999999997</v>
      </c>
      <c r="J276" s="802">
        <v>27.74</v>
      </c>
      <c r="K276" s="779">
        <v>15.45</v>
      </c>
      <c r="L276" s="822">
        <v>26.13</v>
      </c>
      <c r="M276" s="753">
        <v>14.55</v>
      </c>
    </row>
    <row r="277" spans="2:13" ht="24" customHeight="1" x14ac:dyDescent="0.25">
      <c r="B277" s="765" t="s">
        <v>478</v>
      </c>
      <c r="C277" s="750" t="s">
        <v>485</v>
      </c>
      <c r="D277" s="749" t="s">
        <v>475</v>
      </c>
      <c r="E277" s="749" t="s">
        <v>486</v>
      </c>
      <c r="F277" s="1008" t="s">
        <v>1268</v>
      </c>
      <c r="G277" s="1009"/>
      <c r="H277" s="751" t="s">
        <v>484</v>
      </c>
      <c r="I277" s="791">
        <v>0.185722</v>
      </c>
      <c r="J277" s="802">
        <v>22.76</v>
      </c>
      <c r="K277" s="779">
        <v>4.22</v>
      </c>
      <c r="L277" s="822">
        <v>21.55</v>
      </c>
      <c r="M277" s="753">
        <v>4</v>
      </c>
    </row>
    <row r="278" spans="2:13" ht="47.25" x14ac:dyDescent="0.25">
      <c r="B278" s="765" t="s">
        <v>487</v>
      </c>
      <c r="C278" s="750" t="s">
        <v>615</v>
      </c>
      <c r="D278" s="749" t="s">
        <v>475</v>
      </c>
      <c r="E278" s="749" t="s">
        <v>951</v>
      </c>
      <c r="F278" s="1008" t="s">
        <v>490</v>
      </c>
      <c r="G278" s="1009"/>
      <c r="H278" s="751" t="s">
        <v>491</v>
      </c>
      <c r="I278" s="791">
        <v>0.19012299999999999</v>
      </c>
      <c r="J278" s="802">
        <v>29.66</v>
      </c>
      <c r="K278" s="779">
        <v>5.63</v>
      </c>
      <c r="L278" s="822">
        <v>29.66</v>
      </c>
      <c r="M278" s="753">
        <v>5.63</v>
      </c>
    </row>
    <row r="279" spans="2:13" ht="39" customHeight="1" x14ac:dyDescent="0.25">
      <c r="B279" s="765" t="s">
        <v>487</v>
      </c>
      <c r="C279" s="750" t="s">
        <v>616</v>
      </c>
      <c r="D279" s="749" t="s">
        <v>475</v>
      </c>
      <c r="E279" s="749" t="s">
        <v>617</v>
      </c>
      <c r="F279" s="1008" t="s">
        <v>490</v>
      </c>
      <c r="G279" s="1009"/>
      <c r="H279" s="751" t="s">
        <v>491</v>
      </c>
      <c r="I279" s="791">
        <v>0.108642</v>
      </c>
      <c r="J279" s="802">
        <v>15.73</v>
      </c>
      <c r="K279" s="779">
        <v>1.7</v>
      </c>
      <c r="L279" s="822">
        <v>15.73</v>
      </c>
      <c r="M279" s="753">
        <v>1.7</v>
      </c>
    </row>
    <row r="280" spans="2:13" ht="26.1" customHeight="1" x14ac:dyDescent="0.25">
      <c r="B280" s="765" t="s">
        <v>487</v>
      </c>
      <c r="C280" s="750" t="s">
        <v>613</v>
      </c>
      <c r="D280" s="749" t="s">
        <v>475</v>
      </c>
      <c r="E280" s="749" t="s">
        <v>614</v>
      </c>
      <c r="F280" s="1008" t="s">
        <v>490</v>
      </c>
      <c r="G280" s="1009"/>
      <c r="H280" s="751" t="s">
        <v>495</v>
      </c>
      <c r="I280" s="791">
        <v>9.5890000000000003E-3</v>
      </c>
      <c r="J280" s="802">
        <v>20</v>
      </c>
      <c r="K280" s="779">
        <v>0.19</v>
      </c>
      <c r="L280" s="822">
        <v>20</v>
      </c>
      <c r="M280" s="753">
        <v>0.19</v>
      </c>
    </row>
    <row r="281" spans="2:13" x14ac:dyDescent="0.25">
      <c r="B281" s="823"/>
      <c r="C281" s="744"/>
      <c r="D281" s="744"/>
      <c r="E281" s="744"/>
      <c r="F281" s="744" t="s">
        <v>498</v>
      </c>
      <c r="G281" s="745">
        <v>14.98</v>
      </c>
      <c r="H281" s="744" t="s">
        <v>499</v>
      </c>
      <c r="I281" s="787">
        <v>0</v>
      </c>
      <c r="J281" s="823" t="s">
        <v>500</v>
      </c>
      <c r="K281" s="787">
        <v>14.98</v>
      </c>
      <c r="L281" s="744" t="s">
        <v>500</v>
      </c>
      <c r="M281" s="745">
        <v>13.86</v>
      </c>
    </row>
    <row r="282" spans="2:13" ht="14.25" customHeight="1" x14ac:dyDescent="0.25">
      <c r="B282" s="823"/>
      <c r="C282" s="744"/>
      <c r="D282" s="744"/>
      <c r="E282" s="744"/>
      <c r="F282" s="744" t="s">
        <v>501</v>
      </c>
      <c r="G282" s="745">
        <v>6.86</v>
      </c>
      <c r="H282" s="744"/>
      <c r="I282" s="812" t="s">
        <v>502</v>
      </c>
      <c r="J282" s="793"/>
      <c r="K282" s="787">
        <v>34.049999999999997</v>
      </c>
      <c r="L282" s="746"/>
      <c r="M282" s="745">
        <v>34.06</v>
      </c>
    </row>
    <row r="283" spans="2:13" ht="50.1" customHeight="1" thickBot="1" x14ac:dyDescent="0.3">
      <c r="B283" s="776"/>
      <c r="C283" s="747"/>
      <c r="D283" s="747"/>
      <c r="E283" s="747"/>
      <c r="F283" s="747"/>
      <c r="G283" s="747"/>
      <c r="H283" s="747" t="s">
        <v>503</v>
      </c>
      <c r="I283" s="806" t="s">
        <v>1490</v>
      </c>
      <c r="J283" s="776" t="s">
        <v>504</v>
      </c>
      <c r="K283" s="807">
        <v>128560.88</v>
      </c>
      <c r="L283" s="747" t="s">
        <v>504</v>
      </c>
      <c r="M283" s="748">
        <v>128598.63</v>
      </c>
    </row>
    <row r="284" spans="2:13" ht="16.5" thickTop="1" x14ac:dyDescent="0.25">
      <c r="B284" s="768"/>
      <c r="C284" s="757"/>
      <c r="D284" s="757"/>
      <c r="E284" s="757"/>
      <c r="F284" s="757"/>
      <c r="G284" s="757"/>
      <c r="H284" s="757"/>
      <c r="I284" s="766"/>
      <c r="J284" s="768"/>
      <c r="K284" s="766"/>
      <c r="L284" s="757"/>
      <c r="M284" s="757"/>
    </row>
    <row r="285" spans="2:13" ht="18" customHeight="1" x14ac:dyDescent="0.25">
      <c r="B285" s="805" t="s">
        <v>413</v>
      </c>
      <c r="C285" s="736" t="s">
        <v>391</v>
      </c>
      <c r="D285" s="735" t="s">
        <v>392</v>
      </c>
      <c r="E285" s="735" t="s">
        <v>42</v>
      </c>
      <c r="F285" s="1004" t="s">
        <v>39</v>
      </c>
      <c r="G285" s="1005"/>
      <c r="H285" s="738" t="s">
        <v>394</v>
      </c>
      <c r="I285" s="767" t="s">
        <v>395</v>
      </c>
      <c r="J285" s="808" t="s">
        <v>396</v>
      </c>
      <c r="K285" s="767" t="s">
        <v>0</v>
      </c>
      <c r="L285" s="782" t="s">
        <v>396</v>
      </c>
      <c r="M285" s="736" t="s">
        <v>0</v>
      </c>
    </row>
    <row r="286" spans="2:13" ht="47.25" x14ac:dyDescent="0.25">
      <c r="B286" s="789" t="s">
        <v>473</v>
      </c>
      <c r="C286" s="740" t="s">
        <v>1156</v>
      </c>
      <c r="D286" s="739" t="s">
        <v>475</v>
      </c>
      <c r="E286" s="739" t="s">
        <v>1157</v>
      </c>
      <c r="F286" s="1010" t="s">
        <v>1292</v>
      </c>
      <c r="G286" s="1011"/>
      <c r="H286" s="742" t="s">
        <v>1</v>
      </c>
      <c r="I286" s="803">
        <v>1</v>
      </c>
      <c r="J286" s="799">
        <v>23.68</v>
      </c>
      <c r="K286" s="814">
        <v>23.68</v>
      </c>
      <c r="L286" s="778">
        <v>22.78</v>
      </c>
      <c r="M286" s="743">
        <v>22.78</v>
      </c>
    </row>
    <row r="287" spans="2:13" ht="24" customHeight="1" x14ac:dyDescent="0.25">
      <c r="B287" s="765" t="s">
        <v>478</v>
      </c>
      <c r="C287" s="750" t="s">
        <v>485</v>
      </c>
      <c r="D287" s="749" t="s">
        <v>475</v>
      </c>
      <c r="E287" s="749" t="s">
        <v>486</v>
      </c>
      <c r="F287" s="1008" t="s">
        <v>1268</v>
      </c>
      <c r="G287" s="1009"/>
      <c r="H287" s="751" t="s">
        <v>484</v>
      </c>
      <c r="I287" s="791">
        <v>0.14901800000000001</v>
      </c>
      <c r="J287" s="802">
        <v>22.76</v>
      </c>
      <c r="K287" s="779">
        <v>3.39</v>
      </c>
      <c r="L287" s="822">
        <v>21.55</v>
      </c>
      <c r="M287" s="753">
        <v>3.21</v>
      </c>
    </row>
    <row r="288" spans="2:13" ht="24" customHeight="1" x14ac:dyDescent="0.25">
      <c r="B288" s="765" t="s">
        <v>478</v>
      </c>
      <c r="C288" s="750" t="s">
        <v>481</v>
      </c>
      <c r="D288" s="749" t="s">
        <v>475</v>
      </c>
      <c r="E288" s="749" t="s">
        <v>482</v>
      </c>
      <c r="F288" s="1008" t="s">
        <v>1268</v>
      </c>
      <c r="G288" s="1009"/>
      <c r="H288" s="751" t="s">
        <v>484</v>
      </c>
      <c r="I288" s="791">
        <v>0.44705499999999998</v>
      </c>
      <c r="J288" s="802">
        <v>27.74</v>
      </c>
      <c r="K288" s="779">
        <v>12.4</v>
      </c>
      <c r="L288" s="822">
        <v>26.13</v>
      </c>
      <c r="M288" s="753">
        <v>11.68</v>
      </c>
    </row>
    <row r="289" spans="2:13" ht="26.1" customHeight="1" x14ac:dyDescent="0.25">
      <c r="B289" s="765" t="s">
        <v>487</v>
      </c>
      <c r="C289" s="750" t="s">
        <v>613</v>
      </c>
      <c r="D289" s="749" t="s">
        <v>475</v>
      </c>
      <c r="E289" s="749" t="s">
        <v>614</v>
      </c>
      <c r="F289" s="1008" t="s">
        <v>490</v>
      </c>
      <c r="G289" s="1009"/>
      <c r="H289" s="751" t="s">
        <v>495</v>
      </c>
      <c r="I289" s="791">
        <v>1.2784999999999999E-2</v>
      </c>
      <c r="J289" s="802">
        <v>20</v>
      </c>
      <c r="K289" s="779">
        <v>0.25</v>
      </c>
      <c r="L289" s="822">
        <v>20</v>
      </c>
      <c r="M289" s="753">
        <v>0.25</v>
      </c>
    </row>
    <row r="290" spans="2:13" ht="47.25" x14ac:dyDescent="0.25">
      <c r="B290" s="765" t="s">
        <v>487</v>
      </c>
      <c r="C290" s="750" t="s">
        <v>615</v>
      </c>
      <c r="D290" s="749" t="s">
        <v>475</v>
      </c>
      <c r="E290" s="749" t="s">
        <v>951</v>
      </c>
      <c r="F290" s="1008" t="s">
        <v>490</v>
      </c>
      <c r="G290" s="1009"/>
      <c r="H290" s="751" t="s">
        <v>491</v>
      </c>
      <c r="I290" s="791">
        <v>0.18107000000000001</v>
      </c>
      <c r="J290" s="802">
        <v>29.66</v>
      </c>
      <c r="K290" s="779">
        <v>5.37</v>
      </c>
      <c r="L290" s="822">
        <v>29.66</v>
      </c>
      <c r="M290" s="753">
        <v>5.37</v>
      </c>
    </row>
    <row r="291" spans="2:13" ht="39" customHeight="1" x14ac:dyDescent="0.25">
      <c r="B291" s="765" t="s">
        <v>487</v>
      </c>
      <c r="C291" s="750" t="s">
        <v>616</v>
      </c>
      <c r="D291" s="749" t="s">
        <v>475</v>
      </c>
      <c r="E291" s="749" t="s">
        <v>617</v>
      </c>
      <c r="F291" s="1008" t="s">
        <v>490</v>
      </c>
      <c r="G291" s="1009"/>
      <c r="H291" s="751" t="s">
        <v>491</v>
      </c>
      <c r="I291" s="791">
        <v>0.14485600000000001</v>
      </c>
      <c r="J291" s="802">
        <v>15.73</v>
      </c>
      <c r="K291" s="779">
        <v>2.27</v>
      </c>
      <c r="L291" s="822">
        <v>15.73</v>
      </c>
      <c r="M291" s="753">
        <v>2.27</v>
      </c>
    </row>
    <row r="292" spans="2:13" x14ac:dyDescent="0.25">
      <c r="B292" s="823"/>
      <c r="C292" s="744"/>
      <c r="D292" s="744"/>
      <c r="E292" s="744"/>
      <c r="F292" s="744" t="s">
        <v>498</v>
      </c>
      <c r="G292" s="745">
        <v>12.02</v>
      </c>
      <c r="H292" s="744" t="s">
        <v>499</v>
      </c>
      <c r="I292" s="787">
        <v>0</v>
      </c>
      <c r="J292" s="823" t="s">
        <v>500</v>
      </c>
      <c r="K292" s="787">
        <v>12.02</v>
      </c>
      <c r="L292" s="744" t="s">
        <v>500</v>
      </c>
      <c r="M292" s="745">
        <v>11.12</v>
      </c>
    </row>
    <row r="293" spans="2:13" ht="14.25" customHeight="1" x14ac:dyDescent="0.25">
      <c r="B293" s="823"/>
      <c r="C293" s="744"/>
      <c r="D293" s="744"/>
      <c r="E293" s="744"/>
      <c r="F293" s="744" t="s">
        <v>501</v>
      </c>
      <c r="G293" s="745">
        <v>5.97</v>
      </c>
      <c r="H293" s="744"/>
      <c r="I293" s="812" t="s">
        <v>502</v>
      </c>
      <c r="J293" s="793"/>
      <c r="K293" s="787">
        <v>29.65</v>
      </c>
      <c r="L293" s="746"/>
      <c r="M293" s="745">
        <v>29.76</v>
      </c>
    </row>
    <row r="294" spans="2:13" ht="50.1" customHeight="1" thickBot="1" x14ac:dyDescent="0.3">
      <c r="B294" s="776"/>
      <c r="C294" s="747"/>
      <c r="D294" s="747"/>
      <c r="E294" s="747"/>
      <c r="F294" s="747"/>
      <c r="G294" s="747"/>
      <c r="H294" s="747" t="s">
        <v>503</v>
      </c>
      <c r="I294" s="806" t="s">
        <v>1320</v>
      </c>
      <c r="J294" s="776" t="s">
        <v>504</v>
      </c>
      <c r="K294" s="807">
        <v>92586.86</v>
      </c>
      <c r="L294" s="747" t="s">
        <v>504</v>
      </c>
      <c r="M294" s="748">
        <v>92930.36</v>
      </c>
    </row>
    <row r="295" spans="2:13" ht="16.5" thickTop="1" x14ac:dyDescent="0.25">
      <c r="B295" s="768"/>
      <c r="C295" s="757"/>
      <c r="D295" s="757"/>
      <c r="E295" s="757"/>
      <c r="F295" s="757"/>
      <c r="G295" s="757"/>
      <c r="H295" s="757"/>
      <c r="I295" s="766"/>
      <c r="J295" s="768"/>
      <c r="K295" s="766"/>
      <c r="L295" s="757"/>
      <c r="M295" s="757"/>
    </row>
    <row r="296" spans="2:13" ht="18" customHeight="1" x14ac:dyDescent="0.25">
      <c r="B296" s="805" t="s">
        <v>414</v>
      </c>
      <c r="C296" s="736" t="s">
        <v>391</v>
      </c>
      <c r="D296" s="735" t="s">
        <v>392</v>
      </c>
      <c r="E296" s="735" t="s">
        <v>42</v>
      </c>
      <c r="F296" s="1004" t="s">
        <v>39</v>
      </c>
      <c r="G296" s="1005"/>
      <c r="H296" s="738" t="s">
        <v>394</v>
      </c>
      <c r="I296" s="767" t="s">
        <v>395</v>
      </c>
      <c r="J296" s="808" t="s">
        <v>396</v>
      </c>
      <c r="K296" s="767" t="s">
        <v>0</v>
      </c>
      <c r="L296" s="782" t="s">
        <v>396</v>
      </c>
      <c r="M296" s="736" t="s">
        <v>0</v>
      </c>
    </row>
    <row r="297" spans="2:13" ht="39" customHeight="1" x14ac:dyDescent="0.25">
      <c r="B297" s="789" t="s">
        <v>473</v>
      </c>
      <c r="C297" s="740" t="s">
        <v>618</v>
      </c>
      <c r="D297" s="739" t="s">
        <v>475</v>
      </c>
      <c r="E297" s="739" t="s">
        <v>619</v>
      </c>
      <c r="F297" s="1010" t="s">
        <v>1292</v>
      </c>
      <c r="G297" s="1011"/>
      <c r="H297" s="742" t="s">
        <v>1</v>
      </c>
      <c r="I297" s="803">
        <v>1</v>
      </c>
      <c r="J297" s="799">
        <v>7.78</v>
      </c>
      <c r="K297" s="814">
        <v>7.78</v>
      </c>
      <c r="L297" s="778">
        <v>7.35</v>
      </c>
      <c r="M297" s="743">
        <v>7.35</v>
      </c>
    </row>
    <row r="298" spans="2:13" ht="24" customHeight="1" x14ac:dyDescent="0.25">
      <c r="B298" s="765" t="s">
        <v>478</v>
      </c>
      <c r="C298" s="750" t="s">
        <v>620</v>
      </c>
      <c r="D298" s="749" t="s">
        <v>475</v>
      </c>
      <c r="E298" s="749" t="s">
        <v>621</v>
      </c>
      <c r="F298" s="1008" t="s">
        <v>1268</v>
      </c>
      <c r="G298" s="1009"/>
      <c r="H298" s="751" t="s">
        <v>484</v>
      </c>
      <c r="I298" s="791">
        <v>0.110919</v>
      </c>
      <c r="J298" s="802">
        <v>28.5</v>
      </c>
      <c r="K298" s="779">
        <v>3.16</v>
      </c>
      <c r="L298" s="822">
        <v>26.87</v>
      </c>
      <c r="M298" s="753">
        <v>2.98</v>
      </c>
    </row>
    <row r="299" spans="2:13" ht="24" customHeight="1" x14ac:dyDescent="0.25">
      <c r="B299" s="765" t="s">
        <v>478</v>
      </c>
      <c r="C299" s="750" t="s">
        <v>485</v>
      </c>
      <c r="D299" s="749" t="s">
        <v>475</v>
      </c>
      <c r="E299" s="749" t="s">
        <v>486</v>
      </c>
      <c r="F299" s="1008" t="s">
        <v>1268</v>
      </c>
      <c r="G299" s="1009"/>
      <c r="H299" s="751" t="s">
        <v>484</v>
      </c>
      <c r="I299" s="791">
        <v>0.19158700000000001</v>
      </c>
      <c r="J299" s="802">
        <v>22.76</v>
      </c>
      <c r="K299" s="779">
        <v>4.3600000000000003</v>
      </c>
      <c r="L299" s="822">
        <v>21.55</v>
      </c>
      <c r="M299" s="753">
        <v>4.12</v>
      </c>
    </row>
    <row r="300" spans="2:13" ht="39" customHeight="1" x14ac:dyDescent="0.25">
      <c r="B300" s="765" t="s">
        <v>478</v>
      </c>
      <c r="C300" s="750" t="s">
        <v>622</v>
      </c>
      <c r="D300" s="749" t="s">
        <v>475</v>
      </c>
      <c r="E300" s="749" t="s">
        <v>623</v>
      </c>
      <c r="F300" s="1008" t="s">
        <v>1285</v>
      </c>
      <c r="G300" s="1009"/>
      <c r="H300" s="751" t="s">
        <v>564</v>
      </c>
      <c r="I300" s="791">
        <v>6.7530000000000003E-3</v>
      </c>
      <c r="J300" s="802">
        <v>39.04</v>
      </c>
      <c r="K300" s="779">
        <v>0.26</v>
      </c>
      <c r="L300" s="822">
        <v>37.14</v>
      </c>
      <c r="M300" s="753">
        <v>0.25</v>
      </c>
    </row>
    <row r="301" spans="2:13" x14ac:dyDescent="0.25">
      <c r="B301" s="823"/>
      <c r="C301" s="744"/>
      <c r="D301" s="744"/>
      <c r="E301" s="744"/>
      <c r="F301" s="744" t="s">
        <v>498</v>
      </c>
      <c r="G301" s="745">
        <v>5.67</v>
      </c>
      <c r="H301" s="744" t="s">
        <v>499</v>
      </c>
      <c r="I301" s="787">
        <v>0</v>
      </c>
      <c r="J301" s="823" t="s">
        <v>500</v>
      </c>
      <c r="K301" s="787">
        <v>5.67</v>
      </c>
      <c r="L301" s="744" t="s">
        <v>500</v>
      </c>
      <c r="M301" s="745">
        <v>5.24</v>
      </c>
    </row>
    <row r="302" spans="2:13" ht="14.25" customHeight="1" x14ac:dyDescent="0.25">
      <c r="B302" s="823"/>
      <c r="C302" s="744"/>
      <c r="D302" s="744"/>
      <c r="E302" s="744"/>
      <c r="F302" s="744" t="s">
        <v>501</v>
      </c>
      <c r="G302" s="745">
        <v>1.96</v>
      </c>
      <c r="H302" s="744"/>
      <c r="I302" s="812" t="s">
        <v>502</v>
      </c>
      <c r="J302" s="793"/>
      <c r="K302" s="787">
        <v>9.74</v>
      </c>
      <c r="L302" s="746"/>
      <c r="M302" s="745">
        <v>9.6</v>
      </c>
    </row>
    <row r="303" spans="2:13" ht="50.1" customHeight="1" thickBot="1" x14ac:dyDescent="0.3">
      <c r="B303" s="776"/>
      <c r="C303" s="747"/>
      <c r="D303" s="747"/>
      <c r="E303" s="747"/>
      <c r="F303" s="747"/>
      <c r="G303" s="747"/>
      <c r="H303" s="747" t="s">
        <v>503</v>
      </c>
      <c r="I303" s="806" t="s">
        <v>1351</v>
      </c>
      <c r="J303" s="776" t="s">
        <v>504</v>
      </c>
      <c r="K303" s="807">
        <v>14707.4</v>
      </c>
      <c r="L303" s="747" t="s">
        <v>504</v>
      </c>
      <c r="M303" s="748">
        <v>14496</v>
      </c>
    </row>
    <row r="304" spans="2:13" ht="16.5" thickTop="1" x14ac:dyDescent="0.25">
      <c r="B304" s="768"/>
      <c r="C304" s="757"/>
      <c r="D304" s="757"/>
      <c r="E304" s="757"/>
      <c r="F304" s="757"/>
      <c r="G304" s="757"/>
      <c r="H304" s="757"/>
      <c r="I304" s="766"/>
      <c r="J304" s="768"/>
      <c r="K304" s="766"/>
      <c r="L304" s="757"/>
      <c r="M304" s="757"/>
    </row>
    <row r="305" spans="2:13" ht="18" customHeight="1" x14ac:dyDescent="0.25">
      <c r="B305" s="805" t="s">
        <v>415</v>
      </c>
      <c r="C305" s="736" t="s">
        <v>391</v>
      </c>
      <c r="D305" s="735" t="s">
        <v>392</v>
      </c>
      <c r="E305" s="735" t="s">
        <v>42</v>
      </c>
      <c r="F305" s="1004" t="s">
        <v>39</v>
      </c>
      <c r="G305" s="1005"/>
      <c r="H305" s="738" t="s">
        <v>394</v>
      </c>
      <c r="I305" s="767" t="s">
        <v>395</v>
      </c>
      <c r="J305" s="808" t="s">
        <v>396</v>
      </c>
      <c r="K305" s="767" t="s">
        <v>0</v>
      </c>
      <c r="L305" s="782" t="s">
        <v>396</v>
      </c>
      <c r="M305" s="736" t="s">
        <v>0</v>
      </c>
    </row>
    <row r="306" spans="2:13" s="761" customFormat="1" ht="51.95" customHeight="1" x14ac:dyDescent="0.25">
      <c r="B306" s="789" t="s">
        <v>473</v>
      </c>
      <c r="C306" s="740" t="s">
        <v>624</v>
      </c>
      <c r="D306" s="739" t="s">
        <v>475</v>
      </c>
      <c r="E306" s="739" t="s">
        <v>625</v>
      </c>
      <c r="F306" s="1010" t="s">
        <v>1292</v>
      </c>
      <c r="G306" s="1011"/>
      <c r="H306" s="742" t="s">
        <v>1</v>
      </c>
      <c r="I306" s="803">
        <v>1</v>
      </c>
      <c r="J306" s="799">
        <v>3.53</v>
      </c>
      <c r="K306" s="814">
        <v>3.53</v>
      </c>
      <c r="L306" s="778">
        <v>3.34</v>
      </c>
      <c r="M306" s="743">
        <v>3.34</v>
      </c>
    </row>
    <row r="307" spans="2:13" ht="24" customHeight="1" x14ac:dyDescent="0.25">
      <c r="B307" s="765" t="s">
        <v>478</v>
      </c>
      <c r="C307" s="750" t="s">
        <v>620</v>
      </c>
      <c r="D307" s="749" t="s">
        <v>475</v>
      </c>
      <c r="E307" s="749" t="s">
        <v>621</v>
      </c>
      <c r="F307" s="1008" t="s">
        <v>1268</v>
      </c>
      <c r="G307" s="1009"/>
      <c r="H307" s="751" t="s">
        <v>484</v>
      </c>
      <c r="I307" s="791">
        <v>4.8665E-2</v>
      </c>
      <c r="J307" s="802">
        <v>28.5</v>
      </c>
      <c r="K307" s="779">
        <v>1.38</v>
      </c>
      <c r="L307" s="822">
        <v>26.87</v>
      </c>
      <c r="M307" s="753">
        <v>1.3</v>
      </c>
    </row>
    <row r="308" spans="2:13" ht="39" customHeight="1" x14ac:dyDescent="0.25">
      <c r="B308" s="765" t="s">
        <v>478</v>
      </c>
      <c r="C308" s="750" t="s">
        <v>622</v>
      </c>
      <c r="D308" s="749" t="s">
        <v>475</v>
      </c>
      <c r="E308" s="749" t="s">
        <v>623</v>
      </c>
      <c r="F308" s="1008" t="s">
        <v>1285</v>
      </c>
      <c r="G308" s="1009"/>
      <c r="H308" s="751" t="s">
        <v>564</v>
      </c>
      <c r="I308" s="791">
        <v>6.2599999999999999E-3</v>
      </c>
      <c r="J308" s="802">
        <v>39.04</v>
      </c>
      <c r="K308" s="779">
        <v>0.24</v>
      </c>
      <c r="L308" s="822">
        <v>37.14</v>
      </c>
      <c r="M308" s="753">
        <v>0.23</v>
      </c>
    </row>
    <row r="309" spans="2:13" ht="24" customHeight="1" x14ac:dyDescent="0.25">
      <c r="B309" s="765" t="s">
        <v>478</v>
      </c>
      <c r="C309" s="750" t="s">
        <v>485</v>
      </c>
      <c r="D309" s="749" t="s">
        <v>475</v>
      </c>
      <c r="E309" s="749" t="s">
        <v>486</v>
      </c>
      <c r="F309" s="1008" t="s">
        <v>1268</v>
      </c>
      <c r="G309" s="1009"/>
      <c r="H309" s="751" t="s">
        <v>484</v>
      </c>
      <c r="I309" s="791">
        <v>8.4057999999999994E-2</v>
      </c>
      <c r="J309" s="802">
        <v>22.76</v>
      </c>
      <c r="K309" s="779">
        <v>1.91</v>
      </c>
      <c r="L309" s="822">
        <v>21.55</v>
      </c>
      <c r="M309" s="753">
        <v>1.81</v>
      </c>
    </row>
    <row r="310" spans="2:13" x14ac:dyDescent="0.25">
      <c r="B310" s="823"/>
      <c r="C310" s="744"/>
      <c r="D310" s="744"/>
      <c r="E310" s="744"/>
      <c r="F310" s="744" t="s">
        <v>498</v>
      </c>
      <c r="G310" s="745">
        <v>2.56</v>
      </c>
      <c r="H310" s="744" t="s">
        <v>499</v>
      </c>
      <c r="I310" s="787">
        <v>0</v>
      </c>
      <c r="J310" s="823" t="s">
        <v>500</v>
      </c>
      <c r="K310" s="787">
        <v>2.56</v>
      </c>
      <c r="L310" s="744" t="s">
        <v>500</v>
      </c>
      <c r="M310" s="745">
        <v>2.37</v>
      </c>
    </row>
    <row r="311" spans="2:13" ht="14.25" customHeight="1" x14ac:dyDescent="0.25">
      <c r="B311" s="823"/>
      <c r="C311" s="744"/>
      <c r="D311" s="744"/>
      <c r="E311" s="744"/>
      <c r="F311" s="744" t="s">
        <v>501</v>
      </c>
      <c r="G311" s="745">
        <v>0.89</v>
      </c>
      <c r="H311" s="744"/>
      <c r="I311" s="812" t="s">
        <v>502</v>
      </c>
      <c r="J311" s="793"/>
      <c r="K311" s="787">
        <v>4.42</v>
      </c>
      <c r="L311" s="746"/>
      <c r="M311" s="745">
        <v>4.3600000000000003</v>
      </c>
    </row>
    <row r="312" spans="2:13" ht="50.1" customHeight="1" thickBot="1" x14ac:dyDescent="0.3">
      <c r="B312" s="776"/>
      <c r="C312" s="747"/>
      <c r="D312" s="747"/>
      <c r="E312" s="747"/>
      <c r="F312" s="747"/>
      <c r="G312" s="747"/>
      <c r="H312" s="747" t="s">
        <v>503</v>
      </c>
      <c r="I312" s="806" t="s">
        <v>1338</v>
      </c>
      <c r="J312" s="776" t="s">
        <v>504</v>
      </c>
      <c r="K312" s="807">
        <v>544.54</v>
      </c>
      <c r="L312" s="747" t="s">
        <v>504</v>
      </c>
      <c r="M312" s="748">
        <v>537.15</v>
      </c>
    </row>
    <row r="313" spans="2:13" ht="16.5" thickTop="1" x14ac:dyDescent="0.25">
      <c r="B313" s="768"/>
      <c r="C313" s="757"/>
      <c r="D313" s="757"/>
      <c r="E313" s="757"/>
      <c r="F313" s="757"/>
      <c r="G313" s="757"/>
      <c r="H313" s="757"/>
      <c r="I313" s="766"/>
      <c r="J313" s="768"/>
      <c r="K313" s="766"/>
      <c r="L313" s="757"/>
      <c r="M313" s="757"/>
    </row>
    <row r="314" spans="2:13" ht="18" customHeight="1" x14ac:dyDescent="0.25">
      <c r="B314" s="805" t="s">
        <v>416</v>
      </c>
      <c r="C314" s="736" t="s">
        <v>391</v>
      </c>
      <c r="D314" s="735" t="s">
        <v>392</v>
      </c>
      <c r="E314" s="735" t="s">
        <v>42</v>
      </c>
      <c r="F314" s="1004" t="s">
        <v>39</v>
      </c>
      <c r="G314" s="1005"/>
      <c r="H314" s="738" t="s">
        <v>394</v>
      </c>
      <c r="I314" s="767" t="s">
        <v>395</v>
      </c>
      <c r="J314" s="808" t="s">
        <v>396</v>
      </c>
      <c r="K314" s="767" t="s">
        <v>0</v>
      </c>
      <c r="L314" s="782" t="s">
        <v>396</v>
      </c>
      <c r="M314" s="736" t="s">
        <v>0</v>
      </c>
    </row>
    <row r="315" spans="2:13" ht="47.25" x14ac:dyDescent="0.25">
      <c r="B315" s="789" t="s">
        <v>473</v>
      </c>
      <c r="C315" s="740" t="s">
        <v>1158</v>
      </c>
      <c r="D315" s="739" t="s">
        <v>475</v>
      </c>
      <c r="E315" s="739" t="s">
        <v>1159</v>
      </c>
      <c r="F315" s="1010" t="s">
        <v>1292</v>
      </c>
      <c r="G315" s="1011"/>
      <c r="H315" s="742" t="s">
        <v>2</v>
      </c>
      <c r="I315" s="803">
        <v>1</v>
      </c>
      <c r="J315" s="799">
        <v>227.01</v>
      </c>
      <c r="K315" s="814">
        <v>227.01</v>
      </c>
      <c r="L315" s="778">
        <v>223.27</v>
      </c>
      <c r="M315" s="743">
        <v>223.27</v>
      </c>
    </row>
    <row r="316" spans="2:13" ht="65.099999999999994" customHeight="1" x14ac:dyDescent="0.25">
      <c r="B316" s="765" t="s">
        <v>478</v>
      </c>
      <c r="C316" s="750" t="s">
        <v>590</v>
      </c>
      <c r="D316" s="749" t="s">
        <v>475</v>
      </c>
      <c r="E316" s="749" t="s">
        <v>591</v>
      </c>
      <c r="F316" s="1008" t="s">
        <v>1285</v>
      </c>
      <c r="G316" s="1009"/>
      <c r="H316" s="751" t="s">
        <v>592</v>
      </c>
      <c r="I316" s="791">
        <v>0.351711</v>
      </c>
      <c r="J316" s="802">
        <v>67.239999999999995</v>
      </c>
      <c r="K316" s="779">
        <v>23.64</v>
      </c>
      <c r="L316" s="822">
        <v>65.11</v>
      </c>
      <c r="M316" s="753">
        <v>22.89</v>
      </c>
    </row>
    <row r="317" spans="2:13" ht="24" customHeight="1" x14ac:dyDescent="0.25">
      <c r="B317" s="765" t="s">
        <v>478</v>
      </c>
      <c r="C317" s="750" t="s">
        <v>485</v>
      </c>
      <c r="D317" s="749" t="s">
        <v>475</v>
      </c>
      <c r="E317" s="749" t="s">
        <v>486</v>
      </c>
      <c r="F317" s="1008" t="s">
        <v>1268</v>
      </c>
      <c r="G317" s="1009"/>
      <c r="H317" s="751" t="s">
        <v>484</v>
      </c>
      <c r="I317" s="791">
        <v>1.069202</v>
      </c>
      <c r="J317" s="802">
        <v>22.76</v>
      </c>
      <c r="K317" s="779">
        <v>24.33</v>
      </c>
      <c r="L317" s="822">
        <v>21.55</v>
      </c>
      <c r="M317" s="753">
        <v>23.04</v>
      </c>
    </row>
    <row r="318" spans="2:13" ht="39" customHeight="1" x14ac:dyDescent="0.25">
      <c r="B318" s="765" t="s">
        <v>478</v>
      </c>
      <c r="C318" s="750" t="s">
        <v>622</v>
      </c>
      <c r="D318" s="749" t="s">
        <v>475</v>
      </c>
      <c r="E318" s="749" t="s">
        <v>623</v>
      </c>
      <c r="F318" s="1008" t="s">
        <v>1285</v>
      </c>
      <c r="G318" s="1009"/>
      <c r="H318" s="751" t="s">
        <v>564</v>
      </c>
      <c r="I318" s="791">
        <v>0.12520000000000001</v>
      </c>
      <c r="J318" s="802">
        <v>39.04</v>
      </c>
      <c r="K318" s="779">
        <v>4.88</v>
      </c>
      <c r="L318" s="822">
        <v>37.14</v>
      </c>
      <c r="M318" s="753">
        <v>4.6399999999999997</v>
      </c>
    </row>
    <row r="319" spans="2:13" ht="65.099999999999994" customHeight="1" x14ac:dyDescent="0.25">
      <c r="B319" s="765" t="s">
        <v>478</v>
      </c>
      <c r="C319" s="750" t="s">
        <v>588</v>
      </c>
      <c r="D319" s="749" t="s">
        <v>475</v>
      </c>
      <c r="E319" s="749" t="s">
        <v>589</v>
      </c>
      <c r="F319" s="1008" t="s">
        <v>1285</v>
      </c>
      <c r="G319" s="1009"/>
      <c r="H319" s="751" t="s">
        <v>564</v>
      </c>
      <c r="I319" s="791">
        <v>0.21102699999999999</v>
      </c>
      <c r="J319" s="802">
        <v>150.82</v>
      </c>
      <c r="K319" s="779">
        <v>31.82</v>
      </c>
      <c r="L319" s="822">
        <v>148.69</v>
      </c>
      <c r="M319" s="753">
        <v>31.37</v>
      </c>
    </row>
    <row r="320" spans="2:13" ht="24" customHeight="1" x14ac:dyDescent="0.25">
      <c r="B320" s="765" t="s">
        <v>478</v>
      </c>
      <c r="C320" s="750" t="s">
        <v>620</v>
      </c>
      <c r="D320" s="749" t="s">
        <v>475</v>
      </c>
      <c r="E320" s="749" t="s">
        <v>621</v>
      </c>
      <c r="F320" s="1008" t="s">
        <v>1268</v>
      </c>
      <c r="G320" s="1009"/>
      <c r="H320" s="751" t="s">
        <v>484</v>
      </c>
      <c r="I320" s="791">
        <v>0.61901200000000001</v>
      </c>
      <c r="J320" s="802">
        <v>28.5</v>
      </c>
      <c r="K320" s="779">
        <v>17.64</v>
      </c>
      <c r="L320" s="822">
        <v>26.87</v>
      </c>
      <c r="M320" s="753">
        <v>16.63</v>
      </c>
    </row>
    <row r="321" spans="2:13" ht="31.5" x14ac:dyDescent="0.25">
      <c r="B321" s="765" t="s">
        <v>487</v>
      </c>
      <c r="C321" s="750" t="s">
        <v>1160</v>
      </c>
      <c r="D321" s="749" t="s">
        <v>475</v>
      </c>
      <c r="E321" s="749" t="s">
        <v>1161</v>
      </c>
      <c r="F321" s="1008" t="s">
        <v>490</v>
      </c>
      <c r="G321" s="1009"/>
      <c r="H321" s="751" t="s">
        <v>2</v>
      </c>
      <c r="I321" s="791">
        <v>1.1000000000000001</v>
      </c>
      <c r="J321" s="802">
        <v>113.37</v>
      </c>
      <c r="K321" s="779">
        <v>124.7</v>
      </c>
      <c r="L321" s="822">
        <v>113.37</v>
      </c>
      <c r="M321" s="753">
        <v>124.7</v>
      </c>
    </row>
    <row r="322" spans="2:13" x14ac:dyDescent="0.25">
      <c r="B322" s="823"/>
      <c r="C322" s="744"/>
      <c r="D322" s="744"/>
      <c r="E322" s="744"/>
      <c r="F322" s="744" t="s">
        <v>498</v>
      </c>
      <c r="G322" s="745">
        <v>50</v>
      </c>
      <c r="H322" s="744" t="s">
        <v>499</v>
      </c>
      <c r="I322" s="787">
        <v>0</v>
      </c>
      <c r="J322" s="823" t="s">
        <v>500</v>
      </c>
      <c r="K322" s="787">
        <v>50</v>
      </c>
      <c r="L322" s="744" t="s">
        <v>500</v>
      </c>
      <c r="M322" s="745">
        <v>46.25</v>
      </c>
    </row>
    <row r="323" spans="2:13" ht="14.25" customHeight="1" x14ac:dyDescent="0.25">
      <c r="B323" s="823"/>
      <c r="C323" s="744"/>
      <c r="D323" s="744"/>
      <c r="E323" s="744"/>
      <c r="F323" s="744" t="s">
        <v>501</v>
      </c>
      <c r="G323" s="745">
        <v>57.27</v>
      </c>
      <c r="H323" s="744"/>
      <c r="I323" s="812" t="s">
        <v>502</v>
      </c>
      <c r="J323" s="793"/>
      <c r="K323" s="787">
        <v>284.27999999999997</v>
      </c>
      <c r="L323" s="746"/>
      <c r="M323" s="745">
        <v>291.72000000000003</v>
      </c>
    </row>
    <row r="324" spans="2:13" ht="50.1" customHeight="1" thickBot="1" x14ac:dyDescent="0.3">
      <c r="B324" s="776"/>
      <c r="C324" s="747"/>
      <c r="D324" s="747"/>
      <c r="E324" s="747"/>
      <c r="F324" s="747"/>
      <c r="G324" s="747"/>
      <c r="H324" s="747" t="s">
        <v>503</v>
      </c>
      <c r="I324" s="806" t="s">
        <v>1352</v>
      </c>
      <c r="J324" s="776" t="s">
        <v>504</v>
      </c>
      <c r="K324" s="807">
        <v>59926.22</v>
      </c>
      <c r="L324" s="747" t="s">
        <v>504</v>
      </c>
      <c r="M324" s="748">
        <v>61494.57</v>
      </c>
    </row>
    <row r="325" spans="2:13" ht="16.5" thickTop="1" x14ac:dyDescent="0.25">
      <c r="B325" s="768"/>
      <c r="C325" s="757"/>
      <c r="D325" s="757"/>
      <c r="E325" s="757"/>
      <c r="F325" s="757"/>
      <c r="G325" s="757"/>
      <c r="H325" s="757"/>
      <c r="I325" s="766"/>
      <c r="J325" s="768"/>
      <c r="K325" s="766"/>
      <c r="L325" s="757"/>
      <c r="M325" s="757"/>
    </row>
    <row r="326" spans="2:13" ht="18" customHeight="1" x14ac:dyDescent="0.25">
      <c r="B326" s="805" t="s">
        <v>954</v>
      </c>
      <c r="C326" s="736" t="s">
        <v>391</v>
      </c>
      <c r="D326" s="735" t="s">
        <v>392</v>
      </c>
      <c r="E326" s="735" t="s">
        <v>42</v>
      </c>
      <c r="F326" s="1004" t="s">
        <v>39</v>
      </c>
      <c r="G326" s="1005"/>
      <c r="H326" s="738" t="s">
        <v>394</v>
      </c>
      <c r="I326" s="767" t="s">
        <v>395</v>
      </c>
      <c r="J326" s="808" t="s">
        <v>396</v>
      </c>
      <c r="K326" s="767" t="s">
        <v>0</v>
      </c>
      <c r="L326" s="782" t="s">
        <v>396</v>
      </c>
      <c r="M326" s="736" t="s">
        <v>0</v>
      </c>
    </row>
    <row r="327" spans="2:13" ht="51.95" customHeight="1" x14ac:dyDescent="0.25">
      <c r="B327" s="789" t="s">
        <v>473</v>
      </c>
      <c r="C327" s="740" t="s">
        <v>599</v>
      </c>
      <c r="D327" s="739" t="s">
        <v>475</v>
      </c>
      <c r="E327" s="739" t="s">
        <v>600</v>
      </c>
      <c r="F327" s="1010" t="s">
        <v>1289</v>
      </c>
      <c r="G327" s="1011"/>
      <c r="H327" s="742" t="s">
        <v>2</v>
      </c>
      <c r="I327" s="803">
        <v>1</v>
      </c>
      <c r="J327" s="799">
        <v>7.03</v>
      </c>
      <c r="K327" s="814">
        <v>7.03</v>
      </c>
      <c r="L327" s="778">
        <v>6.95</v>
      </c>
      <c r="M327" s="743">
        <v>6.95</v>
      </c>
    </row>
    <row r="328" spans="2:13" ht="39" customHeight="1" x14ac:dyDescent="0.25">
      <c r="B328" s="765" t="s">
        <v>478</v>
      </c>
      <c r="C328" s="750" t="s">
        <v>595</v>
      </c>
      <c r="D328" s="749" t="s">
        <v>475</v>
      </c>
      <c r="E328" s="749" t="s">
        <v>596</v>
      </c>
      <c r="F328" s="1008" t="s">
        <v>1285</v>
      </c>
      <c r="G328" s="1009"/>
      <c r="H328" s="751" t="s">
        <v>564</v>
      </c>
      <c r="I328" s="791">
        <v>4.1999999999999997E-3</v>
      </c>
      <c r="J328" s="802">
        <v>251.7</v>
      </c>
      <c r="K328" s="779">
        <v>1.05</v>
      </c>
      <c r="L328" s="822">
        <v>249.57</v>
      </c>
      <c r="M328" s="753">
        <v>1.04</v>
      </c>
    </row>
    <row r="329" spans="2:13" ht="65.099999999999994" customHeight="1" x14ac:dyDescent="0.25">
      <c r="B329" s="765" t="s">
        <v>478</v>
      </c>
      <c r="C329" s="750" t="s">
        <v>603</v>
      </c>
      <c r="D329" s="749" t="s">
        <v>475</v>
      </c>
      <c r="E329" s="749" t="s">
        <v>604</v>
      </c>
      <c r="F329" s="1008" t="s">
        <v>1285</v>
      </c>
      <c r="G329" s="1009"/>
      <c r="H329" s="751" t="s">
        <v>592</v>
      </c>
      <c r="I329" s="791">
        <v>1.2E-2</v>
      </c>
      <c r="J329" s="802">
        <v>74.48</v>
      </c>
      <c r="K329" s="779">
        <v>0.89</v>
      </c>
      <c r="L329" s="822">
        <v>72.81</v>
      </c>
      <c r="M329" s="753">
        <v>0.87</v>
      </c>
    </row>
    <row r="330" spans="2:13" ht="65.099999999999994" customHeight="1" x14ac:dyDescent="0.25">
      <c r="B330" s="765" t="s">
        <v>478</v>
      </c>
      <c r="C330" s="750" t="s">
        <v>601</v>
      </c>
      <c r="D330" s="749" t="s">
        <v>475</v>
      </c>
      <c r="E330" s="749" t="s">
        <v>602</v>
      </c>
      <c r="F330" s="1008" t="s">
        <v>1285</v>
      </c>
      <c r="G330" s="1009"/>
      <c r="H330" s="751" t="s">
        <v>564</v>
      </c>
      <c r="I330" s="791">
        <v>1.5699999999999999E-2</v>
      </c>
      <c r="J330" s="802">
        <v>270.25</v>
      </c>
      <c r="K330" s="779">
        <v>4.24</v>
      </c>
      <c r="L330" s="822">
        <v>268.58</v>
      </c>
      <c r="M330" s="753">
        <v>4.21</v>
      </c>
    </row>
    <row r="331" spans="2:13" ht="39" customHeight="1" x14ac:dyDescent="0.25">
      <c r="B331" s="765" t="s">
        <v>478</v>
      </c>
      <c r="C331" s="750" t="s">
        <v>597</v>
      </c>
      <c r="D331" s="749" t="s">
        <v>475</v>
      </c>
      <c r="E331" s="749" t="s">
        <v>598</v>
      </c>
      <c r="F331" s="1008" t="s">
        <v>1285</v>
      </c>
      <c r="G331" s="1009"/>
      <c r="H331" s="751" t="s">
        <v>592</v>
      </c>
      <c r="I331" s="791">
        <v>8.6999999999999994E-3</v>
      </c>
      <c r="J331" s="802">
        <v>98.52</v>
      </c>
      <c r="K331" s="779">
        <v>0.85</v>
      </c>
      <c r="L331" s="822">
        <v>96.39</v>
      </c>
      <c r="M331" s="753">
        <v>0.83</v>
      </c>
    </row>
    <row r="332" spans="2:13" x14ac:dyDescent="0.25">
      <c r="B332" s="823"/>
      <c r="C332" s="744"/>
      <c r="D332" s="744"/>
      <c r="E332" s="744"/>
      <c r="F332" s="744" t="s">
        <v>498</v>
      </c>
      <c r="G332" s="745">
        <v>0.95</v>
      </c>
      <c r="H332" s="744" t="s">
        <v>499</v>
      </c>
      <c r="I332" s="787">
        <v>0</v>
      </c>
      <c r="J332" s="823" t="s">
        <v>500</v>
      </c>
      <c r="K332" s="787">
        <v>0.95</v>
      </c>
      <c r="L332" s="744" t="s">
        <v>500</v>
      </c>
      <c r="M332" s="745">
        <v>0.9</v>
      </c>
    </row>
    <row r="333" spans="2:13" ht="14.25" customHeight="1" x14ac:dyDescent="0.25">
      <c r="B333" s="823"/>
      <c r="C333" s="744"/>
      <c r="D333" s="744"/>
      <c r="E333" s="744"/>
      <c r="F333" s="744" t="s">
        <v>501</v>
      </c>
      <c r="G333" s="745">
        <v>1.77</v>
      </c>
      <c r="H333" s="744"/>
      <c r="I333" s="812" t="s">
        <v>502</v>
      </c>
      <c r="J333" s="793"/>
      <c r="K333" s="787">
        <v>8.8000000000000007</v>
      </c>
      <c r="L333" s="746"/>
      <c r="M333" s="745">
        <v>9.08</v>
      </c>
    </row>
    <row r="334" spans="2:13" ht="50.1" customHeight="1" thickBot="1" x14ac:dyDescent="0.3">
      <c r="B334" s="776"/>
      <c r="C334" s="747"/>
      <c r="D334" s="747"/>
      <c r="E334" s="747"/>
      <c r="F334" s="747"/>
      <c r="G334" s="747"/>
      <c r="H334" s="747" t="s">
        <v>503</v>
      </c>
      <c r="I334" s="806" t="s">
        <v>1353</v>
      </c>
      <c r="J334" s="776" t="s">
        <v>504</v>
      </c>
      <c r="K334" s="807">
        <v>2040.54</v>
      </c>
      <c r="L334" s="747" t="s">
        <v>504</v>
      </c>
      <c r="M334" s="748">
        <v>2105.4699999999998</v>
      </c>
    </row>
    <row r="335" spans="2:13" ht="16.5" thickTop="1" x14ac:dyDescent="0.25">
      <c r="B335" s="768"/>
      <c r="C335" s="757"/>
      <c r="D335" s="757"/>
      <c r="E335" s="757"/>
      <c r="F335" s="757"/>
      <c r="G335" s="757"/>
      <c r="H335" s="757"/>
      <c r="I335" s="766"/>
      <c r="J335" s="768"/>
      <c r="K335" s="766"/>
      <c r="L335" s="757"/>
      <c r="M335" s="757"/>
    </row>
    <row r="336" spans="2:13" ht="18" customHeight="1" x14ac:dyDescent="0.25">
      <c r="B336" s="805" t="s">
        <v>1162</v>
      </c>
      <c r="C336" s="736" t="s">
        <v>391</v>
      </c>
      <c r="D336" s="735" t="s">
        <v>392</v>
      </c>
      <c r="E336" s="735" t="s">
        <v>42</v>
      </c>
      <c r="F336" s="1004" t="s">
        <v>39</v>
      </c>
      <c r="G336" s="1005"/>
      <c r="H336" s="738" t="s">
        <v>394</v>
      </c>
      <c r="I336" s="767" t="s">
        <v>395</v>
      </c>
      <c r="J336" s="808" t="s">
        <v>396</v>
      </c>
      <c r="K336" s="767" t="s">
        <v>0</v>
      </c>
      <c r="L336" s="782" t="s">
        <v>396</v>
      </c>
      <c r="M336" s="736" t="s">
        <v>0</v>
      </c>
    </row>
    <row r="337" spans="2:13" ht="39" customHeight="1" x14ac:dyDescent="0.25">
      <c r="B337" s="789" t="s">
        <v>473</v>
      </c>
      <c r="C337" s="740" t="s">
        <v>605</v>
      </c>
      <c r="D337" s="739" t="s">
        <v>475</v>
      </c>
      <c r="E337" s="739" t="s">
        <v>731</v>
      </c>
      <c r="F337" s="1010" t="s">
        <v>1289</v>
      </c>
      <c r="G337" s="1011"/>
      <c r="H337" s="742" t="s">
        <v>606</v>
      </c>
      <c r="I337" s="803">
        <v>1</v>
      </c>
      <c r="J337" s="799">
        <v>2.5</v>
      </c>
      <c r="K337" s="814">
        <v>2.5</v>
      </c>
      <c r="L337" s="778">
        <v>2.48</v>
      </c>
      <c r="M337" s="743">
        <v>2.48</v>
      </c>
    </row>
    <row r="338" spans="2:13" ht="65.099999999999994" customHeight="1" x14ac:dyDescent="0.25">
      <c r="B338" s="765" t="s">
        <v>478</v>
      </c>
      <c r="C338" s="750" t="s">
        <v>603</v>
      </c>
      <c r="D338" s="749" t="s">
        <v>475</v>
      </c>
      <c r="E338" s="749" t="s">
        <v>604</v>
      </c>
      <c r="F338" s="1008" t="s">
        <v>1285</v>
      </c>
      <c r="G338" s="1009"/>
      <c r="H338" s="751" t="s">
        <v>592</v>
      </c>
      <c r="I338" s="791">
        <v>3.5999999999999999E-3</v>
      </c>
      <c r="J338" s="802">
        <v>74.48</v>
      </c>
      <c r="K338" s="779">
        <v>0.26</v>
      </c>
      <c r="L338" s="822">
        <v>72.81</v>
      </c>
      <c r="M338" s="753">
        <v>0.26</v>
      </c>
    </row>
    <row r="339" spans="2:13" ht="65.099999999999994" customHeight="1" x14ac:dyDescent="0.25">
      <c r="B339" s="765" t="s">
        <v>478</v>
      </c>
      <c r="C339" s="750" t="s">
        <v>601</v>
      </c>
      <c r="D339" s="749" t="s">
        <v>475</v>
      </c>
      <c r="E339" s="749" t="s">
        <v>602</v>
      </c>
      <c r="F339" s="1008" t="s">
        <v>1285</v>
      </c>
      <c r="G339" s="1009"/>
      <c r="H339" s="751" t="s">
        <v>564</v>
      </c>
      <c r="I339" s="791">
        <v>8.3000000000000001E-3</v>
      </c>
      <c r="J339" s="802">
        <v>270.25</v>
      </c>
      <c r="K339" s="779">
        <v>2.2400000000000002</v>
      </c>
      <c r="L339" s="822">
        <v>268.58</v>
      </c>
      <c r="M339" s="753">
        <v>2.2200000000000002</v>
      </c>
    </row>
    <row r="340" spans="2:13" x14ac:dyDescent="0.25">
      <c r="B340" s="823"/>
      <c r="C340" s="744"/>
      <c r="D340" s="744"/>
      <c r="E340" s="744"/>
      <c r="F340" s="744" t="s">
        <v>498</v>
      </c>
      <c r="G340" s="745">
        <v>0.25</v>
      </c>
      <c r="H340" s="744" t="s">
        <v>499</v>
      </c>
      <c r="I340" s="787">
        <v>0</v>
      </c>
      <c r="J340" s="823" t="s">
        <v>500</v>
      </c>
      <c r="K340" s="787">
        <v>0.25</v>
      </c>
      <c r="L340" s="744" t="s">
        <v>500</v>
      </c>
      <c r="M340" s="745">
        <v>0.24</v>
      </c>
    </row>
    <row r="341" spans="2:13" ht="14.25" customHeight="1" x14ac:dyDescent="0.25">
      <c r="B341" s="823"/>
      <c r="C341" s="744"/>
      <c r="D341" s="744"/>
      <c r="E341" s="744"/>
      <c r="F341" s="744" t="s">
        <v>501</v>
      </c>
      <c r="G341" s="745">
        <v>0.63</v>
      </c>
      <c r="H341" s="744"/>
      <c r="I341" s="812" t="s">
        <v>502</v>
      </c>
      <c r="J341" s="793"/>
      <c r="K341" s="787">
        <v>3.13</v>
      </c>
      <c r="L341" s="746"/>
      <c r="M341" s="745">
        <v>3.24</v>
      </c>
    </row>
    <row r="342" spans="2:13" ht="50.1" customHeight="1" thickBot="1" x14ac:dyDescent="0.3">
      <c r="B342" s="776"/>
      <c r="C342" s="747"/>
      <c r="D342" s="747"/>
      <c r="E342" s="747"/>
      <c r="F342" s="747"/>
      <c r="G342" s="747"/>
      <c r="H342" s="747" t="s">
        <v>503</v>
      </c>
      <c r="I342" s="806" t="s">
        <v>1491</v>
      </c>
      <c r="J342" s="776" t="s">
        <v>504</v>
      </c>
      <c r="K342" s="807">
        <v>13209.25</v>
      </c>
      <c r="L342" s="747" t="s">
        <v>504</v>
      </c>
      <c r="M342" s="748">
        <v>13673.48</v>
      </c>
    </row>
    <row r="343" spans="2:13" ht="16.5" thickTop="1" x14ac:dyDescent="0.25">
      <c r="B343" s="768"/>
      <c r="C343" s="757"/>
      <c r="D343" s="757"/>
      <c r="E343" s="757"/>
      <c r="F343" s="757"/>
      <c r="G343" s="757"/>
      <c r="H343" s="757"/>
      <c r="I343" s="766"/>
      <c r="J343" s="768"/>
      <c r="K343" s="766"/>
      <c r="L343" s="757"/>
      <c r="M343" s="757"/>
    </row>
    <row r="344" spans="2:13" ht="18" customHeight="1" x14ac:dyDescent="0.25">
      <c r="B344" s="805" t="s">
        <v>1163</v>
      </c>
      <c r="C344" s="736" t="s">
        <v>391</v>
      </c>
      <c r="D344" s="735" t="s">
        <v>392</v>
      </c>
      <c r="E344" s="735" t="s">
        <v>42</v>
      </c>
      <c r="F344" s="1004" t="s">
        <v>39</v>
      </c>
      <c r="G344" s="1005"/>
      <c r="H344" s="738" t="s">
        <v>394</v>
      </c>
      <c r="I344" s="767" t="s">
        <v>395</v>
      </c>
      <c r="J344" s="808" t="s">
        <v>396</v>
      </c>
      <c r="K344" s="767" t="s">
        <v>0</v>
      </c>
      <c r="L344" s="782" t="s">
        <v>396</v>
      </c>
      <c r="M344" s="736" t="s">
        <v>0</v>
      </c>
    </row>
    <row r="345" spans="2:13" ht="65.099999999999994" customHeight="1" x14ac:dyDescent="0.25">
      <c r="B345" s="789" t="s">
        <v>473</v>
      </c>
      <c r="C345" s="740" t="s">
        <v>626</v>
      </c>
      <c r="D345" s="739" t="s">
        <v>475</v>
      </c>
      <c r="E345" s="739" t="s">
        <v>627</v>
      </c>
      <c r="F345" s="1010" t="s">
        <v>1293</v>
      </c>
      <c r="G345" s="1011"/>
      <c r="H345" s="742" t="s">
        <v>2</v>
      </c>
      <c r="I345" s="803">
        <v>1</v>
      </c>
      <c r="J345" s="799">
        <v>18.77</v>
      </c>
      <c r="K345" s="814">
        <v>18.77</v>
      </c>
      <c r="L345" s="778">
        <v>18.18</v>
      </c>
      <c r="M345" s="743">
        <v>18.18</v>
      </c>
    </row>
    <row r="346" spans="2:13" ht="65.099999999999994" customHeight="1" x14ac:dyDescent="0.25">
      <c r="B346" s="765" t="s">
        <v>478</v>
      </c>
      <c r="C346" s="750" t="s">
        <v>590</v>
      </c>
      <c r="D346" s="749" t="s">
        <v>475</v>
      </c>
      <c r="E346" s="749" t="s">
        <v>591</v>
      </c>
      <c r="F346" s="1008" t="s">
        <v>1285</v>
      </c>
      <c r="G346" s="1009"/>
      <c r="H346" s="751" t="s">
        <v>592</v>
      </c>
      <c r="I346" s="791">
        <v>5.5100000000000003E-2</v>
      </c>
      <c r="J346" s="802">
        <v>67.239999999999995</v>
      </c>
      <c r="K346" s="779">
        <v>3.7</v>
      </c>
      <c r="L346" s="822">
        <v>65.11</v>
      </c>
      <c r="M346" s="753">
        <v>3.58</v>
      </c>
    </row>
    <row r="347" spans="2:13" ht="24" customHeight="1" x14ac:dyDescent="0.25">
      <c r="B347" s="765" t="s">
        <v>478</v>
      </c>
      <c r="C347" s="750" t="s">
        <v>485</v>
      </c>
      <c r="D347" s="749" t="s">
        <v>475</v>
      </c>
      <c r="E347" s="749" t="s">
        <v>486</v>
      </c>
      <c r="F347" s="1008" t="s">
        <v>1268</v>
      </c>
      <c r="G347" s="1009"/>
      <c r="H347" s="751" t="s">
        <v>484</v>
      </c>
      <c r="I347" s="791">
        <v>5.21E-2</v>
      </c>
      <c r="J347" s="802">
        <v>22.76</v>
      </c>
      <c r="K347" s="779">
        <v>1.18</v>
      </c>
      <c r="L347" s="822">
        <v>21.55</v>
      </c>
      <c r="M347" s="753">
        <v>1.1200000000000001</v>
      </c>
    </row>
    <row r="348" spans="2:13" ht="39" customHeight="1" x14ac:dyDescent="0.25">
      <c r="B348" s="765" t="s">
        <v>478</v>
      </c>
      <c r="C348" s="750" t="s">
        <v>622</v>
      </c>
      <c r="D348" s="749" t="s">
        <v>475</v>
      </c>
      <c r="E348" s="749" t="s">
        <v>623</v>
      </c>
      <c r="F348" s="1008" t="s">
        <v>1285</v>
      </c>
      <c r="G348" s="1009"/>
      <c r="H348" s="751" t="s">
        <v>564</v>
      </c>
      <c r="I348" s="791">
        <v>0.16339999999999999</v>
      </c>
      <c r="J348" s="802">
        <v>39.04</v>
      </c>
      <c r="K348" s="779">
        <v>6.37</v>
      </c>
      <c r="L348" s="822">
        <v>37.14</v>
      </c>
      <c r="M348" s="753">
        <v>6.06</v>
      </c>
    </row>
    <row r="349" spans="2:13" ht="65.099999999999994" customHeight="1" x14ac:dyDescent="0.25">
      <c r="B349" s="765" t="s">
        <v>478</v>
      </c>
      <c r="C349" s="750" t="s">
        <v>588</v>
      </c>
      <c r="D349" s="749" t="s">
        <v>475</v>
      </c>
      <c r="E349" s="749" t="s">
        <v>589</v>
      </c>
      <c r="F349" s="1008" t="s">
        <v>1285</v>
      </c>
      <c r="G349" s="1009"/>
      <c r="H349" s="751" t="s">
        <v>564</v>
      </c>
      <c r="I349" s="791">
        <v>3.8199999999999998E-2</v>
      </c>
      <c r="J349" s="802">
        <v>150.82</v>
      </c>
      <c r="K349" s="779">
        <v>5.76</v>
      </c>
      <c r="L349" s="822">
        <v>148.69</v>
      </c>
      <c r="M349" s="753">
        <v>5.67</v>
      </c>
    </row>
    <row r="350" spans="2:13" ht="65.099999999999994" customHeight="1" x14ac:dyDescent="0.25">
      <c r="B350" s="765" t="s">
        <v>478</v>
      </c>
      <c r="C350" s="750" t="s">
        <v>628</v>
      </c>
      <c r="D350" s="749" t="s">
        <v>475</v>
      </c>
      <c r="E350" s="749" t="s">
        <v>629</v>
      </c>
      <c r="F350" s="1008" t="s">
        <v>1285</v>
      </c>
      <c r="G350" s="1009"/>
      <c r="H350" s="751" t="s">
        <v>564</v>
      </c>
      <c r="I350" s="791">
        <v>5.4000000000000003E-3</v>
      </c>
      <c r="J350" s="802">
        <v>319.69</v>
      </c>
      <c r="K350" s="779">
        <v>1.72</v>
      </c>
      <c r="L350" s="822">
        <v>318.08999999999997</v>
      </c>
      <c r="M350" s="753">
        <v>1.71</v>
      </c>
    </row>
    <row r="351" spans="2:13" ht="65.099999999999994" customHeight="1" x14ac:dyDescent="0.25">
      <c r="B351" s="765" t="s">
        <v>478</v>
      </c>
      <c r="C351" s="750" t="s">
        <v>630</v>
      </c>
      <c r="D351" s="749" t="s">
        <v>475</v>
      </c>
      <c r="E351" s="749" t="s">
        <v>631</v>
      </c>
      <c r="F351" s="1008" t="s">
        <v>1285</v>
      </c>
      <c r="G351" s="1009"/>
      <c r="H351" s="751" t="s">
        <v>592</v>
      </c>
      <c r="I351" s="791">
        <v>5.9999999999999995E-4</v>
      </c>
      <c r="J351" s="802">
        <v>74.08</v>
      </c>
      <c r="K351" s="779">
        <v>0.04</v>
      </c>
      <c r="L351" s="822">
        <v>72.48</v>
      </c>
      <c r="M351" s="753">
        <v>0.04</v>
      </c>
    </row>
    <row r="352" spans="2:13" x14ac:dyDescent="0.25">
      <c r="B352" s="823"/>
      <c r="C352" s="744"/>
      <c r="D352" s="744"/>
      <c r="E352" s="744"/>
      <c r="F352" s="744" t="s">
        <v>498</v>
      </c>
      <c r="G352" s="745">
        <v>7.76</v>
      </c>
      <c r="H352" s="744" t="s">
        <v>499</v>
      </c>
      <c r="I352" s="787">
        <v>0</v>
      </c>
      <c r="J352" s="823" t="s">
        <v>500</v>
      </c>
      <c r="K352" s="787">
        <v>7.76</v>
      </c>
      <c r="L352" s="744" t="s">
        <v>500</v>
      </c>
      <c r="M352" s="745">
        <v>7.18</v>
      </c>
    </row>
    <row r="353" spans="2:13" ht="14.25" customHeight="1" x14ac:dyDescent="0.25">
      <c r="B353" s="823"/>
      <c r="C353" s="744"/>
      <c r="D353" s="744"/>
      <c r="E353" s="744"/>
      <c r="F353" s="744" t="s">
        <v>501</v>
      </c>
      <c r="G353" s="745">
        <v>4.7300000000000004</v>
      </c>
      <c r="H353" s="744"/>
      <c r="I353" s="812" t="s">
        <v>502</v>
      </c>
      <c r="J353" s="793"/>
      <c r="K353" s="787">
        <v>23.5</v>
      </c>
      <c r="L353" s="746"/>
      <c r="M353" s="745">
        <v>23.75</v>
      </c>
    </row>
    <row r="354" spans="2:13" ht="50.1" customHeight="1" thickBot="1" x14ac:dyDescent="0.3">
      <c r="B354" s="776"/>
      <c r="C354" s="747"/>
      <c r="D354" s="747"/>
      <c r="E354" s="747"/>
      <c r="F354" s="747"/>
      <c r="G354" s="747"/>
      <c r="H354" s="747" t="s">
        <v>503</v>
      </c>
      <c r="I354" s="806" t="s">
        <v>1354</v>
      </c>
      <c r="J354" s="776" t="s">
        <v>504</v>
      </c>
      <c r="K354" s="807">
        <v>23938.27</v>
      </c>
      <c r="L354" s="747" t="s">
        <v>504</v>
      </c>
      <c r="M354" s="748">
        <v>24192.93</v>
      </c>
    </row>
    <row r="355" spans="2:13" ht="16.5" thickTop="1" x14ac:dyDescent="0.25">
      <c r="B355" s="768"/>
      <c r="C355" s="757"/>
      <c r="D355" s="757"/>
      <c r="E355" s="757"/>
      <c r="F355" s="757"/>
      <c r="G355" s="757"/>
      <c r="H355" s="757"/>
      <c r="I355" s="766"/>
      <c r="J355" s="768"/>
      <c r="K355" s="766"/>
      <c r="L355" s="757"/>
      <c r="M355" s="757"/>
    </row>
    <row r="356" spans="2:13" ht="18" customHeight="1" x14ac:dyDescent="0.25">
      <c r="B356" s="805" t="s">
        <v>1164</v>
      </c>
      <c r="C356" s="736" t="s">
        <v>391</v>
      </c>
      <c r="D356" s="735" t="s">
        <v>392</v>
      </c>
      <c r="E356" s="735" t="s">
        <v>42</v>
      </c>
      <c r="F356" s="1004" t="s">
        <v>39</v>
      </c>
      <c r="G356" s="1005"/>
      <c r="H356" s="738" t="s">
        <v>394</v>
      </c>
      <c r="I356" s="767" t="s">
        <v>395</v>
      </c>
      <c r="J356" s="808" t="s">
        <v>396</v>
      </c>
      <c r="K356" s="767" t="s">
        <v>0</v>
      </c>
      <c r="L356" s="782" t="s">
        <v>396</v>
      </c>
      <c r="M356" s="736" t="s">
        <v>0</v>
      </c>
    </row>
    <row r="357" spans="2:13" ht="65.099999999999994" customHeight="1" x14ac:dyDescent="0.25">
      <c r="B357" s="789" t="s">
        <v>473</v>
      </c>
      <c r="C357" s="740" t="s">
        <v>632</v>
      </c>
      <c r="D357" s="739" t="s">
        <v>475</v>
      </c>
      <c r="E357" s="739" t="s">
        <v>633</v>
      </c>
      <c r="F357" s="1010" t="s">
        <v>1293</v>
      </c>
      <c r="G357" s="1011"/>
      <c r="H357" s="742" t="s">
        <v>2</v>
      </c>
      <c r="I357" s="803">
        <v>1</v>
      </c>
      <c r="J357" s="799">
        <v>17.02</v>
      </c>
      <c r="K357" s="814">
        <v>17.02</v>
      </c>
      <c r="L357" s="778">
        <v>16.579999999999998</v>
      </c>
      <c r="M357" s="743">
        <v>16.579999999999998</v>
      </c>
    </row>
    <row r="358" spans="2:13" ht="39" customHeight="1" x14ac:dyDescent="0.25">
      <c r="B358" s="765" t="s">
        <v>478</v>
      </c>
      <c r="C358" s="750" t="s">
        <v>622</v>
      </c>
      <c r="D358" s="749" t="s">
        <v>475</v>
      </c>
      <c r="E358" s="749" t="s">
        <v>623</v>
      </c>
      <c r="F358" s="1008" t="s">
        <v>1285</v>
      </c>
      <c r="G358" s="1009"/>
      <c r="H358" s="751" t="s">
        <v>564</v>
      </c>
      <c r="I358" s="791">
        <v>0.12520000000000001</v>
      </c>
      <c r="J358" s="802">
        <v>39.04</v>
      </c>
      <c r="K358" s="779">
        <v>4.88</v>
      </c>
      <c r="L358" s="822">
        <v>37.14</v>
      </c>
      <c r="M358" s="753">
        <v>4.6399999999999997</v>
      </c>
    </row>
    <row r="359" spans="2:13" ht="65.099999999999994" customHeight="1" x14ac:dyDescent="0.25">
      <c r="B359" s="765" t="s">
        <v>478</v>
      </c>
      <c r="C359" s="750" t="s">
        <v>628</v>
      </c>
      <c r="D359" s="749" t="s">
        <v>475</v>
      </c>
      <c r="E359" s="749" t="s">
        <v>629</v>
      </c>
      <c r="F359" s="1008" t="s">
        <v>1285</v>
      </c>
      <c r="G359" s="1009"/>
      <c r="H359" s="751" t="s">
        <v>564</v>
      </c>
      <c r="I359" s="791">
        <v>5.4000000000000003E-3</v>
      </c>
      <c r="J359" s="802">
        <v>319.69</v>
      </c>
      <c r="K359" s="779">
        <v>1.72</v>
      </c>
      <c r="L359" s="822">
        <v>318.08999999999997</v>
      </c>
      <c r="M359" s="753">
        <v>1.71</v>
      </c>
    </row>
    <row r="360" spans="2:13" ht="65.099999999999994" customHeight="1" x14ac:dyDescent="0.25">
      <c r="B360" s="765" t="s">
        <v>478</v>
      </c>
      <c r="C360" s="750" t="s">
        <v>630</v>
      </c>
      <c r="D360" s="749" t="s">
        <v>475</v>
      </c>
      <c r="E360" s="749" t="s">
        <v>631</v>
      </c>
      <c r="F360" s="1008" t="s">
        <v>1285</v>
      </c>
      <c r="G360" s="1009"/>
      <c r="H360" s="751" t="s">
        <v>592</v>
      </c>
      <c r="I360" s="791">
        <v>5.9999999999999995E-4</v>
      </c>
      <c r="J360" s="802">
        <v>74.08</v>
      </c>
      <c r="K360" s="779">
        <v>0.04</v>
      </c>
      <c r="L360" s="822">
        <v>72.48</v>
      </c>
      <c r="M360" s="753">
        <v>0.04</v>
      </c>
    </row>
    <row r="361" spans="2:13" ht="39" customHeight="1" x14ac:dyDescent="0.25">
      <c r="B361" s="765" t="s">
        <v>478</v>
      </c>
      <c r="C361" s="750" t="s">
        <v>636</v>
      </c>
      <c r="D361" s="749" t="s">
        <v>475</v>
      </c>
      <c r="E361" s="749" t="s">
        <v>637</v>
      </c>
      <c r="F361" s="1008" t="s">
        <v>1285</v>
      </c>
      <c r="G361" s="1009"/>
      <c r="H361" s="751" t="s">
        <v>592</v>
      </c>
      <c r="I361" s="791">
        <v>4.02E-2</v>
      </c>
      <c r="J361" s="802">
        <v>91.03</v>
      </c>
      <c r="K361" s="779">
        <v>3.65</v>
      </c>
      <c r="L361" s="822">
        <v>88.9</v>
      </c>
      <c r="M361" s="753">
        <v>3.57</v>
      </c>
    </row>
    <row r="362" spans="2:13" ht="39" customHeight="1" x14ac:dyDescent="0.25">
      <c r="B362" s="765" t="s">
        <v>478</v>
      </c>
      <c r="C362" s="750" t="s">
        <v>634</v>
      </c>
      <c r="D362" s="749" t="s">
        <v>475</v>
      </c>
      <c r="E362" s="749" t="s">
        <v>635</v>
      </c>
      <c r="F362" s="1008" t="s">
        <v>1285</v>
      </c>
      <c r="G362" s="1009"/>
      <c r="H362" s="751" t="s">
        <v>564</v>
      </c>
      <c r="I362" s="791">
        <v>2.7799999999999998E-2</v>
      </c>
      <c r="J362" s="802">
        <v>211.46</v>
      </c>
      <c r="K362" s="779">
        <v>5.87</v>
      </c>
      <c r="L362" s="822">
        <v>209.33</v>
      </c>
      <c r="M362" s="753">
        <v>5.81</v>
      </c>
    </row>
    <row r="363" spans="2:13" ht="24" customHeight="1" x14ac:dyDescent="0.25">
      <c r="B363" s="765" t="s">
        <v>478</v>
      </c>
      <c r="C363" s="750" t="s">
        <v>485</v>
      </c>
      <c r="D363" s="749" t="s">
        <v>475</v>
      </c>
      <c r="E363" s="749" t="s">
        <v>486</v>
      </c>
      <c r="F363" s="1008" t="s">
        <v>1268</v>
      </c>
      <c r="G363" s="1009"/>
      <c r="H363" s="751" t="s">
        <v>484</v>
      </c>
      <c r="I363" s="791">
        <v>3.7900000000000003E-2</v>
      </c>
      <c r="J363" s="802">
        <v>22.76</v>
      </c>
      <c r="K363" s="779">
        <v>0.86</v>
      </c>
      <c r="L363" s="822">
        <v>21.55</v>
      </c>
      <c r="M363" s="753">
        <v>0.81</v>
      </c>
    </row>
    <row r="364" spans="2:13" x14ac:dyDescent="0.25">
      <c r="B364" s="823"/>
      <c r="C364" s="744"/>
      <c r="D364" s="744"/>
      <c r="E364" s="744"/>
      <c r="F364" s="744" t="s">
        <v>498</v>
      </c>
      <c r="G364" s="745">
        <v>5.83</v>
      </c>
      <c r="H364" s="744" t="s">
        <v>499</v>
      </c>
      <c r="I364" s="787">
        <v>0</v>
      </c>
      <c r="J364" s="823" t="s">
        <v>500</v>
      </c>
      <c r="K364" s="787">
        <v>5.83</v>
      </c>
      <c r="L364" s="744" t="s">
        <v>500</v>
      </c>
      <c r="M364" s="745">
        <v>5.39</v>
      </c>
    </row>
    <row r="365" spans="2:13" ht="14.25" customHeight="1" x14ac:dyDescent="0.25">
      <c r="B365" s="823"/>
      <c r="C365" s="744"/>
      <c r="D365" s="744"/>
      <c r="E365" s="744"/>
      <c r="F365" s="744" t="s">
        <v>501</v>
      </c>
      <c r="G365" s="745">
        <v>4.29</v>
      </c>
      <c r="H365" s="744"/>
      <c r="I365" s="812" t="s">
        <v>502</v>
      </c>
      <c r="J365" s="793"/>
      <c r="K365" s="787">
        <v>21.31</v>
      </c>
      <c r="L365" s="746"/>
      <c r="M365" s="745">
        <v>21.66</v>
      </c>
    </row>
    <row r="366" spans="2:13" ht="50.1" customHeight="1" thickBot="1" x14ac:dyDescent="0.3">
      <c r="B366" s="776"/>
      <c r="C366" s="747"/>
      <c r="D366" s="747"/>
      <c r="E366" s="747"/>
      <c r="F366" s="747"/>
      <c r="G366" s="747"/>
      <c r="H366" s="747" t="s">
        <v>503</v>
      </c>
      <c r="I366" s="806" t="s">
        <v>1492</v>
      </c>
      <c r="J366" s="776" t="s">
        <v>504</v>
      </c>
      <c r="K366" s="807">
        <v>65332.19</v>
      </c>
      <c r="L366" s="747" t="s">
        <v>504</v>
      </c>
      <c r="M366" s="748">
        <v>66405.22</v>
      </c>
    </row>
    <row r="367" spans="2:13" ht="16.5" thickTop="1" x14ac:dyDescent="0.25">
      <c r="B367" s="768"/>
      <c r="C367" s="757"/>
      <c r="D367" s="757"/>
      <c r="E367" s="757"/>
      <c r="F367" s="757"/>
      <c r="G367" s="757"/>
      <c r="H367" s="757"/>
      <c r="I367" s="766"/>
      <c r="J367" s="768"/>
      <c r="K367" s="766"/>
      <c r="L367" s="757"/>
      <c r="M367" s="757"/>
    </row>
    <row r="368" spans="2:13" ht="18" customHeight="1" x14ac:dyDescent="0.25">
      <c r="B368" s="805" t="s">
        <v>1165</v>
      </c>
      <c r="C368" s="736" t="s">
        <v>391</v>
      </c>
      <c r="D368" s="735" t="s">
        <v>392</v>
      </c>
      <c r="E368" s="735" t="s">
        <v>42</v>
      </c>
      <c r="F368" s="1004" t="s">
        <v>39</v>
      </c>
      <c r="G368" s="1005"/>
      <c r="H368" s="738" t="s">
        <v>394</v>
      </c>
      <c r="I368" s="767" t="s">
        <v>395</v>
      </c>
      <c r="J368" s="808" t="s">
        <v>396</v>
      </c>
      <c r="K368" s="767" t="s">
        <v>0</v>
      </c>
      <c r="L368" s="782" t="s">
        <v>396</v>
      </c>
      <c r="M368" s="736" t="s">
        <v>0</v>
      </c>
    </row>
    <row r="369" spans="2:13" ht="65.099999999999994" customHeight="1" x14ac:dyDescent="0.25">
      <c r="B369" s="789" t="s">
        <v>473</v>
      </c>
      <c r="C369" s="740" t="s">
        <v>1166</v>
      </c>
      <c r="D369" s="739" t="s">
        <v>475</v>
      </c>
      <c r="E369" s="739" t="s">
        <v>1167</v>
      </c>
      <c r="F369" s="1010" t="s">
        <v>1293</v>
      </c>
      <c r="G369" s="1011"/>
      <c r="H369" s="742" t="s">
        <v>2</v>
      </c>
      <c r="I369" s="803">
        <v>1</v>
      </c>
      <c r="J369" s="799">
        <v>14.08</v>
      </c>
      <c r="K369" s="814">
        <v>14.08</v>
      </c>
      <c r="L369" s="778">
        <v>13.68</v>
      </c>
      <c r="M369" s="743">
        <v>13.68</v>
      </c>
    </row>
    <row r="370" spans="2:13" ht="65.099999999999994" customHeight="1" x14ac:dyDescent="0.25">
      <c r="B370" s="765" t="s">
        <v>478</v>
      </c>
      <c r="C370" s="750" t="s">
        <v>628</v>
      </c>
      <c r="D370" s="749" t="s">
        <v>475</v>
      </c>
      <c r="E370" s="749" t="s">
        <v>629</v>
      </c>
      <c r="F370" s="1008" t="s">
        <v>1285</v>
      </c>
      <c r="G370" s="1009"/>
      <c r="H370" s="751" t="s">
        <v>564</v>
      </c>
      <c r="I370" s="791">
        <v>5.4000000000000003E-3</v>
      </c>
      <c r="J370" s="802">
        <v>319.69</v>
      </c>
      <c r="K370" s="779">
        <v>1.72</v>
      </c>
      <c r="L370" s="822">
        <v>318.08999999999997</v>
      </c>
      <c r="M370" s="753">
        <v>1.71</v>
      </c>
    </row>
    <row r="371" spans="2:13" ht="65.099999999999994" customHeight="1" x14ac:dyDescent="0.25">
      <c r="B371" s="765" t="s">
        <v>478</v>
      </c>
      <c r="C371" s="750" t="s">
        <v>630</v>
      </c>
      <c r="D371" s="749" t="s">
        <v>475</v>
      </c>
      <c r="E371" s="749" t="s">
        <v>631</v>
      </c>
      <c r="F371" s="1008" t="s">
        <v>1285</v>
      </c>
      <c r="G371" s="1009"/>
      <c r="H371" s="751" t="s">
        <v>592</v>
      </c>
      <c r="I371" s="791">
        <v>5.9999999999999995E-4</v>
      </c>
      <c r="J371" s="802">
        <v>74.08</v>
      </c>
      <c r="K371" s="779">
        <v>0.04</v>
      </c>
      <c r="L371" s="822">
        <v>72.48</v>
      </c>
      <c r="M371" s="753">
        <v>0.04</v>
      </c>
    </row>
    <row r="372" spans="2:13" ht="24" customHeight="1" x14ac:dyDescent="0.25">
      <c r="B372" s="765" t="s">
        <v>478</v>
      </c>
      <c r="C372" s="750" t="s">
        <v>485</v>
      </c>
      <c r="D372" s="749" t="s">
        <v>475</v>
      </c>
      <c r="E372" s="749" t="s">
        <v>486</v>
      </c>
      <c r="F372" s="1008" t="s">
        <v>1268</v>
      </c>
      <c r="G372" s="1009"/>
      <c r="H372" s="751" t="s">
        <v>484</v>
      </c>
      <c r="I372" s="791">
        <v>2.7300000000000001E-2</v>
      </c>
      <c r="J372" s="802">
        <v>22.76</v>
      </c>
      <c r="K372" s="779">
        <v>0.62</v>
      </c>
      <c r="L372" s="822">
        <v>21.55</v>
      </c>
      <c r="M372" s="753">
        <v>0.57999999999999996</v>
      </c>
    </row>
    <row r="373" spans="2:13" ht="39" customHeight="1" x14ac:dyDescent="0.25">
      <c r="B373" s="765" t="s">
        <v>478</v>
      </c>
      <c r="C373" s="750" t="s">
        <v>636</v>
      </c>
      <c r="D373" s="749" t="s">
        <v>475</v>
      </c>
      <c r="E373" s="749" t="s">
        <v>637</v>
      </c>
      <c r="F373" s="1008" t="s">
        <v>1285</v>
      </c>
      <c r="G373" s="1009"/>
      <c r="H373" s="751" t="s">
        <v>592</v>
      </c>
      <c r="I373" s="791">
        <v>2.8899999999999999E-2</v>
      </c>
      <c r="J373" s="802">
        <v>91.03</v>
      </c>
      <c r="K373" s="779">
        <v>2.63</v>
      </c>
      <c r="L373" s="822">
        <v>88.9</v>
      </c>
      <c r="M373" s="753">
        <v>2.56</v>
      </c>
    </row>
    <row r="374" spans="2:13" ht="39" customHeight="1" x14ac:dyDescent="0.25">
      <c r="B374" s="765" t="s">
        <v>478</v>
      </c>
      <c r="C374" s="750" t="s">
        <v>622</v>
      </c>
      <c r="D374" s="749" t="s">
        <v>475</v>
      </c>
      <c r="E374" s="749" t="s">
        <v>623</v>
      </c>
      <c r="F374" s="1008" t="s">
        <v>1285</v>
      </c>
      <c r="G374" s="1009"/>
      <c r="H374" s="751" t="s">
        <v>564</v>
      </c>
      <c r="I374" s="791">
        <v>0.12429999999999999</v>
      </c>
      <c r="J374" s="802">
        <v>39.04</v>
      </c>
      <c r="K374" s="779">
        <v>4.8499999999999996</v>
      </c>
      <c r="L374" s="822">
        <v>37.14</v>
      </c>
      <c r="M374" s="753">
        <v>4.6100000000000003</v>
      </c>
    </row>
    <row r="375" spans="2:13" ht="39" customHeight="1" x14ac:dyDescent="0.25">
      <c r="B375" s="765" t="s">
        <v>478</v>
      </c>
      <c r="C375" s="750" t="s">
        <v>634</v>
      </c>
      <c r="D375" s="749" t="s">
        <v>475</v>
      </c>
      <c r="E375" s="749" t="s">
        <v>635</v>
      </c>
      <c r="F375" s="1008" t="s">
        <v>1285</v>
      </c>
      <c r="G375" s="1009"/>
      <c r="H375" s="751" t="s">
        <v>564</v>
      </c>
      <c r="I375" s="791">
        <v>0.02</v>
      </c>
      <c r="J375" s="802">
        <v>211.46</v>
      </c>
      <c r="K375" s="779">
        <v>4.22</v>
      </c>
      <c r="L375" s="822">
        <v>209.33</v>
      </c>
      <c r="M375" s="753">
        <v>4.18</v>
      </c>
    </row>
    <row r="376" spans="2:13" x14ac:dyDescent="0.25">
      <c r="B376" s="823"/>
      <c r="C376" s="744"/>
      <c r="D376" s="744"/>
      <c r="E376" s="744"/>
      <c r="F376" s="744" t="s">
        <v>498</v>
      </c>
      <c r="G376" s="745">
        <v>5.0999999999999996</v>
      </c>
      <c r="H376" s="744" t="s">
        <v>499</v>
      </c>
      <c r="I376" s="787">
        <v>0</v>
      </c>
      <c r="J376" s="823" t="s">
        <v>500</v>
      </c>
      <c r="K376" s="787">
        <v>5.0999999999999996</v>
      </c>
      <c r="L376" s="744" t="s">
        <v>500</v>
      </c>
      <c r="M376" s="745">
        <v>4.7</v>
      </c>
    </row>
    <row r="377" spans="2:13" ht="14.25" customHeight="1" x14ac:dyDescent="0.25">
      <c r="B377" s="823"/>
      <c r="C377" s="744"/>
      <c r="D377" s="744"/>
      <c r="E377" s="744"/>
      <c r="F377" s="744" t="s">
        <v>501</v>
      </c>
      <c r="G377" s="745">
        <v>3.55</v>
      </c>
      <c r="H377" s="744"/>
      <c r="I377" s="812" t="s">
        <v>502</v>
      </c>
      <c r="J377" s="793"/>
      <c r="K377" s="787">
        <v>17.63</v>
      </c>
      <c r="L377" s="746"/>
      <c r="M377" s="745">
        <v>17.87</v>
      </c>
    </row>
    <row r="378" spans="2:13" ht="50.1" customHeight="1" thickBot="1" x14ac:dyDescent="0.3">
      <c r="B378" s="776"/>
      <c r="C378" s="747"/>
      <c r="D378" s="747"/>
      <c r="E378" s="747"/>
      <c r="F378" s="747"/>
      <c r="G378" s="747"/>
      <c r="H378" s="747" t="s">
        <v>503</v>
      </c>
      <c r="I378" s="806" t="s">
        <v>1355</v>
      </c>
      <c r="J378" s="776" t="s">
        <v>504</v>
      </c>
      <c r="K378" s="807">
        <v>78203.850000000006</v>
      </c>
      <c r="L378" s="747" t="s">
        <v>504</v>
      </c>
      <c r="M378" s="748">
        <v>79268.460000000006</v>
      </c>
    </row>
    <row r="379" spans="2:13" ht="16.5" thickTop="1" x14ac:dyDescent="0.25">
      <c r="B379" s="768"/>
      <c r="C379" s="757"/>
      <c r="D379" s="757"/>
      <c r="E379" s="757"/>
      <c r="F379" s="757"/>
      <c r="G379" s="757"/>
      <c r="H379" s="757"/>
      <c r="I379" s="766"/>
      <c r="J379" s="768"/>
      <c r="K379" s="766"/>
      <c r="L379" s="757"/>
      <c r="M379" s="757"/>
    </row>
    <row r="380" spans="2:13" ht="18" customHeight="1" x14ac:dyDescent="0.25">
      <c r="B380" s="805" t="s">
        <v>1415</v>
      </c>
      <c r="C380" s="736" t="s">
        <v>391</v>
      </c>
      <c r="D380" s="735" t="s">
        <v>392</v>
      </c>
      <c r="E380" s="735" t="s">
        <v>42</v>
      </c>
      <c r="F380" s="1004" t="s">
        <v>39</v>
      </c>
      <c r="G380" s="1005"/>
      <c r="H380" s="738" t="s">
        <v>394</v>
      </c>
      <c r="I380" s="767" t="s">
        <v>395</v>
      </c>
      <c r="J380" s="808" t="s">
        <v>396</v>
      </c>
      <c r="K380" s="767" t="s">
        <v>0</v>
      </c>
      <c r="L380" s="782" t="s">
        <v>396</v>
      </c>
      <c r="M380" s="736" t="s">
        <v>0</v>
      </c>
    </row>
    <row r="381" spans="2:13" ht="39" customHeight="1" x14ac:dyDescent="0.25">
      <c r="B381" s="789" t="s">
        <v>473</v>
      </c>
      <c r="C381" s="740" t="s">
        <v>1416</v>
      </c>
      <c r="D381" s="739" t="s">
        <v>744</v>
      </c>
      <c r="E381" s="739" t="s">
        <v>1417</v>
      </c>
      <c r="F381" s="1010" t="s">
        <v>825</v>
      </c>
      <c r="G381" s="1011"/>
      <c r="H381" s="742" t="s">
        <v>2</v>
      </c>
      <c r="I381" s="803">
        <v>1</v>
      </c>
      <c r="J381" s="799">
        <v>167.78</v>
      </c>
      <c r="K381" s="814">
        <v>167.78</v>
      </c>
      <c r="L381" s="778">
        <v>167.61</v>
      </c>
      <c r="M381" s="743">
        <v>167.61</v>
      </c>
    </row>
    <row r="382" spans="2:13" ht="15" customHeight="1" x14ac:dyDescent="0.25">
      <c r="B382" s="790" t="s">
        <v>826</v>
      </c>
      <c r="C382" s="737" t="s">
        <v>391</v>
      </c>
      <c r="D382" s="737" t="s">
        <v>392</v>
      </c>
      <c r="E382" s="737" t="s">
        <v>827</v>
      </c>
      <c r="F382" s="737" t="s">
        <v>828</v>
      </c>
      <c r="G382" s="737" t="s">
        <v>829</v>
      </c>
      <c r="H382" s="737"/>
      <c r="I382" s="804" t="s">
        <v>830</v>
      </c>
      <c r="J382" s="790"/>
      <c r="K382" s="804" t="s">
        <v>1207</v>
      </c>
      <c r="L382" s="775"/>
      <c r="M382" s="737" t="s">
        <v>1207</v>
      </c>
    </row>
    <row r="383" spans="2:13" ht="15" customHeight="1" x14ac:dyDescent="0.25">
      <c r="B383" s="790"/>
      <c r="C383" s="737"/>
      <c r="D383" s="737"/>
      <c r="E383" s="737"/>
      <c r="F383" s="737"/>
      <c r="G383" s="736" t="s">
        <v>831</v>
      </c>
      <c r="H383" s="736" t="s">
        <v>832</v>
      </c>
      <c r="I383" s="767" t="s">
        <v>831</v>
      </c>
      <c r="J383" s="808" t="s">
        <v>832</v>
      </c>
      <c r="K383" s="804"/>
      <c r="L383" s="782" t="s">
        <v>832</v>
      </c>
      <c r="M383" s="737"/>
    </row>
    <row r="384" spans="2:13" ht="24" customHeight="1" x14ac:dyDescent="0.25">
      <c r="B384" s="765" t="s">
        <v>487</v>
      </c>
      <c r="C384" s="750" t="s">
        <v>1418</v>
      </c>
      <c r="D384" s="749" t="s">
        <v>744</v>
      </c>
      <c r="E384" s="749" t="s">
        <v>1419</v>
      </c>
      <c r="F384" s="752">
        <v>1</v>
      </c>
      <c r="G384" s="753">
        <v>1</v>
      </c>
      <c r="H384" s="753">
        <v>0</v>
      </c>
      <c r="I384" s="764">
        <v>1040.6500000000001</v>
      </c>
      <c r="J384" s="833">
        <v>414.91</v>
      </c>
      <c r="K384" s="764">
        <v>1040.6500000000001</v>
      </c>
      <c r="L384" s="834">
        <v>412.28</v>
      </c>
      <c r="M384" s="763">
        <v>1038.02</v>
      </c>
    </row>
    <row r="385" spans="2:13" ht="31.5" x14ac:dyDescent="0.25">
      <c r="B385" s="765" t="s">
        <v>487</v>
      </c>
      <c r="C385" s="750" t="s">
        <v>1420</v>
      </c>
      <c r="D385" s="749" t="s">
        <v>744</v>
      </c>
      <c r="E385" s="749" t="s">
        <v>1421</v>
      </c>
      <c r="F385" s="752">
        <v>1</v>
      </c>
      <c r="G385" s="753">
        <v>0.35</v>
      </c>
      <c r="H385" s="753">
        <v>0.65</v>
      </c>
      <c r="I385" s="764">
        <v>283.86</v>
      </c>
      <c r="J385" s="833">
        <v>123.02</v>
      </c>
      <c r="K385" s="764">
        <v>179.31</v>
      </c>
      <c r="L385" s="834">
        <v>120.38</v>
      </c>
      <c r="M385" s="763">
        <v>176.68</v>
      </c>
    </row>
    <row r="386" spans="2:13" ht="20.100000000000001" customHeight="1" x14ac:dyDescent="0.25">
      <c r="B386" s="817"/>
      <c r="C386" s="754"/>
      <c r="D386" s="754"/>
      <c r="E386" s="754"/>
      <c r="F386" s="754"/>
      <c r="G386" s="754" t="s">
        <v>1209</v>
      </c>
      <c r="H386" s="754"/>
      <c r="I386" s="784"/>
      <c r="J386" s="817"/>
      <c r="K386" s="783">
        <v>1219.9611</v>
      </c>
      <c r="L386" s="754"/>
      <c r="M386" s="747">
        <v>1214.6947</v>
      </c>
    </row>
    <row r="387" spans="2:13" ht="20.100000000000001" customHeight="1" x14ac:dyDescent="0.25">
      <c r="B387" s="805" t="s">
        <v>834</v>
      </c>
      <c r="C387" s="736" t="s">
        <v>391</v>
      </c>
      <c r="D387" s="735" t="s">
        <v>392</v>
      </c>
      <c r="E387" s="735" t="s">
        <v>835</v>
      </c>
      <c r="F387" s="736" t="s">
        <v>828</v>
      </c>
      <c r="G387" s="737" t="s">
        <v>830</v>
      </c>
      <c r="H387" s="737"/>
      <c r="I387" s="804"/>
      <c r="J387" s="790"/>
      <c r="K387" s="767" t="s">
        <v>1207</v>
      </c>
      <c r="L387" s="775"/>
      <c r="M387" s="736" t="s">
        <v>1207</v>
      </c>
    </row>
    <row r="388" spans="2:13" ht="24" customHeight="1" x14ac:dyDescent="0.25">
      <c r="B388" s="765" t="s">
        <v>487</v>
      </c>
      <c r="C388" s="750" t="s">
        <v>1211</v>
      </c>
      <c r="D388" s="749" t="s">
        <v>744</v>
      </c>
      <c r="E388" s="749" t="s">
        <v>837</v>
      </c>
      <c r="F388" s="752">
        <v>1</v>
      </c>
      <c r="G388" s="749"/>
      <c r="H388" s="749"/>
      <c r="I388" s="835"/>
      <c r="J388" s="833" t="s">
        <v>1493</v>
      </c>
      <c r="K388" s="764" t="s">
        <v>1493</v>
      </c>
      <c r="L388" s="834" t="s">
        <v>1567</v>
      </c>
      <c r="M388" s="763" t="s">
        <v>1567</v>
      </c>
    </row>
    <row r="389" spans="2:13" ht="20.100000000000001" customHeight="1" x14ac:dyDescent="0.25">
      <c r="B389" s="817"/>
      <c r="C389" s="754"/>
      <c r="D389" s="754"/>
      <c r="E389" s="754"/>
      <c r="F389" s="754"/>
      <c r="G389" s="754" t="s">
        <v>1212</v>
      </c>
      <c r="H389" s="754"/>
      <c r="I389" s="784"/>
      <c r="J389" s="817"/>
      <c r="K389" s="788">
        <v>0</v>
      </c>
      <c r="L389" s="754"/>
      <c r="M389" s="762">
        <v>0</v>
      </c>
    </row>
    <row r="390" spans="2:13" ht="20.100000000000001" customHeight="1" x14ac:dyDescent="0.25">
      <c r="B390" s="817"/>
      <c r="C390" s="754"/>
      <c r="D390" s="754"/>
      <c r="E390" s="754"/>
      <c r="F390" s="754"/>
      <c r="G390" s="754" t="s">
        <v>1213</v>
      </c>
      <c r="H390" s="754"/>
      <c r="I390" s="784"/>
      <c r="J390" s="817"/>
      <c r="K390" s="783">
        <v>23.322900000000001</v>
      </c>
      <c r="L390" s="754"/>
      <c r="M390" s="747">
        <v>21.744599999999998</v>
      </c>
    </row>
    <row r="391" spans="2:13" ht="20.100000000000001" customHeight="1" x14ac:dyDescent="0.25">
      <c r="B391" s="817"/>
      <c r="C391" s="754"/>
      <c r="D391" s="754"/>
      <c r="E391" s="754"/>
      <c r="F391" s="754"/>
      <c r="G391" s="754" t="s">
        <v>1214</v>
      </c>
      <c r="H391" s="754"/>
      <c r="I391" s="784"/>
      <c r="J391" s="817"/>
      <c r="K391" s="783">
        <v>1243.2840000000001</v>
      </c>
      <c r="L391" s="754"/>
      <c r="M391" s="747">
        <v>1236.4393</v>
      </c>
    </row>
    <row r="392" spans="2:13" ht="20.100000000000001" customHeight="1" x14ac:dyDescent="0.25">
      <c r="B392" s="817"/>
      <c r="C392" s="754"/>
      <c r="D392" s="754"/>
      <c r="E392" s="754"/>
      <c r="F392" s="754"/>
      <c r="G392" s="754" t="s">
        <v>1215</v>
      </c>
      <c r="H392" s="754"/>
      <c r="I392" s="784"/>
      <c r="J392" s="817"/>
      <c r="K392" s="783">
        <v>50.11</v>
      </c>
      <c r="L392" s="754"/>
      <c r="M392" s="747">
        <v>50.11</v>
      </c>
    </row>
    <row r="393" spans="2:13" ht="20.100000000000001" customHeight="1" x14ac:dyDescent="0.25">
      <c r="B393" s="817"/>
      <c r="C393" s="754"/>
      <c r="D393" s="754"/>
      <c r="E393" s="754"/>
      <c r="F393" s="754"/>
      <c r="G393" s="754" t="s">
        <v>1216</v>
      </c>
      <c r="H393" s="754"/>
      <c r="I393" s="784"/>
      <c r="J393" s="817"/>
      <c r="K393" s="783">
        <v>24.8111</v>
      </c>
      <c r="L393" s="754"/>
      <c r="M393" s="747">
        <v>24.674499999999998</v>
      </c>
    </row>
    <row r="394" spans="2:13" ht="20.100000000000001" customHeight="1" x14ac:dyDescent="0.25">
      <c r="B394" s="817"/>
      <c r="C394" s="754"/>
      <c r="D394" s="754"/>
      <c r="E394" s="754"/>
      <c r="F394" s="754"/>
      <c r="G394" s="754" t="s">
        <v>1217</v>
      </c>
      <c r="H394" s="754"/>
      <c r="I394" s="784"/>
      <c r="J394" s="817"/>
      <c r="K394" s="783">
        <v>1.4928999999999999</v>
      </c>
      <c r="L394" s="754"/>
      <c r="M394" s="747">
        <v>1.4746999999999999</v>
      </c>
    </row>
    <row r="395" spans="2:13" ht="20.100000000000001" customHeight="1" x14ac:dyDescent="0.25">
      <c r="B395" s="805" t="s">
        <v>838</v>
      </c>
      <c r="C395" s="736" t="s">
        <v>391</v>
      </c>
      <c r="D395" s="735" t="s">
        <v>392</v>
      </c>
      <c r="E395" s="735" t="s">
        <v>7</v>
      </c>
      <c r="F395" s="736" t="s">
        <v>828</v>
      </c>
      <c r="G395" s="736" t="s">
        <v>151</v>
      </c>
      <c r="H395" s="736" t="s">
        <v>839</v>
      </c>
      <c r="I395" s="767"/>
      <c r="J395" s="808"/>
      <c r="K395" s="767" t="s">
        <v>830</v>
      </c>
      <c r="L395" s="782"/>
      <c r="M395" s="736" t="s">
        <v>830</v>
      </c>
    </row>
    <row r="396" spans="2:13" ht="24" customHeight="1" x14ac:dyDescent="0.25">
      <c r="B396" s="765" t="s">
        <v>487</v>
      </c>
      <c r="C396" s="750" t="s">
        <v>1422</v>
      </c>
      <c r="D396" s="749" t="s">
        <v>744</v>
      </c>
      <c r="E396" s="749" t="s">
        <v>1423</v>
      </c>
      <c r="F396" s="752">
        <v>1.2</v>
      </c>
      <c r="G396" s="751" t="s">
        <v>2</v>
      </c>
      <c r="H396" s="836" t="s">
        <v>1494</v>
      </c>
      <c r="I396" s="810"/>
      <c r="J396" s="769"/>
      <c r="K396" s="764" t="s">
        <v>1495</v>
      </c>
      <c r="L396" s="772"/>
      <c r="M396" s="763" t="s">
        <v>1495</v>
      </c>
    </row>
    <row r="397" spans="2:13" ht="20.100000000000001" customHeight="1" x14ac:dyDescent="0.25">
      <c r="B397" s="817"/>
      <c r="C397" s="754"/>
      <c r="D397" s="754"/>
      <c r="E397" s="754"/>
      <c r="F397" s="754"/>
      <c r="G397" s="754" t="s">
        <v>1222</v>
      </c>
      <c r="H397" s="754"/>
      <c r="I397" s="784"/>
      <c r="J397" s="817"/>
      <c r="K397" s="783">
        <v>138.07560000000001</v>
      </c>
      <c r="L397" s="754"/>
      <c r="M397" s="747">
        <v>138.07560000000001</v>
      </c>
    </row>
    <row r="398" spans="2:13" ht="20.100000000000001" customHeight="1" x14ac:dyDescent="0.25">
      <c r="B398" s="805" t="s">
        <v>847</v>
      </c>
      <c r="C398" s="736" t="s">
        <v>848</v>
      </c>
      <c r="D398" s="735" t="s">
        <v>392</v>
      </c>
      <c r="E398" s="735" t="s">
        <v>42</v>
      </c>
      <c r="F398" s="736" t="s">
        <v>1223</v>
      </c>
      <c r="G398" s="736" t="s">
        <v>828</v>
      </c>
      <c r="H398" s="738" t="s">
        <v>151</v>
      </c>
      <c r="I398" s="804" t="s">
        <v>839</v>
      </c>
      <c r="J398" s="790"/>
      <c r="K398" s="767" t="s">
        <v>830</v>
      </c>
      <c r="L398" s="775"/>
      <c r="M398" s="736" t="s">
        <v>830</v>
      </c>
    </row>
    <row r="399" spans="2:13" ht="47.25" x14ac:dyDescent="0.25">
      <c r="B399" s="765" t="s">
        <v>473</v>
      </c>
      <c r="C399" s="750" t="s">
        <v>1424</v>
      </c>
      <c r="D399" s="749" t="s">
        <v>744</v>
      </c>
      <c r="E399" s="749" t="s">
        <v>1425</v>
      </c>
      <c r="F399" s="750" t="s">
        <v>1426</v>
      </c>
      <c r="G399" s="752">
        <v>1.8</v>
      </c>
      <c r="H399" s="751" t="s">
        <v>850</v>
      </c>
      <c r="I399" s="810">
        <v>1.89</v>
      </c>
      <c r="J399" s="769"/>
      <c r="K399" s="764">
        <v>3.4</v>
      </c>
      <c r="L399" s="772"/>
      <c r="M399" s="763">
        <v>3.38</v>
      </c>
    </row>
    <row r="400" spans="2:13" ht="20.100000000000001" customHeight="1" x14ac:dyDescent="0.25">
      <c r="B400" s="817"/>
      <c r="C400" s="754"/>
      <c r="D400" s="754"/>
      <c r="E400" s="754"/>
      <c r="F400" s="754"/>
      <c r="G400" s="754" t="s">
        <v>1225</v>
      </c>
      <c r="H400" s="754"/>
      <c r="I400" s="784"/>
      <c r="J400" s="817"/>
      <c r="K400" s="783">
        <v>3.4020000000000001</v>
      </c>
      <c r="L400" s="754"/>
      <c r="M400" s="747">
        <v>3.3839999999999999</v>
      </c>
    </row>
    <row r="401" spans="2:13" ht="20.100000000000001" customHeight="1" x14ac:dyDescent="0.25">
      <c r="B401" s="805" t="s">
        <v>851</v>
      </c>
      <c r="C401" s="736" t="s">
        <v>852</v>
      </c>
      <c r="D401" s="735" t="s">
        <v>392</v>
      </c>
      <c r="E401" s="735" t="s">
        <v>42</v>
      </c>
      <c r="F401" s="736" t="s">
        <v>828</v>
      </c>
      <c r="G401" s="737" t="s">
        <v>853</v>
      </c>
      <c r="H401" s="737"/>
      <c r="I401" s="804"/>
      <c r="J401" s="790"/>
      <c r="K401" s="767" t="s">
        <v>830</v>
      </c>
      <c r="L401" s="775"/>
      <c r="M401" s="736" t="s">
        <v>830</v>
      </c>
    </row>
    <row r="402" spans="2:13" ht="20.100000000000001" customHeight="1" x14ac:dyDescent="0.25">
      <c r="B402" s="773"/>
      <c r="C402" s="738"/>
      <c r="D402" s="738"/>
      <c r="E402" s="738"/>
      <c r="F402" s="738"/>
      <c r="G402" s="738" t="s">
        <v>854</v>
      </c>
      <c r="H402" s="738" t="s">
        <v>855</v>
      </c>
      <c r="I402" s="798" t="s">
        <v>149</v>
      </c>
      <c r="J402" s="773" t="s">
        <v>1226</v>
      </c>
      <c r="K402" s="798"/>
      <c r="L402" s="820" t="s">
        <v>1226</v>
      </c>
      <c r="M402" s="738"/>
    </row>
    <row r="403" spans="2:13" ht="50.1" customHeight="1" x14ac:dyDescent="0.25">
      <c r="B403" s="765" t="s">
        <v>487</v>
      </c>
      <c r="C403" s="750" t="s">
        <v>1426</v>
      </c>
      <c r="D403" s="749" t="s">
        <v>744</v>
      </c>
      <c r="E403" s="749" t="s">
        <v>1423</v>
      </c>
      <c r="F403" s="752">
        <v>1.8</v>
      </c>
      <c r="G403" s="750" t="s">
        <v>1496</v>
      </c>
      <c r="H403" s="750" t="s">
        <v>1427</v>
      </c>
      <c r="I403" s="813" t="s">
        <v>1497</v>
      </c>
      <c r="J403" s="821" t="s">
        <v>1227</v>
      </c>
      <c r="K403" s="764">
        <v>0</v>
      </c>
      <c r="L403" s="819" t="s">
        <v>1227</v>
      </c>
      <c r="M403" s="763">
        <v>0</v>
      </c>
    </row>
    <row r="404" spans="2:13" ht="20.100000000000001" customHeight="1" x14ac:dyDescent="0.25">
      <c r="B404" s="817"/>
      <c r="C404" s="754"/>
      <c r="D404" s="754"/>
      <c r="E404" s="754"/>
      <c r="F404" s="754"/>
      <c r="G404" s="754" t="s">
        <v>1218</v>
      </c>
      <c r="H404" s="754"/>
      <c r="I404" s="784"/>
      <c r="J404" s="817"/>
      <c r="K404" s="783">
        <v>0</v>
      </c>
      <c r="L404" s="754"/>
      <c r="M404" s="747">
        <v>0</v>
      </c>
    </row>
    <row r="405" spans="2:13" ht="20.100000000000001" customHeight="1" x14ac:dyDescent="0.25">
      <c r="B405" s="817"/>
      <c r="C405" s="754"/>
      <c r="D405" s="754"/>
      <c r="E405" s="754"/>
      <c r="F405" s="754"/>
      <c r="G405" s="754" t="s">
        <v>1228</v>
      </c>
      <c r="H405" s="754"/>
      <c r="I405" s="784"/>
      <c r="J405" s="817"/>
      <c r="K405" s="783">
        <v>0</v>
      </c>
      <c r="L405" s="754"/>
      <c r="M405" s="747">
        <v>0</v>
      </c>
    </row>
    <row r="406" spans="2:13" x14ac:dyDescent="0.25">
      <c r="B406" s="823"/>
      <c r="C406" s="744"/>
      <c r="D406" s="744"/>
      <c r="E406" s="744"/>
      <c r="F406" s="744" t="s">
        <v>498</v>
      </c>
      <c r="G406" s="745">
        <v>0.46</v>
      </c>
      <c r="H406" s="744" t="s">
        <v>499</v>
      </c>
      <c r="I406" s="787">
        <v>0.01</v>
      </c>
      <c r="J406" s="823" t="s">
        <v>500</v>
      </c>
      <c r="K406" s="787">
        <v>0.46543404510077829</v>
      </c>
      <c r="L406" s="744" t="s">
        <v>500</v>
      </c>
      <c r="M406" s="745">
        <v>0.43393733785671523</v>
      </c>
    </row>
    <row r="407" spans="2:13" ht="14.25" customHeight="1" x14ac:dyDescent="0.25">
      <c r="B407" s="823"/>
      <c r="C407" s="744"/>
      <c r="D407" s="744"/>
      <c r="E407" s="744"/>
      <c r="F407" s="744" t="s">
        <v>501</v>
      </c>
      <c r="G407" s="745">
        <v>42.33</v>
      </c>
      <c r="H407" s="744"/>
      <c r="I407" s="812" t="s">
        <v>502</v>
      </c>
      <c r="J407" s="793"/>
      <c r="K407" s="787">
        <v>210.11</v>
      </c>
      <c r="L407" s="746"/>
      <c r="M407" s="745">
        <v>218.99</v>
      </c>
    </row>
    <row r="408" spans="2:13" ht="50.1" customHeight="1" thickBot="1" x14ac:dyDescent="0.3">
      <c r="B408" s="776"/>
      <c r="C408" s="747"/>
      <c r="D408" s="747"/>
      <c r="E408" s="747"/>
      <c r="F408" s="747"/>
      <c r="G408" s="747"/>
      <c r="H408" s="747" t="s">
        <v>503</v>
      </c>
      <c r="I408" s="806" t="s">
        <v>1428</v>
      </c>
      <c r="J408" s="776" t="s">
        <v>504</v>
      </c>
      <c r="K408" s="807">
        <v>7034.48</v>
      </c>
      <c r="L408" s="747" t="s">
        <v>504</v>
      </c>
      <c r="M408" s="748">
        <v>7331.78</v>
      </c>
    </row>
    <row r="409" spans="2:13" ht="16.5" thickTop="1" x14ac:dyDescent="0.25">
      <c r="B409" s="768"/>
      <c r="C409" s="757"/>
      <c r="D409" s="757"/>
      <c r="E409" s="757"/>
      <c r="F409" s="757"/>
      <c r="G409" s="757"/>
      <c r="H409" s="757"/>
      <c r="I409" s="766"/>
      <c r="J409" s="768"/>
      <c r="K409" s="766"/>
      <c r="L409" s="757"/>
      <c r="M409" s="757"/>
    </row>
    <row r="410" spans="2:13" ht="18" customHeight="1" x14ac:dyDescent="0.25">
      <c r="B410" s="805" t="s">
        <v>1429</v>
      </c>
      <c r="C410" s="736" t="s">
        <v>391</v>
      </c>
      <c r="D410" s="735" t="s">
        <v>392</v>
      </c>
      <c r="E410" s="735" t="s">
        <v>42</v>
      </c>
      <c r="F410" s="1004" t="s">
        <v>39</v>
      </c>
      <c r="G410" s="1005"/>
      <c r="H410" s="738" t="s">
        <v>394</v>
      </c>
      <c r="I410" s="767" t="s">
        <v>395</v>
      </c>
      <c r="J410" s="808" t="s">
        <v>396</v>
      </c>
      <c r="K410" s="767" t="s">
        <v>0</v>
      </c>
      <c r="L410" s="782" t="s">
        <v>396</v>
      </c>
      <c r="M410" s="736" t="s">
        <v>0</v>
      </c>
    </row>
    <row r="411" spans="2:13" ht="39" customHeight="1" x14ac:dyDescent="0.25">
      <c r="B411" s="789" t="s">
        <v>473</v>
      </c>
      <c r="C411" s="740" t="s">
        <v>605</v>
      </c>
      <c r="D411" s="739" t="s">
        <v>475</v>
      </c>
      <c r="E411" s="739" t="s">
        <v>731</v>
      </c>
      <c r="F411" s="1010" t="s">
        <v>1289</v>
      </c>
      <c r="G411" s="1011"/>
      <c r="H411" s="742" t="s">
        <v>606</v>
      </c>
      <c r="I411" s="803">
        <v>1</v>
      </c>
      <c r="J411" s="799">
        <v>2.5</v>
      </c>
      <c r="K411" s="814">
        <v>2.5</v>
      </c>
      <c r="L411" s="778">
        <v>2.48</v>
      </c>
      <c r="M411" s="743">
        <v>2.48</v>
      </c>
    </row>
    <row r="412" spans="2:13" ht="65.099999999999994" customHeight="1" x14ac:dyDescent="0.25">
      <c r="B412" s="765" t="s">
        <v>478</v>
      </c>
      <c r="C412" s="750" t="s">
        <v>603</v>
      </c>
      <c r="D412" s="749" t="s">
        <v>475</v>
      </c>
      <c r="E412" s="749" t="s">
        <v>604</v>
      </c>
      <c r="F412" s="1008" t="s">
        <v>1285</v>
      </c>
      <c r="G412" s="1009"/>
      <c r="H412" s="751" t="s">
        <v>592</v>
      </c>
      <c r="I412" s="791">
        <v>3.5999999999999999E-3</v>
      </c>
      <c r="J412" s="802">
        <v>74.48</v>
      </c>
      <c r="K412" s="779">
        <v>0.26</v>
      </c>
      <c r="L412" s="822">
        <v>72.81</v>
      </c>
      <c r="M412" s="753">
        <v>0.26</v>
      </c>
    </row>
    <row r="413" spans="2:13" ht="65.099999999999994" customHeight="1" x14ac:dyDescent="0.25">
      <c r="B413" s="765" t="s">
        <v>478</v>
      </c>
      <c r="C413" s="750" t="s">
        <v>601</v>
      </c>
      <c r="D413" s="749" t="s">
        <v>475</v>
      </c>
      <c r="E413" s="749" t="s">
        <v>602</v>
      </c>
      <c r="F413" s="1008" t="s">
        <v>1285</v>
      </c>
      <c r="G413" s="1009"/>
      <c r="H413" s="751" t="s">
        <v>564</v>
      </c>
      <c r="I413" s="791">
        <v>8.3000000000000001E-3</v>
      </c>
      <c r="J413" s="802">
        <v>270.25</v>
      </c>
      <c r="K413" s="779">
        <v>2.2400000000000002</v>
      </c>
      <c r="L413" s="822">
        <v>268.58</v>
      </c>
      <c r="M413" s="753">
        <v>2.2200000000000002</v>
      </c>
    </row>
    <row r="414" spans="2:13" x14ac:dyDescent="0.25">
      <c r="B414" s="823"/>
      <c r="C414" s="744"/>
      <c r="D414" s="744"/>
      <c r="E414" s="744"/>
      <c r="F414" s="744" t="s">
        <v>498</v>
      </c>
      <c r="G414" s="745">
        <v>0.25</v>
      </c>
      <c r="H414" s="744" t="s">
        <v>499</v>
      </c>
      <c r="I414" s="787">
        <v>0</v>
      </c>
      <c r="J414" s="823" t="s">
        <v>500</v>
      </c>
      <c r="K414" s="787">
        <v>0.25</v>
      </c>
      <c r="L414" s="744" t="s">
        <v>500</v>
      </c>
      <c r="M414" s="745">
        <v>0.24</v>
      </c>
    </row>
    <row r="415" spans="2:13" ht="14.25" customHeight="1" x14ac:dyDescent="0.25">
      <c r="B415" s="823"/>
      <c r="C415" s="744"/>
      <c r="D415" s="744"/>
      <c r="E415" s="744"/>
      <c r="F415" s="744" t="s">
        <v>501</v>
      </c>
      <c r="G415" s="745">
        <v>0.63</v>
      </c>
      <c r="H415" s="744"/>
      <c r="I415" s="812" t="s">
        <v>502</v>
      </c>
      <c r="J415" s="793"/>
      <c r="K415" s="787">
        <v>3.13</v>
      </c>
      <c r="L415" s="746"/>
      <c r="M415" s="745">
        <v>3.24</v>
      </c>
    </row>
    <row r="416" spans="2:13" ht="50.1" customHeight="1" thickBot="1" x14ac:dyDescent="0.3">
      <c r="B416" s="776"/>
      <c r="C416" s="747"/>
      <c r="D416" s="747"/>
      <c r="E416" s="747"/>
      <c r="F416" s="747"/>
      <c r="G416" s="747"/>
      <c r="H416" s="747" t="s">
        <v>503</v>
      </c>
      <c r="I416" s="806" t="s">
        <v>1498</v>
      </c>
      <c r="J416" s="776" t="s">
        <v>504</v>
      </c>
      <c r="K416" s="807">
        <v>3772.52</v>
      </c>
      <c r="L416" s="747" t="s">
        <v>504</v>
      </c>
      <c r="M416" s="748">
        <v>2369.08</v>
      </c>
    </row>
    <row r="417" spans="2:13" ht="16.5" thickTop="1" x14ac:dyDescent="0.25">
      <c r="B417" s="768"/>
      <c r="C417" s="757"/>
      <c r="D417" s="757"/>
      <c r="E417" s="757"/>
      <c r="F417" s="757"/>
      <c r="G417" s="757"/>
      <c r="H417" s="757"/>
      <c r="I417" s="766"/>
      <c r="J417" s="768"/>
      <c r="K417" s="766"/>
      <c r="L417" s="757"/>
      <c r="M417" s="757"/>
    </row>
    <row r="418" spans="2:13" ht="24" customHeight="1" x14ac:dyDescent="0.25">
      <c r="B418" s="771" t="s">
        <v>417</v>
      </c>
      <c r="C418" s="617"/>
      <c r="D418" s="617"/>
      <c r="E418" s="617" t="s">
        <v>418</v>
      </c>
      <c r="F418" s="617"/>
      <c r="G418" s="755"/>
      <c r="H418" s="755"/>
      <c r="I418" s="792"/>
      <c r="J418" s="771"/>
      <c r="K418" s="796">
        <v>2519704.89</v>
      </c>
      <c r="L418" s="815"/>
      <c r="M418" s="756">
        <v>2319416.27</v>
      </c>
    </row>
    <row r="419" spans="2:13" ht="18" customHeight="1" x14ac:dyDescent="0.25">
      <c r="B419" s="805" t="s">
        <v>1449</v>
      </c>
      <c r="C419" s="736" t="s">
        <v>391</v>
      </c>
      <c r="D419" s="735" t="s">
        <v>392</v>
      </c>
      <c r="E419" s="735" t="s">
        <v>42</v>
      </c>
      <c r="F419" s="1004" t="s">
        <v>39</v>
      </c>
      <c r="G419" s="1005"/>
      <c r="H419" s="738" t="s">
        <v>394</v>
      </c>
      <c r="I419" s="767" t="s">
        <v>395</v>
      </c>
      <c r="J419" s="808" t="s">
        <v>396</v>
      </c>
      <c r="K419" s="767" t="s">
        <v>0</v>
      </c>
      <c r="L419" s="782" t="s">
        <v>396</v>
      </c>
      <c r="M419" s="736" t="s">
        <v>0</v>
      </c>
    </row>
    <row r="420" spans="2:13" ht="39" customHeight="1" x14ac:dyDescent="0.25">
      <c r="B420" s="797" t="s">
        <v>487</v>
      </c>
      <c r="C420" s="758" t="s">
        <v>955</v>
      </c>
      <c r="D420" s="619" t="s">
        <v>475</v>
      </c>
      <c r="E420" s="619" t="s">
        <v>956</v>
      </c>
      <c r="F420" s="1006" t="s">
        <v>490</v>
      </c>
      <c r="G420" s="1007"/>
      <c r="H420" s="718" t="s">
        <v>491</v>
      </c>
      <c r="I420" s="786">
        <v>1</v>
      </c>
      <c r="J420" s="770">
        <v>830.14</v>
      </c>
      <c r="K420" s="774">
        <v>830.14</v>
      </c>
      <c r="L420" s="811">
        <v>830.14</v>
      </c>
      <c r="M420" s="760">
        <v>830.14</v>
      </c>
    </row>
    <row r="421" spans="2:13" x14ac:dyDescent="0.25">
      <c r="B421" s="823"/>
      <c r="C421" s="744"/>
      <c r="D421" s="744"/>
      <c r="E421" s="744"/>
      <c r="F421" s="744" t="s">
        <v>498</v>
      </c>
      <c r="G421" s="745">
        <v>0</v>
      </c>
      <c r="H421" s="744" t="s">
        <v>499</v>
      </c>
      <c r="I421" s="787">
        <v>0</v>
      </c>
      <c r="J421" s="823" t="s">
        <v>500</v>
      </c>
      <c r="K421" s="787">
        <v>0</v>
      </c>
      <c r="L421" s="744" t="s">
        <v>500</v>
      </c>
      <c r="M421" s="745">
        <v>0</v>
      </c>
    </row>
    <row r="422" spans="2:13" ht="14.25" customHeight="1" x14ac:dyDescent="0.25">
      <c r="B422" s="823"/>
      <c r="C422" s="744"/>
      <c r="D422" s="744"/>
      <c r="E422" s="744"/>
      <c r="F422" s="744" t="s">
        <v>501</v>
      </c>
      <c r="G422" s="745"/>
      <c r="H422" s="744"/>
      <c r="I422" s="812" t="s">
        <v>502</v>
      </c>
      <c r="J422" s="793"/>
      <c r="K422" s="787">
        <v>956.9</v>
      </c>
      <c r="L422" s="746"/>
      <c r="M422" s="745">
        <v>1003.8</v>
      </c>
    </row>
    <row r="423" spans="2:13" ht="50.1" customHeight="1" thickBot="1" x14ac:dyDescent="0.3">
      <c r="B423" s="776"/>
      <c r="C423" s="747"/>
      <c r="D423" s="747"/>
      <c r="E423" s="747"/>
      <c r="F423" s="747"/>
      <c r="G423" s="747"/>
      <c r="H423" s="747" t="s">
        <v>503</v>
      </c>
      <c r="I423" s="806" t="s">
        <v>1168</v>
      </c>
      <c r="J423" s="776" t="s">
        <v>504</v>
      </c>
      <c r="K423" s="807">
        <v>113871.1</v>
      </c>
      <c r="L423" s="747" t="s">
        <v>504</v>
      </c>
      <c r="M423" s="748">
        <v>119452.2</v>
      </c>
    </row>
    <row r="424" spans="2:13" ht="16.5" thickTop="1" x14ac:dyDescent="0.25">
      <c r="B424" s="768"/>
      <c r="C424" s="757"/>
      <c r="D424" s="757"/>
      <c r="E424" s="757"/>
      <c r="F424" s="757"/>
      <c r="G424" s="757"/>
      <c r="H424" s="757"/>
      <c r="I424" s="766"/>
      <c r="J424" s="768"/>
      <c r="K424" s="766"/>
      <c r="L424" s="757"/>
      <c r="M424" s="757"/>
    </row>
    <row r="425" spans="2:13" ht="18" customHeight="1" x14ac:dyDescent="0.25">
      <c r="B425" s="805" t="s">
        <v>419</v>
      </c>
      <c r="C425" s="736" t="s">
        <v>391</v>
      </c>
      <c r="D425" s="735" t="s">
        <v>392</v>
      </c>
      <c r="E425" s="735" t="s">
        <v>42</v>
      </c>
      <c r="F425" s="1004" t="s">
        <v>39</v>
      </c>
      <c r="G425" s="1005"/>
      <c r="H425" s="738" t="s">
        <v>394</v>
      </c>
      <c r="I425" s="767" t="s">
        <v>395</v>
      </c>
      <c r="J425" s="808" t="s">
        <v>396</v>
      </c>
      <c r="K425" s="767" t="s">
        <v>0</v>
      </c>
      <c r="L425" s="782" t="s">
        <v>396</v>
      </c>
      <c r="M425" s="736" t="s">
        <v>0</v>
      </c>
    </row>
    <row r="426" spans="2:13" ht="47.25" x14ac:dyDescent="0.25">
      <c r="B426" s="789" t="s">
        <v>473</v>
      </c>
      <c r="C426" s="740" t="s">
        <v>957</v>
      </c>
      <c r="D426" s="739" t="s">
        <v>509</v>
      </c>
      <c r="E426" s="739" t="s">
        <v>958</v>
      </c>
      <c r="F426" s="1010" t="s">
        <v>642</v>
      </c>
      <c r="G426" s="1011"/>
      <c r="H426" s="742" t="s">
        <v>491</v>
      </c>
      <c r="I426" s="803">
        <v>1</v>
      </c>
      <c r="J426" s="799">
        <v>16.850000000000001</v>
      </c>
      <c r="K426" s="814">
        <v>16.850000000000001</v>
      </c>
      <c r="L426" s="778">
        <v>16.399999999999999</v>
      </c>
      <c r="M426" s="743">
        <v>16.399999999999999</v>
      </c>
    </row>
    <row r="427" spans="2:13" ht="24" customHeight="1" x14ac:dyDescent="0.25">
      <c r="B427" s="765" t="s">
        <v>478</v>
      </c>
      <c r="C427" s="750" t="s">
        <v>485</v>
      </c>
      <c r="D427" s="749" t="s">
        <v>475</v>
      </c>
      <c r="E427" s="749" t="s">
        <v>486</v>
      </c>
      <c r="F427" s="1008" t="s">
        <v>1268</v>
      </c>
      <c r="G427" s="1009"/>
      <c r="H427" s="751" t="s">
        <v>484</v>
      </c>
      <c r="I427" s="791">
        <v>0.13009999999999999</v>
      </c>
      <c r="J427" s="802">
        <v>22.76</v>
      </c>
      <c r="K427" s="779">
        <v>2.96</v>
      </c>
      <c r="L427" s="822">
        <v>21.55</v>
      </c>
      <c r="M427" s="753">
        <v>2.8</v>
      </c>
    </row>
    <row r="428" spans="2:13" ht="39" customHeight="1" x14ac:dyDescent="0.25">
      <c r="B428" s="765" t="s">
        <v>478</v>
      </c>
      <c r="C428" s="750" t="s">
        <v>634</v>
      </c>
      <c r="D428" s="749" t="s">
        <v>475</v>
      </c>
      <c r="E428" s="749" t="s">
        <v>635</v>
      </c>
      <c r="F428" s="1008" t="s">
        <v>1285</v>
      </c>
      <c r="G428" s="1009"/>
      <c r="H428" s="751" t="s">
        <v>564</v>
      </c>
      <c r="I428" s="791">
        <v>4.2200000000000001E-2</v>
      </c>
      <c r="J428" s="802">
        <v>211.46</v>
      </c>
      <c r="K428" s="779">
        <v>8.92</v>
      </c>
      <c r="L428" s="822">
        <v>209.33</v>
      </c>
      <c r="M428" s="753">
        <v>8.83</v>
      </c>
    </row>
    <row r="429" spans="2:13" ht="39" customHeight="1" x14ac:dyDescent="0.25">
      <c r="B429" s="765" t="s">
        <v>478</v>
      </c>
      <c r="C429" s="750" t="s">
        <v>636</v>
      </c>
      <c r="D429" s="749" t="s">
        <v>475</v>
      </c>
      <c r="E429" s="749" t="s">
        <v>637</v>
      </c>
      <c r="F429" s="1008" t="s">
        <v>1285</v>
      </c>
      <c r="G429" s="1009"/>
      <c r="H429" s="751" t="s">
        <v>592</v>
      </c>
      <c r="I429" s="791">
        <v>2.6200000000000001E-2</v>
      </c>
      <c r="J429" s="802">
        <v>91.03</v>
      </c>
      <c r="K429" s="779">
        <v>2.38</v>
      </c>
      <c r="L429" s="822">
        <v>88.9</v>
      </c>
      <c r="M429" s="753">
        <v>2.3199999999999998</v>
      </c>
    </row>
    <row r="430" spans="2:13" ht="24" customHeight="1" x14ac:dyDescent="0.25">
      <c r="B430" s="765" t="s">
        <v>478</v>
      </c>
      <c r="C430" s="750" t="s">
        <v>643</v>
      </c>
      <c r="D430" s="749" t="s">
        <v>475</v>
      </c>
      <c r="E430" s="749" t="s">
        <v>644</v>
      </c>
      <c r="F430" s="1008" t="s">
        <v>1268</v>
      </c>
      <c r="G430" s="1009"/>
      <c r="H430" s="751" t="s">
        <v>484</v>
      </c>
      <c r="I430" s="791">
        <v>0.13009999999999999</v>
      </c>
      <c r="J430" s="802">
        <v>19.96</v>
      </c>
      <c r="K430" s="779">
        <v>2.59</v>
      </c>
      <c r="L430" s="822">
        <v>18.87</v>
      </c>
      <c r="M430" s="753">
        <v>2.4500000000000002</v>
      </c>
    </row>
    <row r="431" spans="2:13" x14ac:dyDescent="0.25">
      <c r="B431" s="823"/>
      <c r="C431" s="744"/>
      <c r="D431" s="744"/>
      <c r="E431" s="744"/>
      <c r="F431" s="744" t="s">
        <v>498</v>
      </c>
      <c r="G431" s="745">
        <v>5.93</v>
      </c>
      <c r="H431" s="744" t="s">
        <v>499</v>
      </c>
      <c r="I431" s="787">
        <v>0</v>
      </c>
      <c r="J431" s="823" t="s">
        <v>500</v>
      </c>
      <c r="K431" s="787">
        <v>5.93</v>
      </c>
      <c r="L431" s="744" t="s">
        <v>500</v>
      </c>
      <c r="M431" s="745">
        <v>5.49</v>
      </c>
    </row>
    <row r="432" spans="2:13" ht="14.25" customHeight="1" x14ac:dyDescent="0.25">
      <c r="B432" s="823"/>
      <c r="C432" s="744"/>
      <c r="D432" s="744"/>
      <c r="E432" s="744"/>
      <c r="F432" s="744" t="s">
        <v>501</v>
      </c>
      <c r="G432" s="745">
        <v>4.25</v>
      </c>
      <c r="H432" s="744"/>
      <c r="I432" s="812" t="s">
        <v>502</v>
      </c>
      <c r="J432" s="793"/>
      <c r="K432" s="787">
        <v>21.1</v>
      </c>
      <c r="L432" s="746"/>
      <c r="M432" s="745">
        <v>21.42</v>
      </c>
    </row>
    <row r="433" spans="2:13" ht="50.1" customHeight="1" thickBot="1" x14ac:dyDescent="0.3">
      <c r="B433" s="776"/>
      <c r="C433" s="747"/>
      <c r="D433" s="747"/>
      <c r="E433" s="747"/>
      <c r="F433" s="747"/>
      <c r="G433" s="747"/>
      <c r="H433" s="747" t="s">
        <v>503</v>
      </c>
      <c r="I433" s="806" t="s">
        <v>1168</v>
      </c>
      <c r="J433" s="776" t="s">
        <v>504</v>
      </c>
      <c r="K433" s="807">
        <v>2510.9</v>
      </c>
      <c r="L433" s="747" t="s">
        <v>504</v>
      </c>
      <c r="M433" s="748">
        <v>2548.98</v>
      </c>
    </row>
    <row r="434" spans="2:13" ht="16.5" thickTop="1" x14ac:dyDescent="0.25">
      <c r="B434" s="768"/>
      <c r="C434" s="757"/>
      <c r="D434" s="757"/>
      <c r="E434" s="757"/>
      <c r="F434" s="757"/>
      <c r="G434" s="757"/>
      <c r="H434" s="757"/>
      <c r="I434" s="766"/>
      <c r="J434" s="768"/>
      <c r="K434" s="766"/>
      <c r="L434" s="757"/>
      <c r="M434" s="757"/>
    </row>
    <row r="435" spans="2:13" ht="18" customHeight="1" x14ac:dyDescent="0.25">
      <c r="B435" s="805" t="s">
        <v>1450</v>
      </c>
      <c r="C435" s="736" t="s">
        <v>391</v>
      </c>
      <c r="D435" s="735" t="s">
        <v>392</v>
      </c>
      <c r="E435" s="735" t="s">
        <v>42</v>
      </c>
      <c r="F435" s="1004" t="s">
        <v>39</v>
      </c>
      <c r="G435" s="1005"/>
      <c r="H435" s="738" t="s">
        <v>394</v>
      </c>
      <c r="I435" s="767" t="s">
        <v>395</v>
      </c>
      <c r="J435" s="808" t="s">
        <v>396</v>
      </c>
      <c r="K435" s="767" t="s">
        <v>0</v>
      </c>
      <c r="L435" s="782" t="s">
        <v>396</v>
      </c>
      <c r="M435" s="736" t="s">
        <v>0</v>
      </c>
    </row>
    <row r="436" spans="2:13" ht="39" customHeight="1" x14ac:dyDescent="0.25">
      <c r="B436" s="797" t="s">
        <v>487</v>
      </c>
      <c r="C436" s="758" t="s">
        <v>1169</v>
      </c>
      <c r="D436" s="619" t="s">
        <v>475</v>
      </c>
      <c r="E436" s="619" t="s">
        <v>1170</v>
      </c>
      <c r="F436" s="1006" t="s">
        <v>490</v>
      </c>
      <c r="G436" s="1007"/>
      <c r="H436" s="718" t="s">
        <v>491</v>
      </c>
      <c r="I436" s="786">
        <v>1</v>
      </c>
      <c r="J436" s="770">
        <v>2080.02</v>
      </c>
      <c r="K436" s="774">
        <v>2080.02</v>
      </c>
      <c r="L436" s="811">
        <v>2080.02</v>
      </c>
      <c r="M436" s="760">
        <v>2080.02</v>
      </c>
    </row>
    <row r="437" spans="2:13" x14ac:dyDescent="0.25">
      <c r="B437" s="823"/>
      <c r="C437" s="744"/>
      <c r="D437" s="744"/>
      <c r="E437" s="744"/>
      <c r="F437" s="744" t="s">
        <v>498</v>
      </c>
      <c r="G437" s="745">
        <v>0</v>
      </c>
      <c r="H437" s="744" t="s">
        <v>499</v>
      </c>
      <c r="I437" s="787">
        <v>0</v>
      </c>
      <c r="J437" s="823" t="s">
        <v>500</v>
      </c>
      <c r="K437" s="787">
        <v>0</v>
      </c>
      <c r="L437" s="744" t="s">
        <v>500</v>
      </c>
      <c r="M437" s="745">
        <v>0</v>
      </c>
    </row>
    <row r="438" spans="2:13" ht="14.25" customHeight="1" x14ac:dyDescent="0.25">
      <c r="B438" s="823"/>
      <c r="C438" s="744"/>
      <c r="D438" s="744"/>
      <c r="E438" s="744"/>
      <c r="F438" s="744" t="s">
        <v>501</v>
      </c>
      <c r="G438" s="745"/>
      <c r="H438" s="744"/>
      <c r="I438" s="812" t="s">
        <v>502</v>
      </c>
      <c r="J438" s="793"/>
      <c r="K438" s="787">
        <v>2397.63</v>
      </c>
      <c r="L438" s="746"/>
      <c r="M438" s="745">
        <v>2515.16</v>
      </c>
    </row>
    <row r="439" spans="2:13" ht="50.1" customHeight="1" thickBot="1" x14ac:dyDescent="0.3">
      <c r="B439" s="776"/>
      <c r="C439" s="747"/>
      <c r="D439" s="747"/>
      <c r="E439" s="747"/>
      <c r="F439" s="747"/>
      <c r="G439" s="747"/>
      <c r="H439" s="747" t="s">
        <v>503</v>
      </c>
      <c r="I439" s="806" t="s">
        <v>1171</v>
      </c>
      <c r="J439" s="776" t="s">
        <v>504</v>
      </c>
      <c r="K439" s="807">
        <v>858351.54</v>
      </c>
      <c r="L439" s="747" t="s">
        <v>504</v>
      </c>
      <c r="M439" s="748">
        <v>900427.28</v>
      </c>
    </row>
    <row r="440" spans="2:13" ht="16.5" thickTop="1" x14ac:dyDescent="0.25">
      <c r="B440" s="768"/>
      <c r="C440" s="757"/>
      <c r="D440" s="757"/>
      <c r="E440" s="757"/>
      <c r="F440" s="757"/>
      <c r="G440" s="757"/>
      <c r="H440" s="757"/>
      <c r="I440" s="766"/>
      <c r="J440" s="768"/>
      <c r="K440" s="766"/>
      <c r="L440" s="757"/>
      <c r="M440" s="757"/>
    </row>
    <row r="441" spans="2:13" ht="18" customHeight="1" x14ac:dyDescent="0.25">
      <c r="B441" s="805" t="s">
        <v>420</v>
      </c>
      <c r="C441" s="736" t="s">
        <v>391</v>
      </c>
      <c r="D441" s="735" t="s">
        <v>392</v>
      </c>
      <c r="E441" s="735" t="s">
        <v>42</v>
      </c>
      <c r="F441" s="1004" t="s">
        <v>39</v>
      </c>
      <c r="G441" s="1005"/>
      <c r="H441" s="738" t="s">
        <v>394</v>
      </c>
      <c r="I441" s="767" t="s">
        <v>395</v>
      </c>
      <c r="J441" s="808" t="s">
        <v>396</v>
      </c>
      <c r="K441" s="767" t="s">
        <v>0</v>
      </c>
      <c r="L441" s="782" t="s">
        <v>396</v>
      </c>
      <c r="M441" s="736" t="s">
        <v>0</v>
      </c>
    </row>
    <row r="442" spans="2:13" ht="47.25" x14ac:dyDescent="0.25">
      <c r="B442" s="789" t="s">
        <v>473</v>
      </c>
      <c r="C442" s="740" t="s">
        <v>1172</v>
      </c>
      <c r="D442" s="739" t="s">
        <v>509</v>
      </c>
      <c r="E442" s="739" t="s">
        <v>1173</v>
      </c>
      <c r="F442" s="1010" t="s">
        <v>642</v>
      </c>
      <c r="G442" s="1011"/>
      <c r="H442" s="742" t="s">
        <v>491</v>
      </c>
      <c r="I442" s="803">
        <v>1</v>
      </c>
      <c r="J442" s="799">
        <v>43.34</v>
      </c>
      <c r="K442" s="814">
        <v>43.34</v>
      </c>
      <c r="L442" s="778">
        <v>42.37</v>
      </c>
      <c r="M442" s="743">
        <v>42.37</v>
      </c>
    </row>
    <row r="443" spans="2:13" ht="39" customHeight="1" x14ac:dyDescent="0.25">
      <c r="B443" s="765" t="s">
        <v>478</v>
      </c>
      <c r="C443" s="750" t="s">
        <v>634</v>
      </c>
      <c r="D443" s="749" t="s">
        <v>475</v>
      </c>
      <c r="E443" s="749" t="s">
        <v>635</v>
      </c>
      <c r="F443" s="1008" t="s">
        <v>1285</v>
      </c>
      <c r="G443" s="1009"/>
      <c r="H443" s="751" t="s">
        <v>564</v>
      </c>
      <c r="I443" s="791">
        <v>9.1700000000000004E-2</v>
      </c>
      <c r="J443" s="802">
        <v>211.46</v>
      </c>
      <c r="K443" s="779">
        <v>19.39</v>
      </c>
      <c r="L443" s="822">
        <v>209.33</v>
      </c>
      <c r="M443" s="753">
        <v>19.190000000000001</v>
      </c>
    </row>
    <row r="444" spans="2:13" ht="24" customHeight="1" x14ac:dyDescent="0.25">
      <c r="B444" s="765" t="s">
        <v>478</v>
      </c>
      <c r="C444" s="750" t="s">
        <v>643</v>
      </c>
      <c r="D444" s="749" t="s">
        <v>475</v>
      </c>
      <c r="E444" s="749" t="s">
        <v>644</v>
      </c>
      <c r="F444" s="1008" t="s">
        <v>1268</v>
      </c>
      <c r="G444" s="1009"/>
      <c r="H444" s="751" t="s">
        <v>484</v>
      </c>
      <c r="I444" s="791">
        <v>0.28299999999999997</v>
      </c>
      <c r="J444" s="802">
        <v>19.96</v>
      </c>
      <c r="K444" s="779">
        <v>5.64</v>
      </c>
      <c r="L444" s="822">
        <v>18.87</v>
      </c>
      <c r="M444" s="753">
        <v>5.34</v>
      </c>
    </row>
    <row r="445" spans="2:13" ht="39" customHeight="1" x14ac:dyDescent="0.25">
      <c r="B445" s="765" t="s">
        <v>478</v>
      </c>
      <c r="C445" s="750" t="s">
        <v>636</v>
      </c>
      <c r="D445" s="749" t="s">
        <v>475</v>
      </c>
      <c r="E445" s="749" t="s">
        <v>637</v>
      </c>
      <c r="F445" s="1008" t="s">
        <v>1285</v>
      </c>
      <c r="G445" s="1009"/>
      <c r="H445" s="751" t="s">
        <v>592</v>
      </c>
      <c r="I445" s="791">
        <v>5.7000000000000002E-2</v>
      </c>
      <c r="J445" s="802">
        <v>91.03</v>
      </c>
      <c r="K445" s="779">
        <v>5.18</v>
      </c>
      <c r="L445" s="822">
        <v>88.9</v>
      </c>
      <c r="M445" s="753">
        <v>5.0599999999999996</v>
      </c>
    </row>
    <row r="446" spans="2:13" ht="24" customHeight="1" x14ac:dyDescent="0.25">
      <c r="B446" s="765" t="s">
        <v>478</v>
      </c>
      <c r="C446" s="750" t="s">
        <v>485</v>
      </c>
      <c r="D446" s="749" t="s">
        <v>475</v>
      </c>
      <c r="E446" s="749" t="s">
        <v>486</v>
      </c>
      <c r="F446" s="1008" t="s">
        <v>1268</v>
      </c>
      <c r="G446" s="1009"/>
      <c r="H446" s="751" t="s">
        <v>484</v>
      </c>
      <c r="I446" s="791">
        <v>0.28299999999999997</v>
      </c>
      <c r="J446" s="802">
        <v>22.76</v>
      </c>
      <c r="K446" s="779">
        <v>6.44</v>
      </c>
      <c r="L446" s="822">
        <v>21.55</v>
      </c>
      <c r="M446" s="753">
        <v>6.09</v>
      </c>
    </row>
    <row r="447" spans="2:13" ht="39" customHeight="1" x14ac:dyDescent="0.25">
      <c r="B447" s="765" t="s">
        <v>487</v>
      </c>
      <c r="C447" s="750" t="s">
        <v>959</v>
      </c>
      <c r="D447" s="749" t="s">
        <v>475</v>
      </c>
      <c r="E447" s="749" t="s">
        <v>960</v>
      </c>
      <c r="F447" s="1008" t="s">
        <v>490</v>
      </c>
      <c r="G447" s="1009"/>
      <c r="H447" s="751" t="s">
        <v>513</v>
      </c>
      <c r="I447" s="791">
        <v>0.20830000000000001</v>
      </c>
      <c r="J447" s="802">
        <v>32.130000000000003</v>
      </c>
      <c r="K447" s="779">
        <v>6.69</v>
      </c>
      <c r="L447" s="822">
        <v>32.130000000000003</v>
      </c>
      <c r="M447" s="753">
        <v>6.69</v>
      </c>
    </row>
    <row r="448" spans="2:13" x14ac:dyDescent="0.25">
      <c r="B448" s="823"/>
      <c r="C448" s="744"/>
      <c r="D448" s="744"/>
      <c r="E448" s="744"/>
      <c r="F448" s="744" t="s">
        <v>498</v>
      </c>
      <c r="G448" s="745">
        <v>12.92</v>
      </c>
      <c r="H448" s="744" t="s">
        <v>499</v>
      </c>
      <c r="I448" s="787">
        <v>0</v>
      </c>
      <c r="J448" s="823" t="s">
        <v>500</v>
      </c>
      <c r="K448" s="787">
        <v>12.92</v>
      </c>
      <c r="L448" s="744" t="s">
        <v>500</v>
      </c>
      <c r="M448" s="745">
        <v>11.95</v>
      </c>
    </row>
    <row r="449" spans="2:13" ht="14.25" customHeight="1" x14ac:dyDescent="0.25">
      <c r="B449" s="823"/>
      <c r="C449" s="744"/>
      <c r="D449" s="744"/>
      <c r="E449" s="744"/>
      <c r="F449" s="744" t="s">
        <v>501</v>
      </c>
      <c r="G449" s="745">
        <v>10.93</v>
      </c>
      <c r="H449" s="744"/>
      <c r="I449" s="812" t="s">
        <v>502</v>
      </c>
      <c r="J449" s="793"/>
      <c r="K449" s="787">
        <v>54.27</v>
      </c>
      <c r="L449" s="746"/>
      <c r="M449" s="745">
        <v>55.36</v>
      </c>
    </row>
    <row r="450" spans="2:13" ht="50.1" customHeight="1" thickBot="1" x14ac:dyDescent="0.3">
      <c r="B450" s="776"/>
      <c r="C450" s="747"/>
      <c r="D450" s="747"/>
      <c r="E450" s="747"/>
      <c r="F450" s="747"/>
      <c r="G450" s="747"/>
      <c r="H450" s="747" t="s">
        <v>503</v>
      </c>
      <c r="I450" s="806" t="s">
        <v>1171</v>
      </c>
      <c r="J450" s="776" t="s">
        <v>504</v>
      </c>
      <c r="K450" s="807">
        <v>19428.66</v>
      </c>
      <c r="L450" s="747" t="s">
        <v>504</v>
      </c>
      <c r="M450" s="748">
        <v>19818.88</v>
      </c>
    </row>
    <row r="451" spans="2:13" ht="16.5" thickTop="1" x14ac:dyDescent="0.25">
      <c r="B451" s="768"/>
      <c r="C451" s="757"/>
      <c r="D451" s="757"/>
      <c r="E451" s="757"/>
      <c r="F451" s="757"/>
      <c r="G451" s="757"/>
      <c r="H451" s="757"/>
      <c r="I451" s="766"/>
      <c r="J451" s="768"/>
      <c r="K451" s="766"/>
      <c r="L451" s="757"/>
      <c r="M451" s="757"/>
    </row>
    <row r="452" spans="2:13" ht="18" customHeight="1" x14ac:dyDescent="0.25">
      <c r="B452" s="805" t="s">
        <v>421</v>
      </c>
      <c r="C452" s="736" t="s">
        <v>391</v>
      </c>
      <c r="D452" s="735" t="s">
        <v>392</v>
      </c>
      <c r="E452" s="735" t="s">
        <v>42</v>
      </c>
      <c r="F452" s="1004" t="s">
        <v>39</v>
      </c>
      <c r="G452" s="1005"/>
      <c r="H452" s="738" t="s">
        <v>394</v>
      </c>
      <c r="I452" s="767" t="s">
        <v>395</v>
      </c>
      <c r="J452" s="808" t="s">
        <v>396</v>
      </c>
      <c r="K452" s="767" t="s">
        <v>0</v>
      </c>
      <c r="L452" s="782" t="s">
        <v>396</v>
      </c>
      <c r="M452" s="736" t="s">
        <v>0</v>
      </c>
    </row>
    <row r="453" spans="2:13" ht="39" customHeight="1" x14ac:dyDescent="0.25">
      <c r="B453" s="789" t="s">
        <v>473</v>
      </c>
      <c r="C453" s="740" t="s">
        <v>649</v>
      </c>
      <c r="D453" s="739" t="s">
        <v>475</v>
      </c>
      <c r="E453" s="739" t="s">
        <v>650</v>
      </c>
      <c r="F453" s="1010" t="s">
        <v>1289</v>
      </c>
      <c r="G453" s="1011"/>
      <c r="H453" s="742" t="s">
        <v>651</v>
      </c>
      <c r="I453" s="803">
        <v>1</v>
      </c>
      <c r="J453" s="799">
        <v>2.2599999999999998</v>
      </c>
      <c r="K453" s="814">
        <v>2.2599999999999998</v>
      </c>
      <c r="L453" s="778">
        <v>2.23</v>
      </c>
      <c r="M453" s="743">
        <v>2.23</v>
      </c>
    </row>
    <row r="454" spans="2:13" ht="65.099999999999994" customHeight="1" x14ac:dyDescent="0.25">
      <c r="B454" s="765" t="s">
        <v>478</v>
      </c>
      <c r="C454" s="750" t="s">
        <v>652</v>
      </c>
      <c r="D454" s="749" t="s">
        <v>475</v>
      </c>
      <c r="E454" s="749" t="s">
        <v>653</v>
      </c>
      <c r="F454" s="1008" t="s">
        <v>1285</v>
      </c>
      <c r="G454" s="1009"/>
      <c r="H454" s="751" t="s">
        <v>564</v>
      </c>
      <c r="I454" s="791">
        <v>9.2999999999999992E-3</v>
      </c>
      <c r="J454" s="802">
        <v>217.34</v>
      </c>
      <c r="K454" s="779">
        <v>2.02</v>
      </c>
      <c r="L454" s="822">
        <v>215.74</v>
      </c>
      <c r="M454" s="753">
        <v>2</v>
      </c>
    </row>
    <row r="455" spans="2:13" ht="65.099999999999994" customHeight="1" x14ac:dyDescent="0.25">
      <c r="B455" s="765" t="s">
        <v>478</v>
      </c>
      <c r="C455" s="750" t="s">
        <v>654</v>
      </c>
      <c r="D455" s="749" t="s">
        <v>475</v>
      </c>
      <c r="E455" s="749" t="s">
        <v>655</v>
      </c>
      <c r="F455" s="1008" t="s">
        <v>1285</v>
      </c>
      <c r="G455" s="1009"/>
      <c r="H455" s="751" t="s">
        <v>592</v>
      </c>
      <c r="I455" s="791">
        <v>4.0000000000000001E-3</v>
      </c>
      <c r="J455" s="802">
        <v>61.26</v>
      </c>
      <c r="K455" s="779">
        <v>0.24</v>
      </c>
      <c r="L455" s="822">
        <v>59.66</v>
      </c>
      <c r="M455" s="753">
        <v>0.23</v>
      </c>
    </row>
    <row r="456" spans="2:13" x14ac:dyDescent="0.25">
      <c r="B456" s="823"/>
      <c r="C456" s="744"/>
      <c r="D456" s="744"/>
      <c r="E456" s="744"/>
      <c r="F456" s="744" t="s">
        <v>498</v>
      </c>
      <c r="G456" s="745">
        <v>0.27</v>
      </c>
      <c r="H456" s="744" t="s">
        <v>499</v>
      </c>
      <c r="I456" s="787">
        <v>0</v>
      </c>
      <c r="J456" s="823" t="s">
        <v>500</v>
      </c>
      <c r="K456" s="787">
        <v>0.27</v>
      </c>
      <c r="L456" s="744" t="s">
        <v>500</v>
      </c>
      <c r="M456" s="745">
        <v>0.25</v>
      </c>
    </row>
    <row r="457" spans="2:13" ht="14.25" customHeight="1" x14ac:dyDescent="0.25">
      <c r="B457" s="823"/>
      <c r="C457" s="744"/>
      <c r="D457" s="744"/>
      <c r="E457" s="744"/>
      <c r="F457" s="744" t="s">
        <v>501</v>
      </c>
      <c r="G457" s="745">
        <v>0.56999999999999995</v>
      </c>
      <c r="H457" s="744"/>
      <c r="I457" s="812" t="s">
        <v>502</v>
      </c>
      <c r="J457" s="793"/>
      <c r="K457" s="787">
        <v>2.83</v>
      </c>
      <c r="L457" s="746"/>
      <c r="M457" s="745">
        <v>2.91</v>
      </c>
    </row>
    <row r="458" spans="2:13" ht="50.1" customHeight="1" thickBot="1" x14ac:dyDescent="0.3">
      <c r="B458" s="776"/>
      <c r="C458" s="747"/>
      <c r="D458" s="747"/>
      <c r="E458" s="747"/>
      <c r="F458" s="747"/>
      <c r="G458" s="747"/>
      <c r="H458" s="747" t="s">
        <v>503</v>
      </c>
      <c r="I458" s="806" t="s">
        <v>1232</v>
      </c>
      <c r="J458" s="776" t="s">
        <v>504</v>
      </c>
      <c r="K458" s="807">
        <v>1265.8499999999999</v>
      </c>
      <c r="L458" s="747" t="s">
        <v>504</v>
      </c>
      <c r="M458" s="748">
        <v>1301.6400000000001</v>
      </c>
    </row>
    <row r="459" spans="2:13" ht="16.5" thickTop="1" x14ac:dyDescent="0.25">
      <c r="B459" s="768"/>
      <c r="C459" s="757"/>
      <c r="D459" s="757"/>
      <c r="E459" s="757"/>
      <c r="F459" s="757"/>
      <c r="G459" s="757"/>
      <c r="H459" s="757"/>
      <c r="I459" s="766"/>
      <c r="J459" s="768"/>
      <c r="K459" s="766"/>
      <c r="L459" s="757"/>
      <c r="M459" s="757"/>
    </row>
    <row r="460" spans="2:13" ht="18" customHeight="1" x14ac:dyDescent="0.25">
      <c r="B460" s="805" t="s">
        <v>422</v>
      </c>
      <c r="C460" s="736" t="s">
        <v>391</v>
      </c>
      <c r="D460" s="735" t="s">
        <v>392</v>
      </c>
      <c r="E460" s="735" t="s">
        <v>42</v>
      </c>
      <c r="F460" s="1004" t="s">
        <v>39</v>
      </c>
      <c r="G460" s="1005"/>
      <c r="H460" s="738" t="s">
        <v>394</v>
      </c>
      <c r="I460" s="767" t="s">
        <v>395</v>
      </c>
      <c r="J460" s="808" t="s">
        <v>396</v>
      </c>
      <c r="K460" s="767" t="s">
        <v>0</v>
      </c>
      <c r="L460" s="782" t="s">
        <v>396</v>
      </c>
      <c r="M460" s="736" t="s">
        <v>0</v>
      </c>
    </row>
    <row r="461" spans="2:13" ht="47.25" x14ac:dyDescent="0.25">
      <c r="B461" s="789" t="s">
        <v>473</v>
      </c>
      <c r="C461" s="740" t="s">
        <v>656</v>
      </c>
      <c r="D461" s="739" t="s">
        <v>475</v>
      </c>
      <c r="E461" s="739" t="s">
        <v>657</v>
      </c>
      <c r="F461" s="1010" t="s">
        <v>1289</v>
      </c>
      <c r="G461" s="1011"/>
      <c r="H461" s="742" t="s">
        <v>651</v>
      </c>
      <c r="I461" s="803">
        <v>1</v>
      </c>
      <c r="J461" s="799">
        <v>0.89</v>
      </c>
      <c r="K461" s="814">
        <v>0.89</v>
      </c>
      <c r="L461" s="778">
        <v>0.88</v>
      </c>
      <c r="M461" s="743">
        <v>0.88</v>
      </c>
    </row>
    <row r="462" spans="2:13" ht="65.099999999999994" customHeight="1" x14ac:dyDescent="0.25">
      <c r="B462" s="765" t="s">
        <v>478</v>
      </c>
      <c r="C462" s="750" t="s">
        <v>654</v>
      </c>
      <c r="D462" s="749" t="s">
        <v>475</v>
      </c>
      <c r="E462" s="749" t="s">
        <v>655</v>
      </c>
      <c r="F462" s="1008" t="s">
        <v>1285</v>
      </c>
      <c r="G462" s="1009"/>
      <c r="H462" s="751" t="s">
        <v>592</v>
      </c>
      <c r="I462" s="791">
        <v>1.6000000000000001E-3</v>
      </c>
      <c r="J462" s="802">
        <v>61.26</v>
      </c>
      <c r="K462" s="779">
        <v>0.09</v>
      </c>
      <c r="L462" s="822">
        <v>59.66</v>
      </c>
      <c r="M462" s="753">
        <v>0.09</v>
      </c>
    </row>
    <row r="463" spans="2:13" ht="65.099999999999994" customHeight="1" x14ac:dyDescent="0.25">
      <c r="B463" s="765" t="s">
        <v>478</v>
      </c>
      <c r="C463" s="750" t="s">
        <v>652</v>
      </c>
      <c r="D463" s="749" t="s">
        <v>475</v>
      </c>
      <c r="E463" s="749" t="s">
        <v>653</v>
      </c>
      <c r="F463" s="1008" t="s">
        <v>1285</v>
      </c>
      <c r="G463" s="1009"/>
      <c r="H463" s="751" t="s">
        <v>564</v>
      </c>
      <c r="I463" s="791">
        <v>3.7000000000000002E-3</v>
      </c>
      <c r="J463" s="802">
        <v>217.34</v>
      </c>
      <c r="K463" s="779">
        <v>0.8</v>
      </c>
      <c r="L463" s="822">
        <v>215.74</v>
      </c>
      <c r="M463" s="753">
        <v>0.79</v>
      </c>
    </row>
    <row r="464" spans="2:13" x14ac:dyDescent="0.25">
      <c r="B464" s="823"/>
      <c r="C464" s="744"/>
      <c r="D464" s="744"/>
      <c r="E464" s="744"/>
      <c r="F464" s="744" t="s">
        <v>498</v>
      </c>
      <c r="G464" s="745">
        <v>0.1</v>
      </c>
      <c r="H464" s="744" t="s">
        <v>499</v>
      </c>
      <c r="I464" s="787">
        <v>0</v>
      </c>
      <c r="J464" s="823" t="s">
        <v>500</v>
      </c>
      <c r="K464" s="787">
        <v>0.1</v>
      </c>
      <c r="L464" s="744" t="s">
        <v>500</v>
      </c>
      <c r="M464" s="745">
        <v>0.1</v>
      </c>
    </row>
    <row r="465" spans="2:13" ht="14.25" customHeight="1" x14ac:dyDescent="0.25">
      <c r="B465" s="823"/>
      <c r="C465" s="744"/>
      <c r="D465" s="744"/>
      <c r="E465" s="744"/>
      <c r="F465" s="744" t="s">
        <v>501</v>
      </c>
      <c r="G465" s="745">
        <v>0.22</v>
      </c>
      <c r="H465" s="744"/>
      <c r="I465" s="812" t="s">
        <v>502</v>
      </c>
      <c r="J465" s="793"/>
      <c r="K465" s="787">
        <v>1.1100000000000001</v>
      </c>
      <c r="L465" s="746"/>
      <c r="M465" s="745">
        <v>1.1399999999999999</v>
      </c>
    </row>
    <row r="466" spans="2:13" ht="50.1" customHeight="1" thickBot="1" x14ac:dyDescent="0.3">
      <c r="B466" s="776"/>
      <c r="C466" s="747"/>
      <c r="D466" s="747"/>
      <c r="E466" s="747"/>
      <c r="F466" s="747"/>
      <c r="G466" s="747"/>
      <c r="H466" s="747" t="s">
        <v>503</v>
      </c>
      <c r="I466" s="806" t="s">
        <v>1499</v>
      </c>
      <c r="J466" s="776" t="s">
        <v>504</v>
      </c>
      <c r="K466" s="807">
        <v>4931.92</v>
      </c>
      <c r="L466" s="747" t="s">
        <v>504</v>
      </c>
      <c r="M466" s="748">
        <v>5065.22</v>
      </c>
    </row>
    <row r="467" spans="2:13" ht="16.5" thickTop="1" x14ac:dyDescent="0.25">
      <c r="B467" s="768"/>
      <c r="C467" s="757"/>
      <c r="D467" s="757"/>
      <c r="E467" s="757"/>
      <c r="F467" s="757"/>
      <c r="G467" s="757"/>
      <c r="H467" s="757"/>
      <c r="I467" s="766"/>
      <c r="J467" s="768"/>
      <c r="K467" s="766"/>
      <c r="L467" s="757"/>
      <c r="M467" s="757"/>
    </row>
    <row r="468" spans="2:13" ht="18" customHeight="1" x14ac:dyDescent="0.25">
      <c r="B468" s="805" t="s">
        <v>1451</v>
      </c>
      <c r="C468" s="736" t="s">
        <v>391</v>
      </c>
      <c r="D468" s="735" t="s">
        <v>392</v>
      </c>
      <c r="E468" s="735" t="s">
        <v>42</v>
      </c>
      <c r="F468" s="1004" t="s">
        <v>39</v>
      </c>
      <c r="G468" s="1005"/>
      <c r="H468" s="738" t="s">
        <v>394</v>
      </c>
      <c r="I468" s="767" t="s">
        <v>395</v>
      </c>
      <c r="J468" s="808" t="s">
        <v>396</v>
      </c>
      <c r="K468" s="767" t="s">
        <v>0</v>
      </c>
      <c r="L468" s="782" t="s">
        <v>396</v>
      </c>
      <c r="M468" s="736" t="s">
        <v>0</v>
      </c>
    </row>
    <row r="469" spans="2:13" ht="39" customHeight="1" x14ac:dyDescent="0.25">
      <c r="B469" s="797" t="s">
        <v>487</v>
      </c>
      <c r="C469" s="758" t="s">
        <v>638</v>
      </c>
      <c r="D469" s="619" t="s">
        <v>475</v>
      </c>
      <c r="E469" s="619" t="s">
        <v>639</v>
      </c>
      <c r="F469" s="1006" t="s">
        <v>490</v>
      </c>
      <c r="G469" s="1007"/>
      <c r="H469" s="718" t="s">
        <v>491</v>
      </c>
      <c r="I469" s="786">
        <v>1</v>
      </c>
      <c r="J469" s="770">
        <v>86.67</v>
      </c>
      <c r="K469" s="774">
        <v>86.67</v>
      </c>
      <c r="L469" s="811">
        <v>86.67</v>
      </c>
      <c r="M469" s="760">
        <v>86.67</v>
      </c>
    </row>
    <row r="470" spans="2:13" x14ac:dyDescent="0.25">
      <c r="B470" s="823"/>
      <c r="C470" s="744"/>
      <c r="D470" s="744"/>
      <c r="E470" s="744"/>
      <c r="F470" s="744" t="s">
        <v>498</v>
      </c>
      <c r="G470" s="745">
        <v>0</v>
      </c>
      <c r="H470" s="744" t="s">
        <v>499</v>
      </c>
      <c r="I470" s="787">
        <v>0</v>
      </c>
      <c r="J470" s="823" t="s">
        <v>500</v>
      </c>
      <c r="K470" s="787">
        <v>0</v>
      </c>
      <c r="L470" s="744" t="s">
        <v>500</v>
      </c>
      <c r="M470" s="745">
        <v>0</v>
      </c>
    </row>
    <row r="471" spans="2:13" ht="14.25" customHeight="1" x14ac:dyDescent="0.25">
      <c r="B471" s="823"/>
      <c r="C471" s="744"/>
      <c r="D471" s="744"/>
      <c r="E471" s="744"/>
      <c r="F471" s="744" t="s">
        <v>501</v>
      </c>
      <c r="G471" s="745"/>
      <c r="H471" s="744"/>
      <c r="I471" s="812" t="s">
        <v>502</v>
      </c>
      <c r="J471" s="793"/>
      <c r="K471" s="787">
        <v>99.9</v>
      </c>
      <c r="L471" s="746"/>
      <c r="M471" s="745">
        <v>104.8</v>
      </c>
    </row>
    <row r="472" spans="2:13" ht="50.1" customHeight="1" thickBot="1" x14ac:dyDescent="0.3">
      <c r="B472" s="776"/>
      <c r="C472" s="747"/>
      <c r="D472" s="747"/>
      <c r="E472" s="747"/>
      <c r="F472" s="747"/>
      <c r="G472" s="747"/>
      <c r="H472" s="747" t="s">
        <v>503</v>
      </c>
      <c r="I472" s="806" t="s">
        <v>1430</v>
      </c>
      <c r="J472" s="776" t="s">
        <v>504</v>
      </c>
      <c r="K472" s="807">
        <v>76623.3</v>
      </c>
      <c r="L472" s="747" t="s">
        <v>504</v>
      </c>
      <c r="M472" s="748">
        <v>80381.600000000006</v>
      </c>
    </row>
    <row r="473" spans="2:13" ht="16.5" thickTop="1" x14ac:dyDescent="0.25">
      <c r="B473" s="768"/>
      <c r="C473" s="757"/>
      <c r="D473" s="757"/>
      <c r="E473" s="757"/>
      <c r="F473" s="757"/>
      <c r="G473" s="757"/>
      <c r="H473" s="757"/>
      <c r="I473" s="766"/>
      <c r="J473" s="768"/>
      <c r="K473" s="766"/>
      <c r="L473" s="757"/>
      <c r="M473" s="757"/>
    </row>
    <row r="474" spans="2:13" ht="18" customHeight="1" x14ac:dyDescent="0.25">
      <c r="B474" s="805" t="s">
        <v>423</v>
      </c>
      <c r="C474" s="736" t="s">
        <v>391</v>
      </c>
      <c r="D474" s="735" t="s">
        <v>392</v>
      </c>
      <c r="E474" s="735" t="s">
        <v>42</v>
      </c>
      <c r="F474" s="1004" t="s">
        <v>39</v>
      </c>
      <c r="G474" s="1005"/>
      <c r="H474" s="738" t="s">
        <v>394</v>
      </c>
      <c r="I474" s="767" t="s">
        <v>395</v>
      </c>
      <c r="J474" s="808" t="s">
        <v>396</v>
      </c>
      <c r="K474" s="767" t="s">
        <v>0</v>
      </c>
      <c r="L474" s="782" t="s">
        <v>396</v>
      </c>
      <c r="M474" s="736" t="s">
        <v>0</v>
      </c>
    </row>
    <row r="475" spans="2:13" ht="51.95" customHeight="1" x14ac:dyDescent="0.25">
      <c r="B475" s="789" t="s">
        <v>473</v>
      </c>
      <c r="C475" s="740" t="s">
        <v>640</v>
      </c>
      <c r="D475" s="739" t="s">
        <v>475</v>
      </c>
      <c r="E475" s="739" t="s">
        <v>641</v>
      </c>
      <c r="F475" s="1010" t="s">
        <v>1431</v>
      </c>
      <c r="G475" s="1011"/>
      <c r="H475" s="742" t="s">
        <v>491</v>
      </c>
      <c r="I475" s="803">
        <v>1</v>
      </c>
      <c r="J475" s="799">
        <v>33.840000000000003</v>
      </c>
      <c r="K475" s="814">
        <v>33.840000000000003</v>
      </c>
      <c r="L475" s="778">
        <v>32.75</v>
      </c>
      <c r="M475" s="743">
        <v>32.75</v>
      </c>
    </row>
    <row r="476" spans="2:13" ht="31.5" x14ac:dyDescent="0.25">
      <c r="B476" s="765" t="s">
        <v>478</v>
      </c>
      <c r="C476" s="750" t="s">
        <v>645</v>
      </c>
      <c r="D476" s="749" t="s">
        <v>475</v>
      </c>
      <c r="E476" s="749" t="s">
        <v>646</v>
      </c>
      <c r="F476" s="1008" t="s">
        <v>1294</v>
      </c>
      <c r="G476" s="1009"/>
      <c r="H476" s="751" t="s">
        <v>2</v>
      </c>
      <c r="I476" s="791">
        <v>1.6000000000000001E-3</v>
      </c>
      <c r="J476" s="802">
        <v>683.64</v>
      </c>
      <c r="K476" s="779">
        <v>1.0900000000000001</v>
      </c>
      <c r="L476" s="822">
        <v>673.27</v>
      </c>
      <c r="M476" s="753">
        <v>1.07</v>
      </c>
    </row>
    <row r="477" spans="2:13" ht="24" customHeight="1" x14ac:dyDescent="0.25">
      <c r="B477" s="765" t="s">
        <v>478</v>
      </c>
      <c r="C477" s="750" t="s">
        <v>485</v>
      </c>
      <c r="D477" s="749" t="s">
        <v>475</v>
      </c>
      <c r="E477" s="749" t="s">
        <v>486</v>
      </c>
      <c r="F477" s="1008" t="s">
        <v>1268</v>
      </c>
      <c r="G477" s="1009"/>
      <c r="H477" s="751" t="s">
        <v>484</v>
      </c>
      <c r="I477" s="791">
        <v>0.43020000000000003</v>
      </c>
      <c r="J477" s="802">
        <v>22.76</v>
      </c>
      <c r="K477" s="779">
        <v>9.7899999999999991</v>
      </c>
      <c r="L477" s="822">
        <v>21.55</v>
      </c>
      <c r="M477" s="753">
        <v>9.27</v>
      </c>
    </row>
    <row r="478" spans="2:13" ht="39" customHeight="1" x14ac:dyDescent="0.25">
      <c r="B478" s="765" t="s">
        <v>478</v>
      </c>
      <c r="C478" s="750" t="s">
        <v>634</v>
      </c>
      <c r="D478" s="749" t="s">
        <v>475</v>
      </c>
      <c r="E478" s="749" t="s">
        <v>635</v>
      </c>
      <c r="F478" s="1008" t="s">
        <v>1285</v>
      </c>
      <c r="G478" s="1009"/>
      <c r="H478" s="751" t="s">
        <v>564</v>
      </c>
      <c r="I478" s="791">
        <v>4.8099999999999997E-2</v>
      </c>
      <c r="J478" s="802">
        <v>211.46</v>
      </c>
      <c r="K478" s="779">
        <v>10.17</v>
      </c>
      <c r="L478" s="822">
        <v>209.33</v>
      </c>
      <c r="M478" s="753">
        <v>10.06</v>
      </c>
    </row>
    <row r="479" spans="2:13" ht="39" customHeight="1" x14ac:dyDescent="0.25">
      <c r="B479" s="765" t="s">
        <v>478</v>
      </c>
      <c r="C479" s="750" t="s">
        <v>636</v>
      </c>
      <c r="D479" s="749" t="s">
        <v>475</v>
      </c>
      <c r="E479" s="749" t="s">
        <v>637</v>
      </c>
      <c r="F479" s="1008" t="s">
        <v>1285</v>
      </c>
      <c r="G479" s="1009"/>
      <c r="H479" s="751" t="s">
        <v>592</v>
      </c>
      <c r="I479" s="791">
        <v>9.3399999999999997E-2</v>
      </c>
      <c r="J479" s="802">
        <v>91.03</v>
      </c>
      <c r="K479" s="779">
        <v>8.5</v>
      </c>
      <c r="L479" s="822">
        <v>88.9</v>
      </c>
      <c r="M479" s="753">
        <v>8.3000000000000007</v>
      </c>
    </row>
    <row r="480" spans="2:13" ht="24" customHeight="1" x14ac:dyDescent="0.25">
      <c r="B480" s="765" t="s">
        <v>478</v>
      </c>
      <c r="C480" s="750" t="s">
        <v>643</v>
      </c>
      <c r="D480" s="749" t="s">
        <v>475</v>
      </c>
      <c r="E480" s="749" t="s">
        <v>644</v>
      </c>
      <c r="F480" s="1008" t="s">
        <v>1268</v>
      </c>
      <c r="G480" s="1009"/>
      <c r="H480" s="751" t="s">
        <v>484</v>
      </c>
      <c r="I480" s="791">
        <v>0.21510000000000001</v>
      </c>
      <c r="J480" s="802">
        <v>19.96</v>
      </c>
      <c r="K480" s="779">
        <v>4.29</v>
      </c>
      <c r="L480" s="822">
        <v>18.87</v>
      </c>
      <c r="M480" s="753">
        <v>4.05</v>
      </c>
    </row>
    <row r="481" spans="2:13" x14ac:dyDescent="0.25">
      <c r="B481" s="823"/>
      <c r="C481" s="744"/>
      <c r="D481" s="744"/>
      <c r="E481" s="744"/>
      <c r="F481" s="744" t="s">
        <v>498</v>
      </c>
      <c r="G481" s="745">
        <v>14.33</v>
      </c>
      <c r="H481" s="744" t="s">
        <v>499</v>
      </c>
      <c r="I481" s="787">
        <v>0</v>
      </c>
      <c r="J481" s="823" t="s">
        <v>500</v>
      </c>
      <c r="K481" s="787">
        <v>14.33</v>
      </c>
      <c r="L481" s="744" t="s">
        <v>500</v>
      </c>
      <c r="M481" s="745">
        <v>13.26</v>
      </c>
    </row>
    <row r="482" spans="2:13" ht="14.25" customHeight="1" x14ac:dyDescent="0.25">
      <c r="B482" s="823"/>
      <c r="C482" s="744"/>
      <c r="D482" s="744"/>
      <c r="E482" s="744"/>
      <c r="F482" s="744" t="s">
        <v>501</v>
      </c>
      <c r="G482" s="745">
        <v>8.5299999999999994</v>
      </c>
      <c r="H482" s="744"/>
      <c r="I482" s="812" t="s">
        <v>502</v>
      </c>
      <c r="J482" s="793"/>
      <c r="K482" s="787">
        <v>42.37</v>
      </c>
      <c r="L482" s="746"/>
      <c r="M482" s="745">
        <v>42.79</v>
      </c>
    </row>
    <row r="483" spans="2:13" ht="50.1" customHeight="1" thickBot="1" x14ac:dyDescent="0.3">
      <c r="B483" s="776"/>
      <c r="C483" s="747"/>
      <c r="D483" s="747"/>
      <c r="E483" s="747"/>
      <c r="F483" s="747"/>
      <c r="G483" s="747"/>
      <c r="H483" s="747" t="s">
        <v>503</v>
      </c>
      <c r="I483" s="806" t="s">
        <v>1430</v>
      </c>
      <c r="J483" s="776" t="s">
        <v>504</v>
      </c>
      <c r="K483" s="807">
        <v>32497.79</v>
      </c>
      <c r="L483" s="747" t="s">
        <v>504</v>
      </c>
      <c r="M483" s="748">
        <v>32819.93</v>
      </c>
    </row>
    <row r="484" spans="2:13" ht="16.5" thickTop="1" x14ac:dyDescent="0.25">
      <c r="B484" s="768"/>
      <c r="C484" s="757"/>
      <c r="D484" s="757"/>
      <c r="E484" s="757"/>
      <c r="F484" s="757"/>
      <c r="G484" s="757"/>
      <c r="H484" s="757"/>
      <c r="I484" s="766"/>
      <c r="J484" s="768"/>
      <c r="K484" s="766"/>
      <c r="L484" s="757"/>
      <c r="M484" s="757"/>
    </row>
    <row r="485" spans="2:13" ht="18" customHeight="1" x14ac:dyDescent="0.25">
      <c r="B485" s="805" t="s">
        <v>1452</v>
      </c>
      <c r="C485" s="736" t="s">
        <v>391</v>
      </c>
      <c r="D485" s="735" t="s">
        <v>392</v>
      </c>
      <c r="E485" s="735" t="s">
        <v>42</v>
      </c>
      <c r="F485" s="1004" t="s">
        <v>39</v>
      </c>
      <c r="G485" s="1005"/>
      <c r="H485" s="738" t="s">
        <v>394</v>
      </c>
      <c r="I485" s="767" t="s">
        <v>395</v>
      </c>
      <c r="J485" s="808" t="s">
        <v>396</v>
      </c>
      <c r="K485" s="767" t="s">
        <v>0</v>
      </c>
      <c r="L485" s="782" t="s">
        <v>396</v>
      </c>
      <c r="M485" s="736" t="s">
        <v>0</v>
      </c>
    </row>
    <row r="486" spans="2:13" ht="39" customHeight="1" x14ac:dyDescent="0.25">
      <c r="B486" s="797" t="s">
        <v>487</v>
      </c>
      <c r="C486" s="919" t="s">
        <v>1575</v>
      </c>
      <c r="D486" s="619" t="s">
        <v>475</v>
      </c>
      <c r="E486" s="619" t="s">
        <v>1573</v>
      </c>
      <c r="F486" s="1006" t="s">
        <v>490</v>
      </c>
      <c r="G486" s="1007"/>
      <c r="H486" s="718" t="s">
        <v>491</v>
      </c>
      <c r="I486" s="786">
        <v>1</v>
      </c>
      <c r="J486" s="770">
        <v>154.41</v>
      </c>
      <c r="K486" s="774">
        <v>154.41</v>
      </c>
      <c r="L486" s="811">
        <v>154.41</v>
      </c>
      <c r="M486" s="760">
        <v>154.41</v>
      </c>
    </row>
    <row r="487" spans="2:13" x14ac:dyDescent="0.25">
      <c r="B487" s="823"/>
      <c r="C487" s="744"/>
      <c r="D487" s="744"/>
      <c r="E487" s="744"/>
      <c r="F487" s="744" t="s">
        <v>498</v>
      </c>
      <c r="G487" s="745">
        <v>0</v>
      </c>
      <c r="H487" s="744" t="s">
        <v>499</v>
      </c>
      <c r="I487" s="787">
        <v>0</v>
      </c>
      <c r="J487" s="823" t="s">
        <v>500</v>
      </c>
      <c r="K487" s="787">
        <v>0</v>
      </c>
      <c r="L487" s="744" t="s">
        <v>500</v>
      </c>
      <c r="M487" s="745">
        <v>0</v>
      </c>
    </row>
    <row r="488" spans="2:13" ht="14.25" customHeight="1" x14ac:dyDescent="0.25">
      <c r="B488" s="823"/>
      <c r="C488" s="744"/>
      <c r="D488" s="744"/>
      <c r="E488" s="744"/>
      <c r="F488" s="744" t="s">
        <v>501</v>
      </c>
      <c r="G488" s="745"/>
      <c r="H488" s="744"/>
      <c r="I488" s="812" t="s">
        <v>502</v>
      </c>
      <c r="J488" s="793"/>
      <c r="K488" s="787">
        <v>177.98</v>
      </c>
      <c r="L488" s="746"/>
      <c r="M488" s="745">
        <v>186.71</v>
      </c>
    </row>
    <row r="489" spans="2:13" ht="50.1" customHeight="1" thickBot="1" x14ac:dyDescent="0.3">
      <c r="B489" s="776"/>
      <c r="C489" s="747"/>
      <c r="D489" s="747"/>
      <c r="E489" s="747"/>
      <c r="F489" s="747"/>
      <c r="G489" s="747"/>
      <c r="H489" s="747" t="s">
        <v>503</v>
      </c>
      <c r="I489" s="806" t="s">
        <v>1574</v>
      </c>
      <c r="J489" s="776" t="s">
        <v>504</v>
      </c>
      <c r="K489" s="807">
        <v>111771.44</v>
      </c>
      <c r="L489" s="747" t="s">
        <v>504</v>
      </c>
      <c r="M489" s="748">
        <v>117253.88</v>
      </c>
    </row>
    <row r="490" spans="2:13" ht="16.5" thickTop="1" x14ac:dyDescent="0.25">
      <c r="B490" s="768"/>
      <c r="C490" s="757"/>
      <c r="D490" s="757"/>
      <c r="E490" s="757"/>
      <c r="F490" s="757"/>
      <c r="G490" s="757"/>
      <c r="H490" s="757"/>
      <c r="I490" s="766"/>
      <c r="J490" s="768"/>
      <c r="K490" s="766"/>
      <c r="L490" s="757"/>
      <c r="M490" s="757"/>
    </row>
    <row r="491" spans="2:13" ht="18" customHeight="1" x14ac:dyDescent="0.25">
      <c r="B491" s="805" t="s">
        <v>424</v>
      </c>
      <c r="C491" s="736" t="s">
        <v>391</v>
      </c>
      <c r="D491" s="735" t="s">
        <v>392</v>
      </c>
      <c r="E491" s="735" t="s">
        <v>42</v>
      </c>
      <c r="F491" s="1004" t="s">
        <v>39</v>
      </c>
      <c r="G491" s="1005"/>
      <c r="H491" s="738" t="s">
        <v>394</v>
      </c>
      <c r="I491" s="767" t="s">
        <v>395</v>
      </c>
      <c r="J491" s="808" t="s">
        <v>396</v>
      </c>
      <c r="K491" s="767" t="s">
        <v>0</v>
      </c>
      <c r="L491" s="782" t="s">
        <v>396</v>
      </c>
      <c r="M491" s="736" t="s">
        <v>0</v>
      </c>
    </row>
    <row r="492" spans="2:13" ht="51.95" customHeight="1" x14ac:dyDescent="0.25">
      <c r="B492" s="789" t="s">
        <v>473</v>
      </c>
      <c r="C492" s="740" t="s">
        <v>647</v>
      </c>
      <c r="D492" s="739" t="s">
        <v>475</v>
      </c>
      <c r="E492" s="739" t="s">
        <v>648</v>
      </c>
      <c r="F492" s="1010" t="s">
        <v>1431</v>
      </c>
      <c r="G492" s="1011"/>
      <c r="H492" s="742" t="s">
        <v>491</v>
      </c>
      <c r="I492" s="803">
        <v>1</v>
      </c>
      <c r="J492" s="799">
        <v>53.77</v>
      </c>
      <c r="K492" s="814">
        <v>53.77</v>
      </c>
      <c r="L492" s="778">
        <v>52.08</v>
      </c>
      <c r="M492" s="743">
        <v>52.08</v>
      </c>
    </row>
    <row r="493" spans="2:13" ht="31.5" customHeight="1" x14ac:dyDescent="0.25">
      <c r="B493" s="765" t="s">
        <v>478</v>
      </c>
      <c r="C493" s="750" t="s">
        <v>485</v>
      </c>
      <c r="D493" s="749" t="s">
        <v>475</v>
      </c>
      <c r="E493" s="749" t="s">
        <v>486</v>
      </c>
      <c r="F493" s="1008" t="s">
        <v>1268</v>
      </c>
      <c r="G493" s="1009"/>
      <c r="H493" s="751" t="s">
        <v>484</v>
      </c>
      <c r="I493" s="791">
        <v>0.66400000000000003</v>
      </c>
      <c r="J493" s="802">
        <v>22.76</v>
      </c>
      <c r="K493" s="779">
        <v>15.11</v>
      </c>
      <c r="L493" s="822">
        <v>21.55</v>
      </c>
      <c r="M493" s="753">
        <v>14.3</v>
      </c>
    </row>
    <row r="494" spans="2:13" ht="31.5" customHeight="1" x14ac:dyDescent="0.25">
      <c r="B494" s="765" t="s">
        <v>478</v>
      </c>
      <c r="C494" s="750" t="s">
        <v>643</v>
      </c>
      <c r="D494" s="749" t="s">
        <v>475</v>
      </c>
      <c r="E494" s="749" t="s">
        <v>644</v>
      </c>
      <c r="F494" s="1008" t="s">
        <v>1268</v>
      </c>
      <c r="G494" s="1009"/>
      <c r="H494" s="751" t="s">
        <v>484</v>
      </c>
      <c r="I494" s="791">
        <v>0.33200000000000002</v>
      </c>
      <c r="J494" s="802">
        <v>19.96</v>
      </c>
      <c r="K494" s="779">
        <v>6.62</v>
      </c>
      <c r="L494" s="822">
        <v>18.87</v>
      </c>
      <c r="M494" s="753">
        <v>6.26</v>
      </c>
    </row>
    <row r="495" spans="2:13" ht="47.25" x14ac:dyDescent="0.25">
      <c r="B495" s="765" t="s">
        <v>478</v>
      </c>
      <c r="C495" s="750" t="s">
        <v>636</v>
      </c>
      <c r="D495" s="749" t="s">
        <v>475</v>
      </c>
      <c r="E495" s="749" t="s">
        <v>637</v>
      </c>
      <c r="F495" s="1008" t="s">
        <v>1285</v>
      </c>
      <c r="G495" s="1009"/>
      <c r="H495" s="751" t="s">
        <v>592</v>
      </c>
      <c r="I495" s="791">
        <v>0.14419999999999999</v>
      </c>
      <c r="J495" s="802">
        <v>91.03</v>
      </c>
      <c r="K495" s="779">
        <v>13.12</v>
      </c>
      <c r="L495" s="822">
        <v>88.9</v>
      </c>
      <c r="M495" s="753">
        <v>12.81</v>
      </c>
    </row>
    <row r="496" spans="2:13" ht="39" customHeight="1" x14ac:dyDescent="0.25">
      <c r="B496" s="765" t="s">
        <v>478</v>
      </c>
      <c r="C496" s="750" t="s">
        <v>634</v>
      </c>
      <c r="D496" s="749" t="s">
        <v>475</v>
      </c>
      <c r="E496" s="749" t="s">
        <v>635</v>
      </c>
      <c r="F496" s="1008" t="s">
        <v>1285</v>
      </c>
      <c r="G496" s="1009"/>
      <c r="H496" s="751" t="s">
        <v>564</v>
      </c>
      <c r="I496" s="791">
        <v>7.4300000000000005E-2</v>
      </c>
      <c r="J496" s="802">
        <v>211.46</v>
      </c>
      <c r="K496" s="779">
        <v>15.71</v>
      </c>
      <c r="L496" s="822">
        <v>209.33</v>
      </c>
      <c r="M496" s="753">
        <v>15.55</v>
      </c>
    </row>
    <row r="497" spans="2:13" ht="31.5" x14ac:dyDescent="0.25">
      <c r="B497" s="765" t="s">
        <v>478</v>
      </c>
      <c r="C497" s="750" t="s">
        <v>645</v>
      </c>
      <c r="D497" s="749" t="s">
        <v>475</v>
      </c>
      <c r="E497" s="749" t="s">
        <v>646</v>
      </c>
      <c r="F497" s="1008" t="s">
        <v>1294</v>
      </c>
      <c r="G497" s="1009"/>
      <c r="H497" s="751" t="s">
        <v>2</v>
      </c>
      <c r="I497" s="791">
        <v>4.7000000000000002E-3</v>
      </c>
      <c r="J497" s="802">
        <v>683.64</v>
      </c>
      <c r="K497" s="779">
        <v>3.21</v>
      </c>
      <c r="L497" s="822">
        <v>673.27</v>
      </c>
      <c r="M497" s="753">
        <v>3.16</v>
      </c>
    </row>
    <row r="498" spans="2:13" x14ac:dyDescent="0.25">
      <c r="B498" s="823"/>
      <c r="C498" s="744"/>
      <c r="D498" s="744"/>
      <c r="E498" s="744"/>
      <c r="F498" s="744" t="s">
        <v>498</v>
      </c>
      <c r="G498" s="745">
        <v>22.46</v>
      </c>
      <c r="H498" s="744" t="s">
        <v>499</v>
      </c>
      <c r="I498" s="787">
        <v>0</v>
      </c>
      <c r="J498" s="823" t="s">
        <v>500</v>
      </c>
      <c r="K498" s="787">
        <v>22.46</v>
      </c>
      <c r="L498" s="744" t="s">
        <v>500</v>
      </c>
      <c r="M498" s="745">
        <v>20.77</v>
      </c>
    </row>
    <row r="499" spans="2:13" ht="14.25" customHeight="1" x14ac:dyDescent="0.25">
      <c r="B499" s="823"/>
      <c r="C499" s="744"/>
      <c r="D499" s="744"/>
      <c r="E499" s="744"/>
      <c r="F499" s="744" t="s">
        <v>501</v>
      </c>
      <c r="G499" s="745">
        <v>13.56</v>
      </c>
      <c r="H499" s="744"/>
      <c r="I499" s="812" t="s">
        <v>502</v>
      </c>
      <c r="J499" s="793"/>
      <c r="K499" s="787">
        <v>67.33</v>
      </c>
      <c r="L499" s="746"/>
      <c r="M499" s="745">
        <v>68.040000000000006</v>
      </c>
    </row>
    <row r="500" spans="2:13" ht="50.1" customHeight="1" thickBot="1" x14ac:dyDescent="0.3">
      <c r="B500" s="776"/>
      <c r="C500" s="747"/>
      <c r="D500" s="747"/>
      <c r="E500" s="747"/>
      <c r="F500" s="747"/>
      <c r="G500" s="747"/>
      <c r="H500" s="747" t="s">
        <v>503</v>
      </c>
      <c r="I500" s="807">
        <v>628</v>
      </c>
      <c r="J500" s="776" t="s">
        <v>504</v>
      </c>
      <c r="K500" s="807">
        <v>50295.51</v>
      </c>
      <c r="L500" s="747" t="s">
        <v>504</v>
      </c>
      <c r="M500" s="748">
        <v>42729.120000000003</v>
      </c>
    </row>
    <row r="501" spans="2:13" ht="16.5" thickTop="1" x14ac:dyDescent="0.25">
      <c r="B501" s="768"/>
      <c r="C501" s="757"/>
      <c r="D501" s="757"/>
      <c r="E501" s="757"/>
      <c r="F501" s="757"/>
      <c r="G501" s="757"/>
      <c r="H501" s="757"/>
      <c r="I501" s="766"/>
      <c r="J501" s="768"/>
      <c r="K501" s="766"/>
      <c r="L501" s="757"/>
      <c r="M501" s="757"/>
    </row>
    <row r="502" spans="2:13" ht="18" customHeight="1" x14ac:dyDescent="0.25">
      <c r="B502" s="805" t="s">
        <v>1453</v>
      </c>
      <c r="C502" s="736" t="s">
        <v>391</v>
      </c>
      <c r="D502" s="735" t="s">
        <v>392</v>
      </c>
      <c r="E502" s="735" t="s">
        <v>42</v>
      </c>
      <c r="F502" s="1004" t="s">
        <v>39</v>
      </c>
      <c r="G502" s="1005"/>
      <c r="H502" s="738" t="s">
        <v>394</v>
      </c>
      <c r="I502" s="767" t="s">
        <v>395</v>
      </c>
      <c r="J502" s="808" t="s">
        <v>396</v>
      </c>
      <c r="K502" s="767" t="s">
        <v>0</v>
      </c>
      <c r="L502" s="782" t="s">
        <v>396</v>
      </c>
      <c r="M502" s="736" t="s">
        <v>0</v>
      </c>
    </row>
    <row r="503" spans="2:13" ht="39" customHeight="1" x14ac:dyDescent="0.25">
      <c r="B503" s="797" t="s">
        <v>487</v>
      </c>
      <c r="C503" s="758" t="s">
        <v>1174</v>
      </c>
      <c r="D503" s="619" t="s">
        <v>475</v>
      </c>
      <c r="E503" s="619" t="s">
        <v>1175</v>
      </c>
      <c r="F503" s="1006" t="s">
        <v>490</v>
      </c>
      <c r="G503" s="1007"/>
      <c r="H503" s="718" t="s">
        <v>491</v>
      </c>
      <c r="I503" s="786">
        <v>1</v>
      </c>
      <c r="J503" s="770">
        <v>414.3</v>
      </c>
      <c r="K503" s="774">
        <v>414.3</v>
      </c>
      <c r="L503" s="811">
        <v>414.3</v>
      </c>
      <c r="M503" s="760">
        <v>414.3</v>
      </c>
    </row>
    <row r="504" spans="2:13" x14ac:dyDescent="0.25">
      <c r="B504" s="823"/>
      <c r="C504" s="744"/>
      <c r="D504" s="744"/>
      <c r="E504" s="744"/>
      <c r="F504" s="744" t="s">
        <v>498</v>
      </c>
      <c r="G504" s="745">
        <v>0</v>
      </c>
      <c r="H504" s="744" t="s">
        <v>499</v>
      </c>
      <c r="I504" s="787">
        <v>0</v>
      </c>
      <c r="J504" s="823" t="s">
        <v>500</v>
      </c>
      <c r="K504" s="787">
        <v>0</v>
      </c>
      <c r="L504" s="744" t="s">
        <v>500</v>
      </c>
      <c r="M504" s="745">
        <v>0</v>
      </c>
    </row>
    <row r="505" spans="2:13" ht="14.25" customHeight="1" x14ac:dyDescent="0.25">
      <c r="B505" s="823"/>
      <c r="C505" s="744"/>
      <c r="D505" s="744"/>
      <c r="E505" s="744"/>
      <c r="F505" s="744" t="s">
        <v>501</v>
      </c>
      <c r="G505" s="745"/>
      <c r="H505" s="744"/>
      <c r="I505" s="812" t="s">
        <v>502</v>
      </c>
      <c r="J505" s="793"/>
      <c r="K505" s="787">
        <v>477.56</v>
      </c>
      <c r="L505" s="746"/>
      <c r="M505" s="745">
        <v>500.97</v>
      </c>
    </row>
    <row r="506" spans="2:13" ht="50.1" customHeight="1" thickBot="1" x14ac:dyDescent="0.3">
      <c r="B506" s="776"/>
      <c r="C506" s="747"/>
      <c r="D506" s="747"/>
      <c r="E506" s="747"/>
      <c r="F506" s="747"/>
      <c r="G506" s="747"/>
      <c r="H506" s="747" t="s">
        <v>503</v>
      </c>
      <c r="I506" s="806" t="s">
        <v>1339</v>
      </c>
      <c r="J506" s="776" t="s">
        <v>504</v>
      </c>
      <c r="K506" s="807">
        <v>36772.120000000003</v>
      </c>
      <c r="L506" s="747" t="s">
        <v>504</v>
      </c>
      <c r="M506" s="748">
        <v>38574.69</v>
      </c>
    </row>
    <row r="507" spans="2:13" ht="16.5" thickTop="1" x14ac:dyDescent="0.25">
      <c r="B507" s="768"/>
      <c r="C507" s="757"/>
      <c r="D507" s="757"/>
      <c r="E507" s="757"/>
      <c r="F507" s="757"/>
      <c r="G507" s="757"/>
      <c r="H507" s="757"/>
      <c r="I507" s="766"/>
      <c r="J507" s="768"/>
      <c r="K507" s="766"/>
      <c r="L507" s="757"/>
      <c r="M507" s="757"/>
    </row>
    <row r="508" spans="2:13" ht="18" customHeight="1" x14ac:dyDescent="0.25">
      <c r="B508" s="805" t="s">
        <v>425</v>
      </c>
      <c r="C508" s="736" t="s">
        <v>391</v>
      </c>
      <c r="D508" s="735" t="s">
        <v>392</v>
      </c>
      <c r="E508" s="735" t="s">
        <v>42</v>
      </c>
      <c r="F508" s="1004" t="s">
        <v>39</v>
      </c>
      <c r="G508" s="1005"/>
      <c r="H508" s="738" t="s">
        <v>394</v>
      </c>
      <c r="I508" s="767" t="s">
        <v>395</v>
      </c>
      <c r="J508" s="808" t="s">
        <v>396</v>
      </c>
      <c r="K508" s="767" t="s">
        <v>0</v>
      </c>
      <c r="L508" s="782" t="s">
        <v>396</v>
      </c>
      <c r="M508" s="736" t="s">
        <v>0</v>
      </c>
    </row>
    <row r="509" spans="2:13" ht="51.95" customHeight="1" x14ac:dyDescent="0.25">
      <c r="B509" s="789" t="s">
        <v>473</v>
      </c>
      <c r="C509" s="740" t="s">
        <v>1176</v>
      </c>
      <c r="D509" s="739" t="s">
        <v>475</v>
      </c>
      <c r="E509" s="739" t="s">
        <v>1177</v>
      </c>
      <c r="F509" s="1010" t="s">
        <v>1431</v>
      </c>
      <c r="G509" s="1011"/>
      <c r="H509" s="742" t="s">
        <v>491</v>
      </c>
      <c r="I509" s="803">
        <v>1</v>
      </c>
      <c r="J509" s="799">
        <v>74.739999999999995</v>
      </c>
      <c r="K509" s="814">
        <v>74.739999999999995</v>
      </c>
      <c r="L509" s="778">
        <v>72.430000000000007</v>
      </c>
      <c r="M509" s="743">
        <v>72.430000000000007</v>
      </c>
    </row>
    <row r="510" spans="2:13" ht="24" customHeight="1" x14ac:dyDescent="0.25">
      <c r="B510" s="765" t="s">
        <v>478</v>
      </c>
      <c r="C510" s="750" t="s">
        <v>643</v>
      </c>
      <c r="D510" s="749" t="s">
        <v>475</v>
      </c>
      <c r="E510" s="749" t="s">
        <v>644</v>
      </c>
      <c r="F510" s="1008" t="s">
        <v>1268</v>
      </c>
      <c r="G510" s="1009"/>
      <c r="H510" s="751" t="s">
        <v>484</v>
      </c>
      <c r="I510" s="791">
        <v>0.44890000000000002</v>
      </c>
      <c r="J510" s="802">
        <v>19.96</v>
      </c>
      <c r="K510" s="779">
        <v>8.9600000000000009</v>
      </c>
      <c r="L510" s="822">
        <v>18.87</v>
      </c>
      <c r="M510" s="753">
        <v>8.4700000000000006</v>
      </c>
    </row>
    <row r="511" spans="2:13" ht="39" customHeight="1" x14ac:dyDescent="0.25">
      <c r="B511" s="765" t="s">
        <v>478</v>
      </c>
      <c r="C511" s="750" t="s">
        <v>636</v>
      </c>
      <c r="D511" s="749" t="s">
        <v>475</v>
      </c>
      <c r="E511" s="749" t="s">
        <v>637</v>
      </c>
      <c r="F511" s="1008" t="s">
        <v>1285</v>
      </c>
      <c r="G511" s="1009"/>
      <c r="H511" s="751" t="s">
        <v>592</v>
      </c>
      <c r="I511" s="791">
        <v>0.19500000000000001</v>
      </c>
      <c r="J511" s="802">
        <v>91.03</v>
      </c>
      <c r="K511" s="779">
        <v>17.75</v>
      </c>
      <c r="L511" s="822">
        <v>88.9</v>
      </c>
      <c r="M511" s="753">
        <v>17.329999999999998</v>
      </c>
    </row>
    <row r="512" spans="2:13" ht="24" customHeight="1" x14ac:dyDescent="0.25">
      <c r="B512" s="765" t="s">
        <v>478</v>
      </c>
      <c r="C512" s="750" t="s">
        <v>485</v>
      </c>
      <c r="D512" s="749" t="s">
        <v>475</v>
      </c>
      <c r="E512" s="749" t="s">
        <v>486</v>
      </c>
      <c r="F512" s="1008" t="s">
        <v>1268</v>
      </c>
      <c r="G512" s="1009"/>
      <c r="H512" s="751" t="s">
        <v>484</v>
      </c>
      <c r="I512" s="791">
        <v>0.89790000000000003</v>
      </c>
      <c r="J512" s="802">
        <v>22.76</v>
      </c>
      <c r="K512" s="779">
        <v>20.43</v>
      </c>
      <c r="L512" s="822">
        <v>21.55</v>
      </c>
      <c r="M512" s="753">
        <v>19.34</v>
      </c>
    </row>
    <row r="513" spans="2:13" ht="39" customHeight="1" x14ac:dyDescent="0.25">
      <c r="B513" s="765" t="s">
        <v>478</v>
      </c>
      <c r="C513" s="750" t="s">
        <v>634</v>
      </c>
      <c r="D513" s="749" t="s">
        <v>475</v>
      </c>
      <c r="E513" s="749" t="s">
        <v>635</v>
      </c>
      <c r="F513" s="1008" t="s">
        <v>1285</v>
      </c>
      <c r="G513" s="1009"/>
      <c r="H513" s="751" t="s">
        <v>564</v>
      </c>
      <c r="I513" s="791">
        <v>0.10050000000000001</v>
      </c>
      <c r="J513" s="802">
        <v>211.46</v>
      </c>
      <c r="K513" s="779">
        <v>21.25</v>
      </c>
      <c r="L513" s="822">
        <v>209.33</v>
      </c>
      <c r="M513" s="753">
        <v>21.03</v>
      </c>
    </row>
    <row r="514" spans="2:13" ht="31.5" x14ac:dyDescent="0.25">
      <c r="B514" s="765" t="s">
        <v>478</v>
      </c>
      <c r="C514" s="750" t="s">
        <v>645</v>
      </c>
      <c r="D514" s="749" t="s">
        <v>475</v>
      </c>
      <c r="E514" s="749" t="s">
        <v>646</v>
      </c>
      <c r="F514" s="1008" t="s">
        <v>1294</v>
      </c>
      <c r="G514" s="1009"/>
      <c r="H514" s="751" t="s">
        <v>2</v>
      </c>
      <c r="I514" s="791">
        <v>9.2999999999999992E-3</v>
      </c>
      <c r="J514" s="802">
        <v>683.64</v>
      </c>
      <c r="K514" s="779">
        <v>6.35</v>
      </c>
      <c r="L514" s="822">
        <v>673.27</v>
      </c>
      <c r="M514" s="753">
        <v>6.26</v>
      </c>
    </row>
    <row r="515" spans="2:13" x14ac:dyDescent="0.25">
      <c r="B515" s="823"/>
      <c r="C515" s="744"/>
      <c r="D515" s="744"/>
      <c r="E515" s="744"/>
      <c r="F515" s="744" t="s">
        <v>498</v>
      </c>
      <c r="G515" s="745">
        <v>30.79</v>
      </c>
      <c r="H515" s="744" t="s">
        <v>499</v>
      </c>
      <c r="I515" s="787">
        <v>0</v>
      </c>
      <c r="J515" s="823" t="s">
        <v>500</v>
      </c>
      <c r="K515" s="787">
        <v>30.79</v>
      </c>
      <c r="L515" s="744" t="s">
        <v>500</v>
      </c>
      <c r="M515" s="745">
        <v>28.47</v>
      </c>
    </row>
    <row r="516" spans="2:13" ht="14.25" customHeight="1" x14ac:dyDescent="0.25">
      <c r="B516" s="823"/>
      <c r="C516" s="744"/>
      <c r="D516" s="744"/>
      <c r="E516" s="744"/>
      <c r="F516" s="744" t="s">
        <v>501</v>
      </c>
      <c r="G516" s="745">
        <v>18.850000000000001</v>
      </c>
      <c r="H516" s="744"/>
      <c r="I516" s="812" t="s">
        <v>502</v>
      </c>
      <c r="J516" s="793"/>
      <c r="K516" s="787">
        <v>93.59</v>
      </c>
      <c r="L516" s="746"/>
      <c r="M516" s="745">
        <v>94.63</v>
      </c>
    </row>
    <row r="517" spans="2:13" ht="50.1" customHeight="1" thickBot="1" x14ac:dyDescent="0.3">
      <c r="B517" s="776"/>
      <c r="C517" s="747"/>
      <c r="D517" s="747"/>
      <c r="E517" s="747"/>
      <c r="F517" s="747"/>
      <c r="G517" s="747"/>
      <c r="H517" s="747" t="s">
        <v>503</v>
      </c>
      <c r="I517" s="806" t="s">
        <v>1339</v>
      </c>
      <c r="J517" s="776" t="s">
        <v>504</v>
      </c>
      <c r="K517" s="807">
        <v>7206.43</v>
      </c>
      <c r="L517" s="747" t="s">
        <v>504</v>
      </c>
      <c r="M517" s="748">
        <v>7286.51</v>
      </c>
    </row>
    <row r="518" spans="2:13" ht="0.95" customHeight="1" thickTop="1" x14ac:dyDescent="0.25">
      <c r="B518" s="768"/>
      <c r="C518" s="757"/>
      <c r="D518" s="757"/>
      <c r="E518" s="757"/>
      <c r="F518" s="757"/>
      <c r="G518" s="757"/>
      <c r="H518" s="757"/>
      <c r="I518" s="766"/>
      <c r="J518" s="768"/>
      <c r="K518" s="766"/>
      <c r="L518" s="757"/>
      <c r="M518" s="757"/>
    </row>
    <row r="519" spans="2:13" ht="18" customHeight="1" x14ac:dyDescent="0.25">
      <c r="B519" s="805" t="s">
        <v>1454</v>
      </c>
      <c r="C519" s="736" t="s">
        <v>391</v>
      </c>
      <c r="D519" s="735" t="s">
        <v>392</v>
      </c>
      <c r="E519" s="735" t="s">
        <v>42</v>
      </c>
      <c r="F519" s="1004" t="s">
        <v>39</v>
      </c>
      <c r="G519" s="1005"/>
      <c r="H519" s="738" t="s">
        <v>394</v>
      </c>
      <c r="I519" s="767" t="s">
        <v>395</v>
      </c>
      <c r="J519" s="808" t="s">
        <v>396</v>
      </c>
      <c r="K519" s="767" t="s">
        <v>0</v>
      </c>
      <c r="L519" s="782" t="s">
        <v>396</v>
      </c>
      <c r="M519" s="736" t="s">
        <v>0</v>
      </c>
    </row>
    <row r="520" spans="2:13" ht="39" customHeight="1" x14ac:dyDescent="0.25">
      <c r="B520" s="797" t="s">
        <v>487</v>
      </c>
      <c r="C520" s="758" t="s">
        <v>1178</v>
      </c>
      <c r="D520" s="619" t="s">
        <v>475</v>
      </c>
      <c r="E520" s="619" t="s">
        <v>1179</v>
      </c>
      <c r="F520" s="1006" t="s">
        <v>490</v>
      </c>
      <c r="G520" s="1007"/>
      <c r="H520" s="718" t="s">
        <v>491</v>
      </c>
      <c r="I520" s="786">
        <v>1</v>
      </c>
      <c r="J520" s="770">
        <v>485.44</v>
      </c>
      <c r="K520" s="774">
        <v>485.44</v>
      </c>
      <c r="L520" s="811">
        <v>485.44</v>
      </c>
      <c r="M520" s="760">
        <v>485.44</v>
      </c>
    </row>
    <row r="521" spans="2:13" x14ac:dyDescent="0.25">
      <c r="B521" s="823"/>
      <c r="C521" s="744"/>
      <c r="D521" s="744"/>
      <c r="E521" s="744"/>
      <c r="F521" s="744" t="s">
        <v>498</v>
      </c>
      <c r="G521" s="745">
        <v>0</v>
      </c>
      <c r="H521" s="744" t="s">
        <v>499</v>
      </c>
      <c r="I521" s="787">
        <v>0</v>
      </c>
      <c r="J521" s="823" t="s">
        <v>500</v>
      </c>
      <c r="K521" s="787">
        <v>0</v>
      </c>
      <c r="L521" s="744" t="s">
        <v>500</v>
      </c>
      <c r="M521" s="745">
        <v>0</v>
      </c>
    </row>
    <row r="522" spans="2:13" ht="14.25" customHeight="1" x14ac:dyDescent="0.25">
      <c r="B522" s="823"/>
      <c r="C522" s="744"/>
      <c r="D522" s="744"/>
      <c r="E522" s="744"/>
      <c r="F522" s="744" t="s">
        <v>501</v>
      </c>
      <c r="G522" s="745"/>
      <c r="H522" s="744"/>
      <c r="I522" s="812" t="s">
        <v>502</v>
      </c>
      <c r="J522" s="793"/>
      <c r="K522" s="787">
        <v>559.55999999999995</v>
      </c>
      <c r="L522" s="746"/>
      <c r="M522" s="745">
        <v>586.99</v>
      </c>
    </row>
    <row r="523" spans="2:13" ht="50.1" customHeight="1" thickBot="1" x14ac:dyDescent="0.3">
      <c r="B523" s="776"/>
      <c r="C523" s="747"/>
      <c r="D523" s="747"/>
      <c r="E523" s="747"/>
      <c r="F523" s="747"/>
      <c r="G523" s="747"/>
      <c r="H523" s="747" t="s">
        <v>503</v>
      </c>
      <c r="I523" s="807">
        <v>121</v>
      </c>
      <c r="J523" s="776" t="s">
        <v>504</v>
      </c>
      <c r="K523" s="807">
        <v>268029.24</v>
      </c>
      <c r="L523" s="747" t="s">
        <v>504</v>
      </c>
      <c r="M523" s="748">
        <v>71025.789999999994</v>
      </c>
    </row>
    <row r="524" spans="2:13" ht="16.5" thickTop="1" x14ac:dyDescent="0.25">
      <c r="B524" s="768"/>
      <c r="C524" s="757"/>
      <c r="D524" s="757"/>
      <c r="E524" s="757"/>
      <c r="F524" s="757"/>
      <c r="G524" s="757"/>
      <c r="H524" s="757"/>
      <c r="I524" s="766"/>
      <c r="J524" s="768"/>
      <c r="K524" s="766"/>
      <c r="L524" s="757"/>
      <c r="M524" s="757"/>
    </row>
    <row r="525" spans="2:13" ht="18" customHeight="1" x14ac:dyDescent="0.25">
      <c r="B525" s="805" t="s">
        <v>426</v>
      </c>
      <c r="C525" s="736" t="s">
        <v>391</v>
      </c>
      <c r="D525" s="735" t="s">
        <v>392</v>
      </c>
      <c r="E525" s="735" t="s">
        <v>42</v>
      </c>
      <c r="F525" s="1004" t="s">
        <v>39</v>
      </c>
      <c r="G525" s="1005"/>
      <c r="H525" s="738" t="s">
        <v>394</v>
      </c>
      <c r="I525" s="767" t="s">
        <v>395</v>
      </c>
      <c r="J525" s="808" t="s">
        <v>396</v>
      </c>
      <c r="K525" s="767" t="s">
        <v>0</v>
      </c>
      <c r="L525" s="782" t="s">
        <v>396</v>
      </c>
      <c r="M525" s="736" t="s">
        <v>0</v>
      </c>
    </row>
    <row r="526" spans="2:13" ht="65.099999999999994" customHeight="1" x14ac:dyDescent="0.25">
      <c r="B526" s="789" t="s">
        <v>473</v>
      </c>
      <c r="C526" s="740" t="s">
        <v>1180</v>
      </c>
      <c r="D526" s="739" t="s">
        <v>475</v>
      </c>
      <c r="E526" s="739" t="s">
        <v>1181</v>
      </c>
      <c r="F526" s="1010" t="s">
        <v>1431</v>
      </c>
      <c r="G526" s="1011"/>
      <c r="H526" s="742" t="s">
        <v>491</v>
      </c>
      <c r="I526" s="803">
        <v>1</v>
      </c>
      <c r="J526" s="799">
        <v>79.900000000000006</v>
      </c>
      <c r="K526" s="814">
        <v>79.900000000000006</v>
      </c>
      <c r="L526" s="778">
        <v>78.48</v>
      </c>
      <c r="M526" s="743">
        <v>78.48</v>
      </c>
    </row>
    <row r="527" spans="2:13" ht="39" customHeight="1" x14ac:dyDescent="0.25">
      <c r="B527" s="765" t="s">
        <v>478</v>
      </c>
      <c r="C527" s="750" t="s">
        <v>634</v>
      </c>
      <c r="D527" s="749" t="s">
        <v>475</v>
      </c>
      <c r="E527" s="749" t="s">
        <v>635</v>
      </c>
      <c r="F527" s="1008" t="s">
        <v>1285</v>
      </c>
      <c r="G527" s="1009"/>
      <c r="H527" s="751" t="s">
        <v>564</v>
      </c>
      <c r="I527" s="791">
        <v>6.3799999999999996E-2</v>
      </c>
      <c r="J527" s="802">
        <v>211.46</v>
      </c>
      <c r="K527" s="779">
        <v>13.49</v>
      </c>
      <c r="L527" s="822">
        <v>209.33</v>
      </c>
      <c r="M527" s="753">
        <v>13.35</v>
      </c>
    </row>
    <row r="528" spans="2:13" ht="39" customHeight="1" x14ac:dyDescent="0.25">
      <c r="B528" s="765" t="s">
        <v>478</v>
      </c>
      <c r="C528" s="750" t="s">
        <v>636</v>
      </c>
      <c r="D528" s="749" t="s">
        <v>475</v>
      </c>
      <c r="E528" s="749" t="s">
        <v>637</v>
      </c>
      <c r="F528" s="1008" t="s">
        <v>1285</v>
      </c>
      <c r="G528" s="1009"/>
      <c r="H528" s="751" t="s">
        <v>592</v>
      </c>
      <c r="I528" s="791">
        <v>0.12379999999999999</v>
      </c>
      <c r="J528" s="802">
        <v>91.03</v>
      </c>
      <c r="K528" s="779">
        <v>11.26</v>
      </c>
      <c r="L528" s="822">
        <v>88.9</v>
      </c>
      <c r="M528" s="753">
        <v>11</v>
      </c>
    </row>
    <row r="529" spans="2:13" ht="24" customHeight="1" x14ac:dyDescent="0.25">
      <c r="B529" s="765" t="s">
        <v>478</v>
      </c>
      <c r="C529" s="750" t="s">
        <v>643</v>
      </c>
      <c r="D529" s="749" t="s">
        <v>475</v>
      </c>
      <c r="E529" s="749" t="s">
        <v>644</v>
      </c>
      <c r="F529" s="1008" t="s">
        <v>1268</v>
      </c>
      <c r="G529" s="1009"/>
      <c r="H529" s="751" t="s">
        <v>484</v>
      </c>
      <c r="I529" s="791">
        <v>0.28510000000000002</v>
      </c>
      <c r="J529" s="802">
        <v>19.96</v>
      </c>
      <c r="K529" s="779">
        <v>5.69</v>
      </c>
      <c r="L529" s="822">
        <v>18.87</v>
      </c>
      <c r="M529" s="753">
        <v>5.37</v>
      </c>
    </row>
    <row r="530" spans="2:13" ht="24" customHeight="1" x14ac:dyDescent="0.25">
      <c r="B530" s="765" t="s">
        <v>478</v>
      </c>
      <c r="C530" s="750" t="s">
        <v>485</v>
      </c>
      <c r="D530" s="749" t="s">
        <v>475</v>
      </c>
      <c r="E530" s="749" t="s">
        <v>486</v>
      </c>
      <c r="F530" s="1008" t="s">
        <v>1268</v>
      </c>
      <c r="G530" s="1009"/>
      <c r="H530" s="751" t="s">
        <v>484</v>
      </c>
      <c r="I530" s="791">
        <v>0.57030000000000003</v>
      </c>
      <c r="J530" s="802">
        <v>22.76</v>
      </c>
      <c r="K530" s="779">
        <v>12.98</v>
      </c>
      <c r="L530" s="822">
        <v>21.55</v>
      </c>
      <c r="M530" s="753">
        <v>12.28</v>
      </c>
    </row>
    <row r="531" spans="2:13" ht="31.5" x14ac:dyDescent="0.25">
      <c r="B531" s="765" t="s">
        <v>487</v>
      </c>
      <c r="C531" s="750" t="s">
        <v>1182</v>
      </c>
      <c r="D531" s="749" t="s">
        <v>475</v>
      </c>
      <c r="E531" s="749" t="s">
        <v>1183</v>
      </c>
      <c r="F531" s="1008" t="s">
        <v>490</v>
      </c>
      <c r="G531" s="1009"/>
      <c r="H531" s="751" t="s">
        <v>513</v>
      </c>
      <c r="I531" s="791">
        <v>0.4</v>
      </c>
      <c r="J531" s="802">
        <v>91.21</v>
      </c>
      <c r="K531" s="779">
        <v>36.479999999999997</v>
      </c>
      <c r="L531" s="822">
        <v>91.21</v>
      </c>
      <c r="M531" s="753">
        <v>36.479999999999997</v>
      </c>
    </row>
    <row r="532" spans="2:13" x14ac:dyDescent="0.25">
      <c r="B532" s="823"/>
      <c r="C532" s="744"/>
      <c r="D532" s="744"/>
      <c r="E532" s="744"/>
      <c r="F532" s="744" t="s">
        <v>498</v>
      </c>
      <c r="G532" s="745">
        <v>18.73</v>
      </c>
      <c r="H532" s="744" t="s">
        <v>499</v>
      </c>
      <c r="I532" s="787">
        <v>0</v>
      </c>
      <c r="J532" s="823" t="s">
        <v>500</v>
      </c>
      <c r="K532" s="787">
        <v>18.73</v>
      </c>
      <c r="L532" s="744" t="s">
        <v>500</v>
      </c>
      <c r="M532" s="745">
        <v>17.329999999999998</v>
      </c>
    </row>
    <row r="533" spans="2:13" ht="14.25" customHeight="1" x14ac:dyDescent="0.25">
      <c r="B533" s="823"/>
      <c r="C533" s="744"/>
      <c r="D533" s="744"/>
      <c r="E533" s="744"/>
      <c r="F533" s="744" t="s">
        <v>501</v>
      </c>
      <c r="G533" s="745">
        <v>20.149999999999999</v>
      </c>
      <c r="H533" s="744"/>
      <c r="I533" s="812" t="s">
        <v>502</v>
      </c>
      <c r="J533" s="793"/>
      <c r="K533" s="787">
        <v>100.05</v>
      </c>
      <c r="L533" s="746"/>
      <c r="M533" s="745">
        <v>102.54</v>
      </c>
    </row>
    <row r="534" spans="2:13" ht="50.1" customHeight="1" thickBot="1" x14ac:dyDescent="0.3">
      <c r="B534" s="776"/>
      <c r="C534" s="747"/>
      <c r="D534" s="747"/>
      <c r="E534" s="747"/>
      <c r="F534" s="747"/>
      <c r="G534" s="747"/>
      <c r="H534" s="747" t="s">
        <v>503</v>
      </c>
      <c r="I534" s="807">
        <v>121</v>
      </c>
      <c r="J534" s="776" t="s">
        <v>504</v>
      </c>
      <c r="K534" s="807">
        <v>47923.95</v>
      </c>
      <c r="L534" s="747" t="s">
        <v>504</v>
      </c>
      <c r="M534" s="748">
        <v>12407.34</v>
      </c>
    </row>
    <row r="535" spans="2:13" ht="16.5" thickTop="1" x14ac:dyDescent="0.25">
      <c r="B535" s="768"/>
      <c r="C535" s="757"/>
      <c r="D535" s="757"/>
      <c r="E535" s="757"/>
      <c r="F535" s="757"/>
      <c r="G535" s="757"/>
      <c r="H535" s="757"/>
      <c r="I535" s="766"/>
      <c r="J535" s="768"/>
      <c r="K535" s="766"/>
      <c r="L535" s="757"/>
      <c r="M535" s="757"/>
    </row>
    <row r="536" spans="2:13" ht="18" customHeight="1" x14ac:dyDescent="0.25">
      <c r="B536" s="805" t="s">
        <v>1455</v>
      </c>
      <c r="C536" s="736" t="s">
        <v>391</v>
      </c>
      <c r="D536" s="735" t="s">
        <v>392</v>
      </c>
      <c r="E536" s="735" t="s">
        <v>42</v>
      </c>
      <c r="F536" s="1004" t="s">
        <v>39</v>
      </c>
      <c r="G536" s="1005"/>
      <c r="H536" s="738" t="s">
        <v>394</v>
      </c>
      <c r="I536" s="767" t="s">
        <v>395</v>
      </c>
      <c r="J536" s="808" t="s">
        <v>396</v>
      </c>
      <c r="K536" s="767" t="s">
        <v>0</v>
      </c>
      <c r="L536" s="782" t="s">
        <v>396</v>
      </c>
      <c r="M536" s="736" t="s">
        <v>0</v>
      </c>
    </row>
    <row r="537" spans="2:13" ht="39" customHeight="1" x14ac:dyDescent="0.25">
      <c r="B537" s="797" t="s">
        <v>487</v>
      </c>
      <c r="C537" s="758" t="s">
        <v>1184</v>
      </c>
      <c r="D537" s="619" t="s">
        <v>475</v>
      </c>
      <c r="E537" s="619" t="s">
        <v>1185</v>
      </c>
      <c r="F537" s="1006" t="s">
        <v>490</v>
      </c>
      <c r="G537" s="1007"/>
      <c r="H537" s="718" t="s">
        <v>491</v>
      </c>
      <c r="I537" s="786">
        <v>1</v>
      </c>
      <c r="J537" s="770">
        <v>725.02</v>
      </c>
      <c r="K537" s="774">
        <v>725.02</v>
      </c>
      <c r="L537" s="811">
        <v>725.02</v>
      </c>
      <c r="M537" s="760">
        <v>725.02</v>
      </c>
    </row>
    <row r="538" spans="2:13" x14ac:dyDescent="0.25">
      <c r="B538" s="823"/>
      <c r="C538" s="744"/>
      <c r="D538" s="744"/>
      <c r="E538" s="744"/>
      <c r="F538" s="744" t="s">
        <v>498</v>
      </c>
      <c r="G538" s="745">
        <v>0</v>
      </c>
      <c r="H538" s="744" t="s">
        <v>499</v>
      </c>
      <c r="I538" s="787">
        <v>0</v>
      </c>
      <c r="J538" s="823" t="s">
        <v>500</v>
      </c>
      <c r="K538" s="787">
        <v>0</v>
      </c>
      <c r="L538" s="744" t="s">
        <v>500</v>
      </c>
      <c r="M538" s="745">
        <v>0</v>
      </c>
    </row>
    <row r="539" spans="2:13" ht="14.25" customHeight="1" x14ac:dyDescent="0.25">
      <c r="B539" s="823"/>
      <c r="C539" s="744"/>
      <c r="D539" s="744"/>
      <c r="E539" s="744"/>
      <c r="F539" s="744" t="s">
        <v>501</v>
      </c>
      <c r="G539" s="745"/>
      <c r="H539" s="744"/>
      <c r="I539" s="812" t="s">
        <v>502</v>
      </c>
      <c r="J539" s="793"/>
      <c r="K539" s="787">
        <v>907.94</v>
      </c>
      <c r="L539" s="746"/>
      <c r="M539" s="745">
        <v>876.69</v>
      </c>
    </row>
    <row r="540" spans="2:13" ht="50.1" customHeight="1" thickBot="1" x14ac:dyDescent="0.3">
      <c r="B540" s="776"/>
      <c r="C540" s="747"/>
      <c r="D540" s="747"/>
      <c r="E540" s="747"/>
      <c r="F540" s="747"/>
      <c r="G540" s="747"/>
      <c r="H540" s="747" t="s">
        <v>503</v>
      </c>
      <c r="I540" s="806" t="s">
        <v>1356</v>
      </c>
      <c r="J540" s="776" t="s">
        <v>504</v>
      </c>
      <c r="K540" s="807">
        <v>36317.599999999999</v>
      </c>
      <c r="L540" s="747" t="s">
        <v>504</v>
      </c>
      <c r="M540" s="748">
        <v>35067.599999999999</v>
      </c>
    </row>
    <row r="541" spans="2:13" ht="16.5" thickTop="1" x14ac:dyDescent="0.25">
      <c r="B541" s="768"/>
      <c r="C541" s="757"/>
      <c r="D541" s="757"/>
      <c r="E541" s="757"/>
      <c r="F541" s="757"/>
      <c r="G541" s="757"/>
      <c r="H541" s="757"/>
      <c r="I541" s="766"/>
      <c r="J541" s="768"/>
      <c r="K541" s="766"/>
      <c r="L541" s="757"/>
      <c r="M541" s="757"/>
    </row>
    <row r="542" spans="2:13" ht="18" customHeight="1" x14ac:dyDescent="0.25">
      <c r="B542" s="805" t="s">
        <v>427</v>
      </c>
      <c r="C542" s="736" t="s">
        <v>391</v>
      </c>
      <c r="D542" s="735" t="s">
        <v>392</v>
      </c>
      <c r="E542" s="735" t="s">
        <v>42</v>
      </c>
      <c r="F542" s="1004" t="s">
        <v>39</v>
      </c>
      <c r="G542" s="1005"/>
      <c r="H542" s="738" t="s">
        <v>394</v>
      </c>
      <c r="I542" s="767" t="s">
        <v>395</v>
      </c>
      <c r="J542" s="808" t="s">
        <v>396</v>
      </c>
      <c r="K542" s="767" t="s">
        <v>0</v>
      </c>
      <c r="L542" s="782" t="s">
        <v>396</v>
      </c>
      <c r="M542" s="736" t="s">
        <v>0</v>
      </c>
    </row>
    <row r="543" spans="2:13" ht="51.95" customHeight="1" x14ac:dyDescent="0.25">
      <c r="B543" s="789" t="s">
        <v>473</v>
      </c>
      <c r="C543" s="740" t="s">
        <v>1186</v>
      </c>
      <c r="D543" s="739" t="s">
        <v>475</v>
      </c>
      <c r="E543" s="739" t="s">
        <v>1187</v>
      </c>
      <c r="F543" s="1010" t="s">
        <v>1431</v>
      </c>
      <c r="G543" s="1011"/>
      <c r="H543" s="742" t="s">
        <v>491</v>
      </c>
      <c r="I543" s="803">
        <v>1</v>
      </c>
      <c r="J543" s="799">
        <v>119.72</v>
      </c>
      <c r="K543" s="814">
        <v>119.72</v>
      </c>
      <c r="L543" s="778">
        <v>116.12</v>
      </c>
      <c r="M543" s="743">
        <v>116.12</v>
      </c>
    </row>
    <row r="544" spans="2:13" ht="31.5" x14ac:dyDescent="0.25">
      <c r="B544" s="765" t="s">
        <v>478</v>
      </c>
      <c r="C544" s="750" t="s">
        <v>645</v>
      </c>
      <c r="D544" s="749" t="s">
        <v>475</v>
      </c>
      <c r="E544" s="749" t="s">
        <v>646</v>
      </c>
      <c r="F544" s="1008" t="s">
        <v>1294</v>
      </c>
      <c r="G544" s="1009"/>
      <c r="H544" s="751" t="s">
        <v>2</v>
      </c>
      <c r="I544" s="791">
        <v>2.3E-2</v>
      </c>
      <c r="J544" s="802">
        <v>683.64</v>
      </c>
      <c r="K544" s="779">
        <v>15.72</v>
      </c>
      <c r="L544" s="822">
        <v>673.27</v>
      </c>
      <c r="M544" s="753">
        <v>15.48</v>
      </c>
    </row>
    <row r="545" spans="2:13" ht="39" customHeight="1" x14ac:dyDescent="0.25">
      <c r="B545" s="765" t="s">
        <v>478</v>
      </c>
      <c r="C545" s="750" t="s">
        <v>634</v>
      </c>
      <c r="D545" s="749" t="s">
        <v>475</v>
      </c>
      <c r="E545" s="749" t="s">
        <v>635</v>
      </c>
      <c r="F545" s="1008" t="s">
        <v>1285</v>
      </c>
      <c r="G545" s="1009"/>
      <c r="H545" s="751" t="s">
        <v>564</v>
      </c>
      <c r="I545" s="791">
        <v>0.15279999999999999</v>
      </c>
      <c r="J545" s="802">
        <v>211.46</v>
      </c>
      <c r="K545" s="779">
        <v>32.31</v>
      </c>
      <c r="L545" s="822">
        <v>209.33</v>
      </c>
      <c r="M545" s="753">
        <v>31.98</v>
      </c>
    </row>
    <row r="546" spans="2:13" ht="39" customHeight="1" x14ac:dyDescent="0.25">
      <c r="B546" s="765" t="s">
        <v>478</v>
      </c>
      <c r="C546" s="750" t="s">
        <v>636</v>
      </c>
      <c r="D546" s="749" t="s">
        <v>475</v>
      </c>
      <c r="E546" s="749" t="s">
        <v>637</v>
      </c>
      <c r="F546" s="1008" t="s">
        <v>1285</v>
      </c>
      <c r="G546" s="1009"/>
      <c r="H546" s="751" t="s">
        <v>592</v>
      </c>
      <c r="I546" s="791">
        <v>0.29659999999999997</v>
      </c>
      <c r="J546" s="802">
        <v>91.03</v>
      </c>
      <c r="K546" s="779">
        <v>26.99</v>
      </c>
      <c r="L546" s="822">
        <v>88.9</v>
      </c>
      <c r="M546" s="753">
        <v>26.36</v>
      </c>
    </row>
    <row r="547" spans="2:13" ht="24" customHeight="1" x14ac:dyDescent="0.25">
      <c r="B547" s="765" t="s">
        <v>478</v>
      </c>
      <c r="C547" s="750" t="s">
        <v>643</v>
      </c>
      <c r="D547" s="749" t="s">
        <v>475</v>
      </c>
      <c r="E547" s="749" t="s">
        <v>644</v>
      </c>
      <c r="F547" s="1008" t="s">
        <v>1268</v>
      </c>
      <c r="G547" s="1009"/>
      <c r="H547" s="751" t="s">
        <v>484</v>
      </c>
      <c r="I547" s="791">
        <v>0.68279999999999996</v>
      </c>
      <c r="J547" s="802">
        <v>19.96</v>
      </c>
      <c r="K547" s="779">
        <v>13.62</v>
      </c>
      <c r="L547" s="822">
        <v>18.87</v>
      </c>
      <c r="M547" s="753">
        <v>12.88</v>
      </c>
    </row>
    <row r="548" spans="2:13" ht="24" customHeight="1" x14ac:dyDescent="0.25">
      <c r="B548" s="765" t="s">
        <v>478</v>
      </c>
      <c r="C548" s="750" t="s">
        <v>485</v>
      </c>
      <c r="D548" s="749" t="s">
        <v>475</v>
      </c>
      <c r="E548" s="749" t="s">
        <v>486</v>
      </c>
      <c r="F548" s="1008" t="s">
        <v>1268</v>
      </c>
      <c r="G548" s="1009"/>
      <c r="H548" s="751" t="s">
        <v>484</v>
      </c>
      <c r="I548" s="791">
        <v>1.3655999999999999</v>
      </c>
      <c r="J548" s="802">
        <v>22.76</v>
      </c>
      <c r="K548" s="779">
        <v>31.08</v>
      </c>
      <c r="L548" s="822">
        <v>21.55</v>
      </c>
      <c r="M548" s="753">
        <v>29.42</v>
      </c>
    </row>
    <row r="549" spans="2:13" x14ac:dyDescent="0.25">
      <c r="B549" s="823"/>
      <c r="C549" s="744"/>
      <c r="D549" s="744"/>
      <c r="E549" s="744"/>
      <c r="F549" s="744" t="s">
        <v>498</v>
      </c>
      <c r="G549" s="745">
        <v>48.06</v>
      </c>
      <c r="H549" s="744" t="s">
        <v>499</v>
      </c>
      <c r="I549" s="787">
        <v>0</v>
      </c>
      <c r="J549" s="823" t="s">
        <v>500</v>
      </c>
      <c r="K549" s="787">
        <v>48.06</v>
      </c>
      <c r="L549" s="744" t="s">
        <v>500</v>
      </c>
      <c r="M549" s="745">
        <v>44.46</v>
      </c>
    </row>
    <row r="550" spans="2:13" ht="14.25" customHeight="1" x14ac:dyDescent="0.25">
      <c r="B550" s="823"/>
      <c r="C550" s="744"/>
      <c r="D550" s="744"/>
      <c r="E550" s="744"/>
      <c r="F550" s="744" t="s">
        <v>501</v>
      </c>
      <c r="G550" s="745">
        <v>30.2</v>
      </c>
      <c r="H550" s="744"/>
      <c r="I550" s="812" t="s">
        <v>502</v>
      </c>
      <c r="J550" s="793"/>
      <c r="K550" s="787">
        <v>149.91999999999999</v>
      </c>
      <c r="L550" s="746"/>
      <c r="M550" s="745">
        <v>151.72</v>
      </c>
    </row>
    <row r="551" spans="2:13" ht="50.1" customHeight="1" thickBot="1" x14ac:dyDescent="0.3">
      <c r="B551" s="776"/>
      <c r="C551" s="747"/>
      <c r="D551" s="747"/>
      <c r="E551" s="747"/>
      <c r="F551" s="747"/>
      <c r="G551" s="747"/>
      <c r="H551" s="747" t="s">
        <v>503</v>
      </c>
      <c r="I551" s="806" t="s">
        <v>1356</v>
      </c>
      <c r="J551" s="776" t="s">
        <v>504</v>
      </c>
      <c r="K551" s="807">
        <v>5996.8</v>
      </c>
      <c r="L551" s="747" t="s">
        <v>504</v>
      </c>
      <c r="M551" s="748">
        <v>6068.8</v>
      </c>
    </row>
    <row r="552" spans="2:13" ht="16.5" thickTop="1" x14ac:dyDescent="0.25">
      <c r="B552" s="768"/>
      <c r="C552" s="757"/>
      <c r="D552" s="757"/>
      <c r="E552" s="757"/>
      <c r="F552" s="757"/>
      <c r="G552" s="757"/>
      <c r="H552" s="757"/>
      <c r="I552" s="766"/>
      <c r="J552" s="768"/>
      <c r="K552" s="766"/>
      <c r="L552" s="757"/>
      <c r="M552" s="757"/>
    </row>
    <row r="553" spans="2:13" ht="18" customHeight="1" x14ac:dyDescent="0.25">
      <c r="B553" s="805" t="s">
        <v>428</v>
      </c>
      <c r="C553" s="736" t="s">
        <v>391</v>
      </c>
      <c r="D553" s="735" t="s">
        <v>392</v>
      </c>
      <c r="E553" s="735" t="s">
        <v>42</v>
      </c>
      <c r="F553" s="1004" t="s">
        <v>39</v>
      </c>
      <c r="G553" s="1005"/>
      <c r="H553" s="738" t="s">
        <v>394</v>
      </c>
      <c r="I553" s="767" t="s">
        <v>395</v>
      </c>
      <c r="J553" s="808" t="s">
        <v>396</v>
      </c>
      <c r="K553" s="767" t="s">
        <v>0</v>
      </c>
      <c r="L553" s="782" t="s">
        <v>396</v>
      </c>
      <c r="M553" s="736" t="s">
        <v>0</v>
      </c>
    </row>
    <row r="554" spans="2:13" ht="39" customHeight="1" x14ac:dyDescent="0.25">
      <c r="B554" s="789" t="s">
        <v>473</v>
      </c>
      <c r="C554" s="740" t="s">
        <v>649</v>
      </c>
      <c r="D554" s="739" t="s">
        <v>475</v>
      </c>
      <c r="E554" s="739" t="s">
        <v>650</v>
      </c>
      <c r="F554" s="1010" t="s">
        <v>1289</v>
      </c>
      <c r="G554" s="1011"/>
      <c r="H554" s="742" t="s">
        <v>651</v>
      </c>
      <c r="I554" s="803">
        <v>1</v>
      </c>
      <c r="J554" s="799">
        <v>2.2599999999999998</v>
      </c>
      <c r="K554" s="814">
        <v>2.2599999999999998</v>
      </c>
      <c r="L554" s="778">
        <v>2.23</v>
      </c>
      <c r="M554" s="743">
        <v>2.23</v>
      </c>
    </row>
    <row r="555" spans="2:13" ht="65.099999999999994" customHeight="1" x14ac:dyDescent="0.25">
      <c r="B555" s="765" t="s">
        <v>478</v>
      </c>
      <c r="C555" s="750" t="s">
        <v>652</v>
      </c>
      <c r="D555" s="749" t="s">
        <v>475</v>
      </c>
      <c r="E555" s="749" t="s">
        <v>653</v>
      </c>
      <c r="F555" s="1008" t="s">
        <v>1285</v>
      </c>
      <c r="G555" s="1009"/>
      <c r="H555" s="751" t="s">
        <v>564</v>
      </c>
      <c r="I555" s="791">
        <v>9.2999999999999992E-3</v>
      </c>
      <c r="J555" s="802">
        <v>217.34</v>
      </c>
      <c r="K555" s="779">
        <v>2.02</v>
      </c>
      <c r="L555" s="822">
        <v>215.74</v>
      </c>
      <c r="M555" s="753">
        <v>2</v>
      </c>
    </row>
    <row r="556" spans="2:13" ht="65.099999999999994" customHeight="1" x14ac:dyDescent="0.25">
      <c r="B556" s="765" t="s">
        <v>478</v>
      </c>
      <c r="C556" s="750" t="s">
        <v>654</v>
      </c>
      <c r="D556" s="749" t="s">
        <v>475</v>
      </c>
      <c r="E556" s="749" t="s">
        <v>655</v>
      </c>
      <c r="F556" s="1008" t="s">
        <v>1285</v>
      </c>
      <c r="G556" s="1009"/>
      <c r="H556" s="751" t="s">
        <v>592</v>
      </c>
      <c r="I556" s="791">
        <v>4.0000000000000001E-3</v>
      </c>
      <c r="J556" s="802">
        <v>61.26</v>
      </c>
      <c r="K556" s="779">
        <v>0.24</v>
      </c>
      <c r="L556" s="822">
        <v>59.66</v>
      </c>
      <c r="M556" s="753">
        <v>0.23</v>
      </c>
    </row>
    <row r="557" spans="2:13" x14ac:dyDescent="0.25">
      <c r="B557" s="823"/>
      <c r="C557" s="744"/>
      <c r="D557" s="744"/>
      <c r="E557" s="744"/>
      <c r="F557" s="744" t="s">
        <v>498</v>
      </c>
      <c r="G557" s="745">
        <v>0.27</v>
      </c>
      <c r="H557" s="744" t="s">
        <v>499</v>
      </c>
      <c r="I557" s="787">
        <v>0</v>
      </c>
      <c r="J557" s="823" t="s">
        <v>500</v>
      </c>
      <c r="K557" s="787">
        <v>0.27</v>
      </c>
      <c r="L557" s="744" t="s">
        <v>500</v>
      </c>
      <c r="M557" s="745">
        <v>0.25</v>
      </c>
    </row>
    <row r="558" spans="2:13" ht="14.25" customHeight="1" x14ac:dyDescent="0.25">
      <c r="B558" s="823"/>
      <c r="C558" s="744"/>
      <c r="D558" s="744"/>
      <c r="E558" s="744"/>
      <c r="F558" s="744" t="s">
        <v>501</v>
      </c>
      <c r="G558" s="745">
        <v>0.56999999999999995</v>
      </c>
      <c r="H558" s="744"/>
      <c r="I558" s="812" t="s">
        <v>502</v>
      </c>
      <c r="J558" s="793"/>
      <c r="K558" s="787">
        <v>2.83</v>
      </c>
      <c r="L558" s="746"/>
      <c r="M558" s="745">
        <v>2.91</v>
      </c>
    </row>
    <row r="559" spans="2:13" ht="50.1" customHeight="1" thickBot="1" x14ac:dyDescent="0.3">
      <c r="B559" s="776"/>
      <c r="C559" s="747"/>
      <c r="D559" s="747"/>
      <c r="E559" s="747"/>
      <c r="F559" s="747"/>
      <c r="G559" s="747"/>
      <c r="H559" s="747" t="s">
        <v>503</v>
      </c>
      <c r="I559" s="806" t="s">
        <v>1357</v>
      </c>
      <c r="J559" s="776" t="s">
        <v>504</v>
      </c>
      <c r="K559" s="807">
        <v>46683.96</v>
      </c>
      <c r="L559" s="747" t="s">
        <v>504</v>
      </c>
      <c r="M559" s="748">
        <v>48003.65</v>
      </c>
    </row>
    <row r="560" spans="2:13" ht="16.5" thickTop="1" x14ac:dyDescent="0.25">
      <c r="B560" s="768"/>
      <c r="C560" s="757"/>
      <c r="D560" s="757"/>
      <c r="E560" s="757"/>
      <c r="F560" s="757"/>
      <c r="G560" s="757"/>
      <c r="H560" s="757"/>
      <c r="I560" s="766"/>
      <c r="J560" s="768"/>
      <c r="K560" s="766"/>
      <c r="L560" s="757"/>
      <c r="M560" s="757"/>
    </row>
    <row r="561" spans="2:13" ht="18" customHeight="1" x14ac:dyDescent="0.25">
      <c r="B561" s="805" t="s">
        <v>429</v>
      </c>
      <c r="C561" s="736" t="s">
        <v>391</v>
      </c>
      <c r="D561" s="735" t="s">
        <v>392</v>
      </c>
      <c r="E561" s="735" t="s">
        <v>42</v>
      </c>
      <c r="F561" s="1004" t="s">
        <v>39</v>
      </c>
      <c r="G561" s="1005"/>
      <c r="H561" s="738" t="s">
        <v>394</v>
      </c>
      <c r="I561" s="767" t="s">
        <v>395</v>
      </c>
      <c r="J561" s="808" t="s">
        <v>396</v>
      </c>
      <c r="K561" s="767" t="s">
        <v>0</v>
      </c>
      <c r="L561" s="782" t="s">
        <v>396</v>
      </c>
      <c r="M561" s="736" t="s">
        <v>0</v>
      </c>
    </row>
    <row r="562" spans="2:13" ht="47.25" x14ac:dyDescent="0.25">
      <c r="B562" s="789" t="s">
        <v>473</v>
      </c>
      <c r="C562" s="740" t="s">
        <v>656</v>
      </c>
      <c r="D562" s="739" t="s">
        <v>475</v>
      </c>
      <c r="E562" s="739" t="s">
        <v>657</v>
      </c>
      <c r="F562" s="1010" t="s">
        <v>1289</v>
      </c>
      <c r="G562" s="1011"/>
      <c r="H562" s="742" t="s">
        <v>651</v>
      </c>
      <c r="I562" s="803">
        <v>1</v>
      </c>
      <c r="J562" s="799">
        <v>0.89</v>
      </c>
      <c r="K562" s="814">
        <v>0.89</v>
      </c>
      <c r="L562" s="778">
        <v>0.88</v>
      </c>
      <c r="M562" s="743">
        <v>0.88</v>
      </c>
    </row>
    <row r="563" spans="2:13" ht="65.099999999999994" customHeight="1" x14ac:dyDescent="0.25">
      <c r="B563" s="765" t="s">
        <v>478</v>
      </c>
      <c r="C563" s="750" t="s">
        <v>654</v>
      </c>
      <c r="D563" s="749" t="s">
        <v>475</v>
      </c>
      <c r="E563" s="749" t="s">
        <v>655</v>
      </c>
      <c r="F563" s="1008" t="s">
        <v>1285</v>
      </c>
      <c r="G563" s="1009"/>
      <c r="H563" s="751" t="s">
        <v>592</v>
      </c>
      <c r="I563" s="791">
        <v>1.6000000000000001E-3</v>
      </c>
      <c r="J563" s="802">
        <v>61.26</v>
      </c>
      <c r="K563" s="779">
        <v>0.09</v>
      </c>
      <c r="L563" s="822">
        <v>59.66</v>
      </c>
      <c r="M563" s="753">
        <v>0.09</v>
      </c>
    </row>
    <row r="564" spans="2:13" ht="65.099999999999994" customHeight="1" x14ac:dyDescent="0.25">
      <c r="B564" s="765" t="s">
        <v>478</v>
      </c>
      <c r="C564" s="750" t="s">
        <v>652</v>
      </c>
      <c r="D564" s="749" t="s">
        <v>475</v>
      </c>
      <c r="E564" s="749" t="s">
        <v>653</v>
      </c>
      <c r="F564" s="1008" t="s">
        <v>1285</v>
      </c>
      <c r="G564" s="1009"/>
      <c r="H564" s="751" t="s">
        <v>564</v>
      </c>
      <c r="I564" s="791">
        <v>3.7000000000000002E-3</v>
      </c>
      <c r="J564" s="802">
        <v>217.34</v>
      </c>
      <c r="K564" s="779">
        <v>0.8</v>
      </c>
      <c r="L564" s="822">
        <v>215.74</v>
      </c>
      <c r="M564" s="753">
        <v>0.79</v>
      </c>
    </row>
    <row r="565" spans="2:13" x14ac:dyDescent="0.25">
      <c r="B565" s="823"/>
      <c r="C565" s="744"/>
      <c r="D565" s="744"/>
      <c r="E565" s="744"/>
      <c r="F565" s="744" t="s">
        <v>498</v>
      </c>
      <c r="G565" s="745">
        <v>0.1</v>
      </c>
      <c r="H565" s="744" t="s">
        <v>499</v>
      </c>
      <c r="I565" s="787">
        <v>0</v>
      </c>
      <c r="J565" s="823" t="s">
        <v>500</v>
      </c>
      <c r="K565" s="787">
        <v>0.1</v>
      </c>
      <c r="L565" s="744" t="s">
        <v>500</v>
      </c>
      <c r="M565" s="745">
        <v>0.1</v>
      </c>
    </row>
    <row r="566" spans="2:13" ht="14.25" customHeight="1" x14ac:dyDescent="0.25">
      <c r="B566" s="823"/>
      <c r="C566" s="744"/>
      <c r="D566" s="744"/>
      <c r="E566" s="744"/>
      <c r="F566" s="744" t="s">
        <v>501</v>
      </c>
      <c r="G566" s="745">
        <v>0.22</v>
      </c>
      <c r="H566" s="744"/>
      <c r="I566" s="812" t="s">
        <v>502</v>
      </c>
      <c r="J566" s="793"/>
      <c r="K566" s="787">
        <v>1.1100000000000001</v>
      </c>
      <c r="L566" s="746"/>
      <c r="M566" s="745">
        <v>1.1399999999999999</v>
      </c>
    </row>
    <row r="567" spans="2:13" ht="50.1" customHeight="1" thickBot="1" x14ac:dyDescent="0.3">
      <c r="B567" s="776"/>
      <c r="C567" s="747"/>
      <c r="D567" s="747"/>
      <c r="E567" s="747"/>
      <c r="F567" s="747"/>
      <c r="G567" s="747"/>
      <c r="H567" s="747" t="s">
        <v>503</v>
      </c>
      <c r="I567" s="806" t="s">
        <v>1500</v>
      </c>
      <c r="J567" s="776" t="s">
        <v>504</v>
      </c>
      <c r="K567" s="807">
        <v>183717.06</v>
      </c>
      <c r="L567" s="747" t="s">
        <v>504</v>
      </c>
      <c r="M567" s="748">
        <v>188682.39</v>
      </c>
    </row>
    <row r="568" spans="2:13" ht="16.5" thickTop="1" x14ac:dyDescent="0.25">
      <c r="B568" s="768"/>
      <c r="C568" s="757"/>
      <c r="D568" s="757"/>
      <c r="E568" s="757"/>
      <c r="F568" s="757"/>
      <c r="G568" s="757"/>
      <c r="H568" s="757"/>
      <c r="I568" s="766"/>
      <c r="J568" s="768"/>
      <c r="K568" s="766"/>
      <c r="L568" s="757"/>
      <c r="M568" s="757"/>
    </row>
    <row r="569" spans="2:13" ht="18" customHeight="1" x14ac:dyDescent="0.25">
      <c r="B569" s="805" t="s">
        <v>974</v>
      </c>
      <c r="C569" s="736" t="s">
        <v>391</v>
      </c>
      <c r="D569" s="735" t="s">
        <v>392</v>
      </c>
      <c r="E569" s="735" t="s">
        <v>42</v>
      </c>
      <c r="F569" s="1004" t="s">
        <v>39</v>
      </c>
      <c r="G569" s="1005"/>
      <c r="H569" s="738" t="s">
        <v>394</v>
      </c>
      <c r="I569" s="767" t="s">
        <v>395</v>
      </c>
      <c r="J569" s="808" t="s">
        <v>396</v>
      </c>
      <c r="K569" s="767" t="s">
        <v>0</v>
      </c>
      <c r="L569" s="782" t="s">
        <v>396</v>
      </c>
      <c r="M569" s="736" t="s">
        <v>0</v>
      </c>
    </row>
    <row r="570" spans="2:13" ht="51.95" customHeight="1" x14ac:dyDescent="0.25">
      <c r="B570" s="789" t="s">
        <v>473</v>
      </c>
      <c r="C570" s="740" t="s">
        <v>1260</v>
      </c>
      <c r="D570" s="739" t="s">
        <v>509</v>
      </c>
      <c r="E570" s="739" t="s">
        <v>658</v>
      </c>
      <c r="F570" s="1010" t="s">
        <v>659</v>
      </c>
      <c r="G570" s="1011"/>
      <c r="H570" s="742" t="s">
        <v>660</v>
      </c>
      <c r="I570" s="803">
        <v>1</v>
      </c>
      <c r="J570" s="799">
        <v>1831.84</v>
      </c>
      <c r="K570" s="814">
        <v>1831.84</v>
      </c>
      <c r="L570" s="778">
        <v>1802.91</v>
      </c>
      <c r="M570" s="743">
        <v>1802.91</v>
      </c>
    </row>
    <row r="571" spans="2:13" ht="24" customHeight="1" x14ac:dyDescent="0.25">
      <c r="B571" s="765" t="s">
        <v>478</v>
      </c>
      <c r="C571" s="750" t="s">
        <v>662</v>
      </c>
      <c r="D571" s="749" t="s">
        <v>475</v>
      </c>
      <c r="E571" s="749" t="s">
        <v>1189</v>
      </c>
      <c r="F571" s="1008" t="s">
        <v>1291</v>
      </c>
      <c r="G571" s="1009"/>
      <c r="H571" s="751" t="s">
        <v>2</v>
      </c>
      <c r="I571" s="791">
        <v>0.95</v>
      </c>
      <c r="J571" s="802">
        <v>90.03</v>
      </c>
      <c r="K571" s="779">
        <v>85.52</v>
      </c>
      <c r="L571" s="822">
        <v>85.24</v>
      </c>
      <c r="M571" s="753">
        <v>80.97</v>
      </c>
    </row>
    <row r="572" spans="2:13" ht="39" customHeight="1" x14ac:dyDescent="0.25">
      <c r="B572" s="765" t="s">
        <v>478</v>
      </c>
      <c r="C572" s="750" t="s">
        <v>1188</v>
      </c>
      <c r="D572" s="749" t="s">
        <v>509</v>
      </c>
      <c r="E572" s="749" t="s">
        <v>661</v>
      </c>
      <c r="F572" s="1008" t="s">
        <v>477</v>
      </c>
      <c r="G572" s="1009"/>
      <c r="H572" s="751" t="s">
        <v>491</v>
      </c>
      <c r="I572" s="791">
        <v>3.31</v>
      </c>
      <c r="J572" s="802">
        <v>3.22</v>
      </c>
      <c r="K572" s="779">
        <v>10.65</v>
      </c>
      <c r="L572" s="822">
        <v>3.12</v>
      </c>
      <c r="M572" s="753">
        <v>10.32</v>
      </c>
    </row>
    <row r="573" spans="2:13" ht="47.25" x14ac:dyDescent="0.25">
      <c r="B573" s="765" t="s">
        <v>478</v>
      </c>
      <c r="C573" s="750" t="s">
        <v>666</v>
      </c>
      <c r="D573" s="749" t="s">
        <v>475</v>
      </c>
      <c r="E573" s="749" t="s">
        <v>961</v>
      </c>
      <c r="F573" s="1008" t="s">
        <v>1297</v>
      </c>
      <c r="G573" s="1009"/>
      <c r="H573" s="751" t="s">
        <v>2</v>
      </c>
      <c r="I573" s="791">
        <v>0.70199999999999996</v>
      </c>
      <c r="J573" s="802">
        <v>491.72</v>
      </c>
      <c r="K573" s="779">
        <v>345.18</v>
      </c>
      <c r="L573" s="822">
        <v>485.98</v>
      </c>
      <c r="M573" s="753">
        <v>341.15</v>
      </c>
    </row>
    <row r="574" spans="2:13" ht="65.099999999999994" customHeight="1" x14ac:dyDescent="0.25">
      <c r="B574" s="765" t="s">
        <v>478</v>
      </c>
      <c r="C574" s="750" t="s">
        <v>669</v>
      </c>
      <c r="D574" s="749" t="s">
        <v>475</v>
      </c>
      <c r="E574" s="749" t="s">
        <v>670</v>
      </c>
      <c r="F574" s="1008" t="s">
        <v>1285</v>
      </c>
      <c r="G574" s="1009"/>
      <c r="H574" s="751" t="s">
        <v>564</v>
      </c>
      <c r="I574" s="791">
        <v>0.1</v>
      </c>
      <c r="J574" s="802">
        <v>276.67</v>
      </c>
      <c r="K574" s="779">
        <v>27.66</v>
      </c>
      <c r="L574" s="822">
        <v>274.94</v>
      </c>
      <c r="M574" s="753">
        <v>27.49</v>
      </c>
    </row>
    <row r="575" spans="2:13" ht="51.95" customHeight="1" x14ac:dyDescent="0.25">
      <c r="B575" s="765" t="s">
        <v>478</v>
      </c>
      <c r="C575" s="750" t="s">
        <v>663</v>
      </c>
      <c r="D575" s="749" t="s">
        <v>475</v>
      </c>
      <c r="E575" s="749" t="s">
        <v>664</v>
      </c>
      <c r="F575" s="1008" t="s">
        <v>1298</v>
      </c>
      <c r="G575" s="1009"/>
      <c r="H575" s="751" t="s">
        <v>1</v>
      </c>
      <c r="I575" s="791">
        <v>3.04</v>
      </c>
      <c r="J575" s="802">
        <v>80.81</v>
      </c>
      <c r="K575" s="779">
        <v>245.66</v>
      </c>
      <c r="L575" s="822">
        <v>78.89</v>
      </c>
      <c r="M575" s="753">
        <v>239.82</v>
      </c>
    </row>
    <row r="576" spans="2:13" ht="47.25" x14ac:dyDescent="0.25">
      <c r="B576" s="765" t="s">
        <v>478</v>
      </c>
      <c r="C576" s="750" t="s">
        <v>618</v>
      </c>
      <c r="D576" s="749" t="s">
        <v>475</v>
      </c>
      <c r="E576" s="749" t="s">
        <v>1501</v>
      </c>
      <c r="F576" s="1008" t="s">
        <v>1292</v>
      </c>
      <c r="G576" s="1009"/>
      <c r="H576" s="751" t="s">
        <v>1</v>
      </c>
      <c r="I576" s="791">
        <v>2.06</v>
      </c>
      <c r="J576" s="802">
        <v>7.78</v>
      </c>
      <c r="K576" s="779">
        <v>16.02</v>
      </c>
      <c r="L576" s="822">
        <v>7.35</v>
      </c>
      <c r="M576" s="753">
        <v>15.14</v>
      </c>
    </row>
    <row r="577" spans="2:13" ht="47.25" x14ac:dyDescent="0.25">
      <c r="B577" s="765" t="s">
        <v>478</v>
      </c>
      <c r="C577" s="750" t="s">
        <v>672</v>
      </c>
      <c r="D577" s="749" t="s">
        <v>475</v>
      </c>
      <c r="E577" s="749" t="s">
        <v>963</v>
      </c>
      <c r="F577" s="1008" t="s">
        <v>1296</v>
      </c>
      <c r="G577" s="1009"/>
      <c r="H577" s="751" t="s">
        <v>495</v>
      </c>
      <c r="I577" s="791">
        <v>0.92</v>
      </c>
      <c r="J577" s="802">
        <v>16.920000000000002</v>
      </c>
      <c r="K577" s="779">
        <v>15.56</v>
      </c>
      <c r="L577" s="822">
        <v>16.47</v>
      </c>
      <c r="M577" s="753">
        <v>15.15</v>
      </c>
    </row>
    <row r="578" spans="2:13" ht="31.5" x14ac:dyDescent="0.25">
      <c r="B578" s="765" t="s">
        <v>478</v>
      </c>
      <c r="C578" s="750" t="s">
        <v>667</v>
      </c>
      <c r="D578" s="749" t="s">
        <v>475</v>
      </c>
      <c r="E578" s="749" t="s">
        <v>668</v>
      </c>
      <c r="F578" s="1008" t="s">
        <v>1295</v>
      </c>
      <c r="G578" s="1009"/>
      <c r="H578" s="751" t="s">
        <v>2</v>
      </c>
      <c r="I578" s="791">
        <v>0.70199999999999996</v>
      </c>
      <c r="J578" s="802">
        <v>308.54000000000002</v>
      </c>
      <c r="K578" s="779">
        <v>216.59</v>
      </c>
      <c r="L578" s="822">
        <v>291.64</v>
      </c>
      <c r="M578" s="753">
        <v>204.73</v>
      </c>
    </row>
    <row r="579" spans="2:13" ht="47.25" x14ac:dyDescent="0.25">
      <c r="B579" s="765" t="s">
        <v>478</v>
      </c>
      <c r="C579" s="750" t="s">
        <v>675</v>
      </c>
      <c r="D579" s="749" t="s">
        <v>475</v>
      </c>
      <c r="E579" s="749" t="s">
        <v>964</v>
      </c>
      <c r="F579" s="1008" t="s">
        <v>1296</v>
      </c>
      <c r="G579" s="1009"/>
      <c r="H579" s="751" t="s">
        <v>495</v>
      </c>
      <c r="I579" s="791">
        <v>2.79</v>
      </c>
      <c r="J579" s="802">
        <v>15.3</v>
      </c>
      <c r="K579" s="779">
        <v>42.68</v>
      </c>
      <c r="L579" s="822">
        <v>14.99</v>
      </c>
      <c r="M579" s="753">
        <v>41.82</v>
      </c>
    </row>
    <row r="580" spans="2:13" ht="31.5" x14ac:dyDescent="0.25">
      <c r="B580" s="765" t="s">
        <v>487</v>
      </c>
      <c r="C580" s="750" t="s">
        <v>1299</v>
      </c>
      <c r="D580" s="749" t="s">
        <v>509</v>
      </c>
      <c r="E580" s="749" t="s">
        <v>1300</v>
      </c>
      <c r="F580" s="1008" t="s">
        <v>490</v>
      </c>
      <c r="G580" s="1009"/>
      <c r="H580" s="751" t="s">
        <v>37</v>
      </c>
      <c r="I580" s="791">
        <v>1</v>
      </c>
      <c r="J580" s="802">
        <v>826.32</v>
      </c>
      <c r="K580" s="779">
        <v>826.32</v>
      </c>
      <c r="L580" s="822">
        <v>826.32</v>
      </c>
      <c r="M580" s="753">
        <v>826.32</v>
      </c>
    </row>
    <row r="581" spans="2:13" x14ac:dyDescent="0.25">
      <c r="B581" s="823"/>
      <c r="C581" s="744"/>
      <c r="D581" s="744"/>
      <c r="E581" s="744"/>
      <c r="F581" s="744" t="s">
        <v>498</v>
      </c>
      <c r="G581" s="745">
        <v>386.6</v>
      </c>
      <c r="H581" s="744" t="s">
        <v>499</v>
      </c>
      <c r="I581" s="787">
        <v>0</v>
      </c>
      <c r="J581" s="823" t="s">
        <v>500</v>
      </c>
      <c r="K581" s="787">
        <v>386.6</v>
      </c>
      <c r="L581" s="744" t="s">
        <v>500</v>
      </c>
      <c r="M581" s="745">
        <v>357.61</v>
      </c>
    </row>
    <row r="582" spans="2:13" ht="14.25" customHeight="1" x14ac:dyDescent="0.25">
      <c r="B582" s="823"/>
      <c r="C582" s="744"/>
      <c r="D582" s="744"/>
      <c r="E582" s="744"/>
      <c r="F582" s="744" t="s">
        <v>501</v>
      </c>
      <c r="G582" s="745">
        <v>462.17</v>
      </c>
      <c r="H582" s="744"/>
      <c r="I582" s="812" t="s">
        <v>502</v>
      </c>
      <c r="J582" s="793"/>
      <c r="K582" s="787">
        <v>2294.0100000000002</v>
      </c>
      <c r="L582" s="746"/>
      <c r="M582" s="745">
        <v>2355.6799999999998</v>
      </c>
    </row>
    <row r="583" spans="2:13" ht="50.1" customHeight="1" thickBot="1" x14ac:dyDescent="0.3">
      <c r="B583" s="776"/>
      <c r="C583" s="747"/>
      <c r="D583" s="747"/>
      <c r="E583" s="747"/>
      <c r="F583" s="747"/>
      <c r="G583" s="747"/>
      <c r="H583" s="747" t="s">
        <v>503</v>
      </c>
      <c r="I583" s="806" t="s">
        <v>1358</v>
      </c>
      <c r="J583" s="776" t="s">
        <v>504</v>
      </c>
      <c r="K583" s="807">
        <v>41292.18</v>
      </c>
      <c r="L583" s="747" t="s">
        <v>504</v>
      </c>
      <c r="M583" s="748">
        <v>42402.239999999998</v>
      </c>
    </row>
    <row r="584" spans="2:13" ht="16.5" thickTop="1" x14ac:dyDescent="0.25">
      <c r="B584" s="768"/>
      <c r="C584" s="757"/>
      <c r="D584" s="757"/>
      <c r="E584" s="757"/>
      <c r="F584" s="757"/>
      <c r="G584" s="757"/>
      <c r="H584" s="757"/>
      <c r="I584" s="766"/>
      <c r="J584" s="768"/>
      <c r="K584" s="766"/>
      <c r="L584" s="757"/>
      <c r="M584" s="757"/>
    </row>
    <row r="585" spans="2:13" ht="18" customHeight="1" x14ac:dyDescent="0.25">
      <c r="B585" s="805" t="s">
        <v>975</v>
      </c>
      <c r="C585" s="736" t="s">
        <v>391</v>
      </c>
      <c r="D585" s="735" t="s">
        <v>392</v>
      </c>
      <c r="E585" s="735" t="s">
        <v>42</v>
      </c>
      <c r="F585" s="1004" t="s">
        <v>39</v>
      </c>
      <c r="G585" s="1005"/>
      <c r="H585" s="738" t="s">
        <v>394</v>
      </c>
      <c r="I585" s="767" t="s">
        <v>395</v>
      </c>
      <c r="J585" s="808" t="s">
        <v>396</v>
      </c>
      <c r="K585" s="767" t="s">
        <v>0</v>
      </c>
      <c r="L585" s="782" t="s">
        <v>396</v>
      </c>
      <c r="M585" s="736" t="s">
        <v>0</v>
      </c>
    </row>
    <row r="586" spans="2:13" ht="51.95" customHeight="1" x14ac:dyDescent="0.25">
      <c r="B586" s="789" t="s">
        <v>473</v>
      </c>
      <c r="C586" s="740" t="s">
        <v>1261</v>
      </c>
      <c r="D586" s="739" t="s">
        <v>509</v>
      </c>
      <c r="E586" s="739" t="s">
        <v>1262</v>
      </c>
      <c r="F586" s="1010" t="s">
        <v>483</v>
      </c>
      <c r="G586" s="1011"/>
      <c r="H586" s="742" t="s">
        <v>213</v>
      </c>
      <c r="I586" s="803">
        <v>1</v>
      </c>
      <c r="J586" s="799">
        <v>3569.1</v>
      </c>
      <c r="K586" s="814">
        <v>3569.1</v>
      </c>
      <c r="L586" s="778">
        <v>3514.21</v>
      </c>
      <c r="M586" s="743">
        <v>3514.21</v>
      </c>
    </row>
    <row r="587" spans="2:13" ht="31.5" x14ac:dyDescent="0.25">
      <c r="B587" s="765" t="s">
        <v>478</v>
      </c>
      <c r="C587" s="750" t="s">
        <v>667</v>
      </c>
      <c r="D587" s="749" t="s">
        <v>475</v>
      </c>
      <c r="E587" s="749" t="s">
        <v>668</v>
      </c>
      <c r="F587" s="1008" t="s">
        <v>1295</v>
      </c>
      <c r="G587" s="1009"/>
      <c r="H587" s="751" t="s">
        <v>2</v>
      </c>
      <c r="I587" s="791">
        <v>1.272</v>
      </c>
      <c r="J587" s="802">
        <v>308.54000000000002</v>
      </c>
      <c r="K587" s="779">
        <v>392.46</v>
      </c>
      <c r="L587" s="822">
        <v>291.64</v>
      </c>
      <c r="M587" s="753">
        <v>370.96</v>
      </c>
    </row>
    <row r="588" spans="2:13" ht="24" customHeight="1" x14ac:dyDescent="0.25">
      <c r="B588" s="765" t="s">
        <v>478</v>
      </c>
      <c r="C588" s="750" t="s">
        <v>662</v>
      </c>
      <c r="D588" s="749" t="s">
        <v>475</v>
      </c>
      <c r="E588" s="749" t="s">
        <v>1189</v>
      </c>
      <c r="F588" s="1008" t="s">
        <v>1291</v>
      </c>
      <c r="G588" s="1009"/>
      <c r="H588" s="751" t="s">
        <v>2</v>
      </c>
      <c r="I588" s="791">
        <v>1.91</v>
      </c>
      <c r="J588" s="802">
        <v>90.03</v>
      </c>
      <c r="K588" s="779">
        <v>171.95</v>
      </c>
      <c r="L588" s="822">
        <v>85.24</v>
      </c>
      <c r="M588" s="753">
        <v>162.80000000000001</v>
      </c>
    </row>
    <row r="589" spans="2:13" ht="65.099999999999994" customHeight="1" x14ac:dyDescent="0.25">
      <c r="B589" s="765" t="s">
        <v>478</v>
      </c>
      <c r="C589" s="750" t="s">
        <v>669</v>
      </c>
      <c r="D589" s="749" t="s">
        <v>475</v>
      </c>
      <c r="E589" s="749" t="s">
        <v>670</v>
      </c>
      <c r="F589" s="1008" t="s">
        <v>1285</v>
      </c>
      <c r="G589" s="1009"/>
      <c r="H589" s="751" t="s">
        <v>564</v>
      </c>
      <c r="I589" s="791">
        <v>0.1</v>
      </c>
      <c r="J589" s="802">
        <v>276.67</v>
      </c>
      <c r="K589" s="779">
        <v>27.66</v>
      </c>
      <c r="L589" s="822">
        <v>274.94</v>
      </c>
      <c r="M589" s="753">
        <v>27.49</v>
      </c>
    </row>
    <row r="590" spans="2:13" ht="47.25" x14ac:dyDescent="0.25">
      <c r="B590" s="765" t="s">
        <v>478</v>
      </c>
      <c r="C590" s="750" t="s">
        <v>675</v>
      </c>
      <c r="D590" s="749" t="s">
        <v>475</v>
      </c>
      <c r="E590" s="749" t="s">
        <v>964</v>
      </c>
      <c r="F590" s="1008" t="s">
        <v>1296</v>
      </c>
      <c r="G590" s="1009"/>
      <c r="H590" s="751" t="s">
        <v>495</v>
      </c>
      <c r="I590" s="791">
        <v>4.41</v>
      </c>
      <c r="J590" s="802">
        <v>15.3</v>
      </c>
      <c r="K590" s="779">
        <v>67.47</v>
      </c>
      <c r="L590" s="822">
        <v>14.99</v>
      </c>
      <c r="M590" s="753">
        <v>66.099999999999994</v>
      </c>
    </row>
    <row r="591" spans="2:13" ht="47.25" x14ac:dyDescent="0.25">
      <c r="B591" s="765" t="s">
        <v>478</v>
      </c>
      <c r="C591" s="750" t="s">
        <v>666</v>
      </c>
      <c r="D591" s="749" t="s">
        <v>475</v>
      </c>
      <c r="E591" s="749" t="s">
        <v>961</v>
      </c>
      <c r="F591" s="1008" t="s">
        <v>1297</v>
      </c>
      <c r="G591" s="1009"/>
      <c r="H591" s="751" t="s">
        <v>2</v>
      </c>
      <c r="I591" s="791">
        <v>1.272</v>
      </c>
      <c r="J591" s="802">
        <v>491.72</v>
      </c>
      <c r="K591" s="779">
        <v>625.46</v>
      </c>
      <c r="L591" s="822">
        <v>485.98</v>
      </c>
      <c r="M591" s="753">
        <v>618.16</v>
      </c>
    </row>
    <row r="592" spans="2:13" ht="47.25" x14ac:dyDescent="0.25">
      <c r="B592" s="765" t="s">
        <v>478</v>
      </c>
      <c r="C592" s="750" t="s">
        <v>618</v>
      </c>
      <c r="D592" s="749" t="s">
        <v>475</v>
      </c>
      <c r="E592" s="749" t="s">
        <v>1501</v>
      </c>
      <c r="F592" s="1008" t="s">
        <v>1292</v>
      </c>
      <c r="G592" s="1009"/>
      <c r="H592" s="751" t="s">
        <v>1</v>
      </c>
      <c r="I592" s="791">
        <v>3.02</v>
      </c>
      <c r="J592" s="802">
        <v>7.78</v>
      </c>
      <c r="K592" s="779">
        <v>23.49</v>
      </c>
      <c r="L592" s="822">
        <v>7.35</v>
      </c>
      <c r="M592" s="753">
        <v>22.19</v>
      </c>
    </row>
    <row r="593" spans="2:13" ht="47.25" x14ac:dyDescent="0.25">
      <c r="B593" s="765" t="s">
        <v>478</v>
      </c>
      <c r="C593" s="750" t="s">
        <v>672</v>
      </c>
      <c r="D593" s="749" t="s">
        <v>475</v>
      </c>
      <c r="E593" s="749" t="s">
        <v>963</v>
      </c>
      <c r="F593" s="1008" t="s">
        <v>1296</v>
      </c>
      <c r="G593" s="1009"/>
      <c r="H593" s="751" t="s">
        <v>495</v>
      </c>
      <c r="I593" s="791">
        <v>2.5299999999999998</v>
      </c>
      <c r="J593" s="802">
        <v>16.920000000000002</v>
      </c>
      <c r="K593" s="779">
        <v>42.8</v>
      </c>
      <c r="L593" s="822">
        <v>16.47</v>
      </c>
      <c r="M593" s="753">
        <v>41.66</v>
      </c>
    </row>
    <row r="594" spans="2:13" ht="47.25" x14ac:dyDescent="0.25">
      <c r="B594" s="765" t="s">
        <v>478</v>
      </c>
      <c r="C594" s="750" t="s">
        <v>671</v>
      </c>
      <c r="D594" s="749" t="s">
        <v>475</v>
      </c>
      <c r="E594" s="749" t="s">
        <v>962</v>
      </c>
      <c r="F594" s="1008" t="s">
        <v>1296</v>
      </c>
      <c r="G594" s="1009"/>
      <c r="H594" s="751" t="s">
        <v>495</v>
      </c>
      <c r="I594" s="791">
        <v>1.48</v>
      </c>
      <c r="J594" s="802">
        <v>13.85</v>
      </c>
      <c r="K594" s="779">
        <v>20.49</v>
      </c>
      <c r="L594" s="822">
        <v>13.63</v>
      </c>
      <c r="M594" s="753">
        <v>20.170000000000002</v>
      </c>
    </row>
    <row r="595" spans="2:13" ht="31.5" x14ac:dyDescent="0.25">
      <c r="B595" s="765" t="s">
        <v>478</v>
      </c>
      <c r="C595" s="750" t="s">
        <v>676</v>
      </c>
      <c r="D595" s="749" t="s">
        <v>475</v>
      </c>
      <c r="E595" s="749" t="s">
        <v>677</v>
      </c>
      <c r="F595" s="1008" t="s">
        <v>1411</v>
      </c>
      <c r="G595" s="1009"/>
      <c r="H595" s="751" t="s">
        <v>1</v>
      </c>
      <c r="I595" s="791">
        <v>4.51</v>
      </c>
      <c r="J595" s="802">
        <v>22.54</v>
      </c>
      <c r="K595" s="779">
        <v>101.65</v>
      </c>
      <c r="L595" s="822">
        <v>21.88</v>
      </c>
      <c r="M595" s="753">
        <v>98.67</v>
      </c>
    </row>
    <row r="596" spans="2:13" ht="51.95" customHeight="1" x14ac:dyDescent="0.25">
      <c r="B596" s="765" t="s">
        <v>478</v>
      </c>
      <c r="C596" s="750" t="s">
        <v>673</v>
      </c>
      <c r="D596" s="749" t="s">
        <v>475</v>
      </c>
      <c r="E596" s="749" t="s">
        <v>674</v>
      </c>
      <c r="F596" s="1008" t="s">
        <v>1298</v>
      </c>
      <c r="G596" s="1009"/>
      <c r="H596" s="751" t="s">
        <v>1</v>
      </c>
      <c r="I596" s="791">
        <v>6.36</v>
      </c>
      <c r="J596" s="802">
        <v>69.66</v>
      </c>
      <c r="K596" s="779">
        <v>443.03</v>
      </c>
      <c r="L596" s="822">
        <v>68.14</v>
      </c>
      <c r="M596" s="753">
        <v>433.37</v>
      </c>
    </row>
    <row r="597" spans="2:13" ht="31.5" x14ac:dyDescent="0.25">
      <c r="B597" s="765" t="s">
        <v>487</v>
      </c>
      <c r="C597" s="750" t="s">
        <v>1299</v>
      </c>
      <c r="D597" s="749" t="s">
        <v>509</v>
      </c>
      <c r="E597" s="749" t="s">
        <v>1300</v>
      </c>
      <c r="F597" s="1008" t="s">
        <v>490</v>
      </c>
      <c r="G597" s="1009"/>
      <c r="H597" s="751" t="s">
        <v>37</v>
      </c>
      <c r="I597" s="791">
        <v>2</v>
      </c>
      <c r="J597" s="802">
        <v>826.32</v>
      </c>
      <c r="K597" s="779">
        <v>1652.64</v>
      </c>
      <c r="L597" s="822">
        <v>826.32</v>
      </c>
      <c r="M597" s="753">
        <v>1652.64</v>
      </c>
    </row>
    <row r="598" spans="2:13" x14ac:dyDescent="0.25">
      <c r="B598" s="823"/>
      <c r="C598" s="744"/>
      <c r="D598" s="744"/>
      <c r="E598" s="744"/>
      <c r="F598" s="744" t="s">
        <v>498</v>
      </c>
      <c r="G598" s="745">
        <v>732.53</v>
      </c>
      <c r="H598" s="744" t="s">
        <v>499</v>
      </c>
      <c r="I598" s="787">
        <v>0</v>
      </c>
      <c r="J598" s="823" t="s">
        <v>500</v>
      </c>
      <c r="K598" s="787">
        <v>732.53</v>
      </c>
      <c r="L598" s="744" t="s">
        <v>500</v>
      </c>
      <c r="M598" s="745">
        <v>677.66</v>
      </c>
    </row>
    <row r="599" spans="2:13" ht="14.25" customHeight="1" x14ac:dyDescent="0.25">
      <c r="B599" s="823"/>
      <c r="C599" s="744"/>
      <c r="D599" s="744"/>
      <c r="E599" s="744"/>
      <c r="F599" s="744" t="s">
        <v>501</v>
      </c>
      <c r="G599" s="745">
        <v>900.48</v>
      </c>
      <c r="H599" s="744"/>
      <c r="I599" s="812" t="s">
        <v>502</v>
      </c>
      <c r="J599" s="793"/>
      <c r="K599" s="787">
        <v>4469.58</v>
      </c>
      <c r="L599" s="746"/>
      <c r="M599" s="745">
        <v>4591.66</v>
      </c>
    </row>
    <row r="600" spans="2:13" ht="50.1" customHeight="1" thickBot="1" x14ac:dyDescent="0.3">
      <c r="B600" s="776"/>
      <c r="C600" s="747"/>
      <c r="D600" s="747"/>
      <c r="E600" s="747"/>
      <c r="F600" s="747"/>
      <c r="G600" s="747"/>
      <c r="H600" s="747" t="s">
        <v>503</v>
      </c>
      <c r="I600" s="806" t="s">
        <v>1191</v>
      </c>
      <c r="J600" s="776" t="s">
        <v>504</v>
      </c>
      <c r="K600" s="807">
        <v>89391.6</v>
      </c>
      <c r="L600" s="747" t="s">
        <v>504</v>
      </c>
      <c r="M600" s="748">
        <v>91833.2</v>
      </c>
    </row>
    <row r="601" spans="2:13" ht="16.5" thickTop="1" x14ac:dyDescent="0.25">
      <c r="B601" s="768"/>
      <c r="C601" s="757"/>
      <c r="D601" s="757"/>
      <c r="E601" s="757"/>
      <c r="F601" s="757"/>
      <c r="G601" s="757"/>
      <c r="H601" s="757"/>
      <c r="I601" s="766"/>
      <c r="J601" s="768"/>
      <c r="K601" s="766"/>
      <c r="L601" s="757"/>
      <c r="M601" s="757"/>
    </row>
    <row r="602" spans="2:13" ht="18" customHeight="1" x14ac:dyDescent="0.25">
      <c r="B602" s="805" t="s">
        <v>1193</v>
      </c>
      <c r="C602" s="736" t="s">
        <v>391</v>
      </c>
      <c r="D602" s="735" t="s">
        <v>392</v>
      </c>
      <c r="E602" s="735" t="s">
        <v>42</v>
      </c>
      <c r="F602" s="1004" t="s">
        <v>39</v>
      </c>
      <c r="G602" s="1005"/>
      <c r="H602" s="738" t="s">
        <v>394</v>
      </c>
      <c r="I602" s="767" t="s">
        <v>395</v>
      </c>
      <c r="J602" s="808" t="s">
        <v>396</v>
      </c>
      <c r="K602" s="767" t="s">
        <v>0</v>
      </c>
      <c r="L602" s="782" t="s">
        <v>396</v>
      </c>
      <c r="M602" s="736" t="s">
        <v>0</v>
      </c>
    </row>
    <row r="603" spans="2:13" ht="51.95" customHeight="1" x14ac:dyDescent="0.25">
      <c r="B603" s="789" t="s">
        <v>473</v>
      </c>
      <c r="C603" s="740" t="s">
        <v>1263</v>
      </c>
      <c r="D603" s="739" t="s">
        <v>509</v>
      </c>
      <c r="E603" s="739" t="s">
        <v>1264</v>
      </c>
      <c r="F603" s="1010" t="s">
        <v>483</v>
      </c>
      <c r="G603" s="1011"/>
      <c r="H603" s="742" t="s">
        <v>213</v>
      </c>
      <c r="I603" s="803">
        <v>1</v>
      </c>
      <c r="J603" s="799">
        <v>5214.9399999999996</v>
      </c>
      <c r="K603" s="814">
        <v>5214.9399999999996</v>
      </c>
      <c r="L603" s="778">
        <v>5136.2299999999996</v>
      </c>
      <c r="M603" s="743">
        <v>5136.2299999999996</v>
      </c>
    </row>
    <row r="604" spans="2:13" ht="33.75" customHeight="1" x14ac:dyDescent="0.25">
      <c r="B604" s="765" t="s">
        <v>478</v>
      </c>
      <c r="C604" s="750" t="s">
        <v>667</v>
      </c>
      <c r="D604" s="749" t="s">
        <v>475</v>
      </c>
      <c r="E604" s="749" t="s">
        <v>668</v>
      </c>
      <c r="F604" s="1008" t="s">
        <v>1295</v>
      </c>
      <c r="G604" s="1009"/>
      <c r="H604" s="751" t="s">
        <v>2</v>
      </c>
      <c r="I604" s="791">
        <v>1.8149999999999999</v>
      </c>
      <c r="J604" s="802">
        <v>308.54000000000002</v>
      </c>
      <c r="K604" s="779">
        <v>560</v>
      </c>
      <c r="L604" s="822">
        <v>291.64</v>
      </c>
      <c r="M604" s="753">
        <v>529.32000000000005</v>
      </c>
    </row>
    <row r="605" spans="2:13" ht="47.25" x14ac:dyDescent="0.25">
      <c r="B605" s="765" t="s">
        <v>478</v>
      </c>
      <c r="C605" s="750" t="s">
        <v>672</v>
      </c>
      <c r="D605" s="749" t="s">
        <v>475</v>
      </c>
      <c r="E605" s="749" t="s">
        <v>963</v>
      </c>
      <c r="F605" s="1008" t="s">
        <v>1296</v>
      </c>
      <c r="G605" s="1009"/>
      <c r="H605" s="751" t="s">
        <v>495</v>
      </c>
      <c r="I605" s="791">
        <v>4.2300000000000004</v>
      </c>
      <c r="J605" s="802">
        <v>16.920000000000002</v>
      </c>
      <c r="K605" s="779">
        <v>71.569999999999993</v>
      </c>
      <c r="L605" s="822">
        <v>16.47</v>
      </c>
      <c r="M605" s="753">
        <v>69.66</v>
      </c>
    </row>
    <row r="606" spans="2:13" ht="47.25" x14ac:dyDescent="0.25">
      <c r="B606" s="765" t="s">
        <v>478</v>
      </c>
      <c r="C606" s="750" t="s">
        <v>666</v>
      </c>
      <c r="D606" s="749" t="s">
        <v>475</v>
      </c>
      <c r="E606" s="749" t="s">
        <v>961</v>
      </c>
      <c r="F606" s="1008" t="s">
        <v>1297</v>
      </c>
      <c r="G606" s="1009"/>
      <c r="H606" s="751" t="s">
        <v>2</v>
      </c>
      <c r="I606" s="791">
        <v>1.8149999999999999</v>
      </c>
      <c r="J606" s="802">
        <v>491.72</v>
      </c>
      <c r="K606" s="779">
        <v>892.47</v>
      </c>
      <c r="L606" s="822">
        <v>485.98</v>
      </c>
      <c r="M606" s="753">
        <v>882.05</v>
      </c>
    </row>
    <row r="607" spans="2:13" ht="47.25" x14ac:dyDescent="0.25">
      <c r="B607" s="765" t="s">
        <v>478</v>
      </c>
      <c r="C607" s="750" t="s">
        <v>675</v>
      </c>
      <c r="D607" s="749" t="s">
        <v>475</v>
      </c>
      <c r="E607" s="749" t="s">
        <v>964</v>
      </c>
      <c r="F607" s="1008" t="s">
        <v>1296</v>
      </c>
      <c r="G607" s="1009"/>
      <c r="H607" s="751" t="s">
        <v>495</v>
      </c>
      <c r="I607" s="791">
        <v>6.03</v>
      </c>
      <c r="J607" s="802">
        <v>15.3</v>
      </c>
      <c r="K607" s="779">
        <v>92.25</v>
      </c>
      <c r="L607" s="822">
        <v>14.99</v>
      </c>
      <c r="M607" s="753">
        <v>90.38</v>
      </c>
    </row>
    <row r="608" spans="2:13" ht="47.25" x14ac:dyDescent="0.25">
      <c r="B608" s="765" t="s">
        <v>478</v>
      </c>
      <c r="C608" s="750" t="s">
        <v>618</v>
      </c>
      <c r="D608" s="749" t="s">
        <v>475</v>
      </c>
      <c r="E608" s="749" t="s">
        <v>1501</v>
      </c>
      <c r="F608" s="1008" t="s">
        <v>1292</v>
      </c>
      <c r="G608" s="1009"/>
      <c r="H608" s="751" t="s">
        <v>1</v>
      </c>
      <c r="I608" s="791">
        <v>3.98</v>
      </c>
      <c r="J608" s="802">
        <v>7.78</v>
      </c>
      <c r="K608" s="779">
        <v>30.96</v>
      </c>
      <c r="L608" s="822">
        <v>7.35</v>
      </c>
      <c r="M608" s="753">
        <v>29.25</v>
      </c>
    </row>
    <row r="609" spans="2:13" ht="31.5" x14ac:dyDescent="0.25">
      <c r="B609" s="765" t="s">
        <v>478</v>
      </c>
      <c r="C609" s="750" t="s">
        <v>676</v>
      </c>
      <c r="D609" s="749" t="s">
        <v>475</v>
      </c>
      <c r="E609" s="749" t="s">
        <v>677</v>
      </c>
      <c r="F609" s="1008" t="s">
        <v>1411</v>
      </c>
      <c r="G609" s="1009"/>
      <c r="H609" s="751" t="s">
        <v>1</v>
      </c>
      <c r="I609" s="791">
        <v>5.71</v>
      </c>
      <c r="J609" s="802">
        <v>22.54</v>
      </c>
      <c r="K609" s="779">
        <v>128.69999999999999</v>
      </c>
      <c r="L609" s="822">
        <v>21.88</v>
      </c>
      <c r="M609" s="753">
        <v>124.93</v>
      </c>
    </row>
    <row r="610" spans="2:13" ht="51.95" customHeight="1" x14ac:dyDescent="0.25">
      <c r="B610" s="765" t="s">
        <v>478</v>
      </c>
      <c r="C610" s="750" t="s">
        <v>673</v>
      </c>
      <c r="D610" s="749" t="s">
        <v>475</v>
      </c>
      <c r="E610" s="749" t="s">
        <v>674</v>
      </c>
      <c r="F610" s="1008" t="s">
        <v>1298</v>
      </c>
      <c r="G610" s="1009"/>
      <c r="H610" s="751" t="s">
        <v>1</v>
      </c>
      <c r="I610" s="791">
        <v>9.1</v>
      </c>
      <c r="J610" s="802">
        <v>69.66</v>
      </c>
      <c r="K610" s="779">
        <v>633.9</v>
      </c>
      <c r="L610" s="822">
        <v>68.14</v>
      </c>
      <c r="M610" s="753">
        <v>620.07000000000005</v>
      </c>
    </row>
    <row r="611" spans="2:13" ht="65.099999999999994" customHeight="1" x14ac:dyDescent="0.25">
      <c r="B611" s="765" t="s">
        <v>478</v>
      </c>
      <c r="C611" s="750" t="s">
        <v>669</v>
      </c>
      <c r="D611" s="749" t="s">
        <v>475</v>
      </c>
      <c r="E611" s="749" t="s">
        <v>670</v>
      </c>
      <c r="F611" s="1008" t="s">
        <v>1285</v>
      </c>
      <c r="G611" s="1009"/>
      <c r="H611" s="751" t="s">
        <v>564</v>
      </c>
      <c r="I611" s="791">
        <v>0.1</v>
      </c>
      <c r="J611" s="802">
        <v>276.67</v>
      </c>
      <c r="K611" s="779">
        <v>27.66</v>
      </c>
      <c r="L611" s="822">
        <v>274.94</v>
      </c>
      <c r="M611" s="753">
        <v>27.49</v>
      </c>
    </row>
    <row r="612" spans="2:13" ht="24" customHeight="1" x14ac:dyDescent="0.25">
      <c r="B612" s="765" t="s">
        <v>478</v>
      </c>
      <c r="C612" s="750" t="s">
        <v>662</v>
      </c>
      <c r="D612" s="749" t="s">
        <v>475</v>
      </c>
      <c r="E612" s="749" t="s">
        <v>1189</v>
      </c>
      <c r="F612" s="1008" t="s">
        <v>1291</v>
      </c>
      <c r="G612" s="1009"/>
      <c r="H612" s="751" t="s">
        <v>2</v>
      </c>
      <c r="I612" s="791">
        <v>2.86</v>
      </c>
      <c r="J612" s="802">
        <v>90.03</v>
      </c>
      <c r="K612" s="779">
        <v>257.48</v>
      </c>
      <c r="L612" s="822">
        <v>85.24</v>
      </c>
      <c r="M612" s="753">
        <v>243.78</v>
      </c>
    </row>
    <row r="613" spans="2:13" ht="47.25" x14ac:dyDescent="0.25">
      <c r="B613" s="765" t="s">
        <v>478</v>
      </c>
      <c r="C613" s="750" t="s">
        <v>671</v>
      </c>
      <c r="D613" s="749" t="s">
        <v>475</v>
      </c>
      <c r="E613" s="749" t="s">
        <v>962</v>
      </c>
      <c r="F613" s="1008" t="s">
        <v>1296</v>
      </c>
      <c r="G613" s="1009"/>
      <c r="H613" s="751" t="s">
        <v>495</v>
      </c>
      <c r="I613" s="791">
        <v>2.96</v>
      </c>
      <c r="J613" s="802">
        <v>13.85</v>
      </c>
      <c r="K613" s="779">
        <v>40.99</v>
      </c>
      <c r="L613" s="822">
        <v>13.63</v>
      </c>
      <c r="M613" s="753">
        <v>40.340000000000003</v>
      </c>
    </row>
    <row r="614" spans="2:13" ht="31.5" x14ac:dyDescent="0.25">
      <c r="B614" s="765" t="s">
        <v>487</v>
      </c>
      <c r="C614" s="750" t="s">
        <v>1299</v>
      </c>
      <c r="D614" s="749" t="s">
        <v>509</v>
      </c>
      <c r="E614" s="749" t="s">
        <v>1300</v>
      </c>
      <c r="F614" s="1008" t="s">
        <v>490</v>
      </c>
      <c r="G614" s="1009"/>
      <c r="H614" s="751" t="s">
        <v>37</v>
      </c>
      <c r="I614" s="791">
        <v>3</v>
      </c>
      <c r="J614" s="802">
        <v>826.32</v>
      </c>
      <c r="K614" s="779">
        <v>2478.96</v>
      </c>
      <c r="L614" s="822">
        <v>826.32</v>
      </c>
      <c r="M614" s="753">
        <v>2478.96</v>
      </c>
    </row>
    <row r="615" spans="2:13" x14ac:dyDescent="0.25">
      <c r="B615" s="823"/>
      <c r="C615" s="744"/>
      <c r="D615" s="744"/>
      <c r="E615" s="744"/>
      <c r="F615" s="744" t="s">
        <v>498</v>
      </c>
      <c r="G615" s="745">
        <v>1050.25</v>
      </c>
      <c r="H615" s="744" t="s">
        <v>499</v>
      </c>
      <c r="I615" s="787">
        <v>0</v>
      </c>
      <c r="J615" s="823" t="s">
        <v>500</v>
      </c>
      <c r="K615" s="787">
        <v>1050.25</v>
      </c>
      <c r="L615" s="744" t="s">
        <v>500</v>
      </c>
      <c r="M615" s="745">
        <v>971.6</v>
      </c>
    </row>
    <row r="616" spans="2:13" ht="14.25" customHeight="1" x14ac:dyDescent="0.25">
      <c r="B616" s="823"/>
      <c r="C616" s="744"/>
      <c r="D616" s="744"/>
      <c r="E616" s="744"/>
      <c r="F616" s="744" t="s">
        <v>501</v>
      </c>
      <c r="G616" s="745">
        <v>1315.72</v>
      </c>
      <c r="H616" s="744"/>
      <c r="I616" s="812" t="s">
        <v>502</v>
      </c>
      <c r="J616" s="793"/>
      <c r="K616" s="787">
        <v>6530.66</v>
      </c>
      <c r="L616" s="746"/>
      <c r="M616" s="745">
        <v>6710.99</v>
      </c>
    </row>
    <row r="617" spans="2:13" ht="50.1" customHeight="1" thickBot="1" x14ac:dyDescent="0.3">
      <c r="B617" s="776"/>
      <c r="C617" s="747"/>
      <c r="D617" s="747"/>
      <c r="E617" s="747"/>
      <c r="F617" s="747"/>
      <c r="G617" s="747"/>
      <c r="H617" s="747" t="s">
        <v>503</v>
      </c>
      <c r="I617" s="806" t="s">
        <v>1192</v>
      </c>
      <c r="J617" s="776" t="s">
        <v>504</v>
      </c>
      <c r="K617" s="807">
        <v>91429.24</v>
      </c>
      <c r="L617" s="747" t="s">
        <v>504</v>
      </c>
      <c r="M617" s="748">
        <v>93953.86</v>
      </c>
    </row>
    <row r="618" spans="2:13" ht="16.5" thickTop="1" x14ac:dyDescent="0.25">
      <c r="B618" s="768"/>
      <c r="C618" s="757"/>
      <c r="D618" s="757"/>
      <c r="E618" s="757"/>
      <c r="F618" s="757"/>
      <c r="G618" s="757"/>
      <c r="H618" s="757"/>
      <c r="I618" s="766"/>
      <c r="J618" s="768"/>
      <c r="K618" s="766"/>
      <c r="L618" s="757"/>
      <c r="M618" s="757"/>
    </row>
    <row r="619" spans="2:13" ht="18" customHeight="1" x14ac:dyDescent="0.25">
      <c r="B619" s="805" t="s">
        <v>1194</v>
      </c>
      <c r="C619" s="736" t="s">
        <v>391</v>
      </c>
      <c r="D619" s="735" t="s">
        <v>392</v>
      </c>
      <c r="E619" s="735" t="s">
        <v>42</v>
      </c>
      <c r="F619" s="1004" t="s">
        <v>39</v>
      </c>
      <c r="G619" s="1005"/>
      <c r="H619" s="738" t="s">
        <v>394</v>
      </c>
      <c r="I619" s="767" t="s">
        <v>395</v>
      </c>
      <c r="J619" s="808" t="s">
        <v>396</v>
      </c>
      <c r="K619" s="767" t="s">
        <v>0</v>
      </c>
      <c r="L619" s="782" t="s">
        <v>396</v>
      </c>
      <c r="M619" s="736" t="s">
        <v>0</v>
      </c>
    </row>
    <row r="620" spans="2:13" ht="24" customHeight="1" x14ac:dyDescent="0.25">
      <c r="B620" s="797" t="s">
        <v>487</v>
      </c>
      <c r="C620" s="758" t="s">
        <v>1478</v>
      </c>
      <c r="D620" s="619" t="s">
        <v>509</v>
      </c>
      <c r="E620" s="619" t="s">
        <v>1479</v>
      </c>
      <c r="F620" s="1006" t="s">
        <v>490</v>
      </c>
      <c r="G620" s="1007"/>
      <c r="H620" s="718" t="s">
        <v>37</v>
      </c>
      <c r="I620" s="786">
        <v>1</v>
      </c>
      <c r="J620" s="770">
        <v>802.02</v>
      </c>
      <c r="K620" s="774">
        <v>802.02</v>
      </c>
      <c r="L620" s="811">
        <v>802.02</v>
      </c>
      <c r="M620" s="760">
        <v>802.02</v>
      </c>
    </row>
    <row r="621" spans="2:13" x14ac:dyDescent="0.25">
      <c r="B621" s="823"/>
      <c r="C621" s="744"/>
      <c r="D621" s="744"/>
      <c r="E621" s="744"/>
      <c r="F621" s="744" t="s">
        <v>498</v>
      </c>
      <c r="G621" s="745">
        <v>0</v>
      </c>
      <c r="H621" s="744" t="s">
        <v>499</v>
      </c>
      <c r="I621" s="787">
        <v>0</v>
      </c>
      <c r="J621" s="823" t="s">
        <v>500</v>
      </c>
      <c r="K621" s="787">
        <v>0</v>
      </c>
      <c r="L621" s="744" t="s">
        <v>500</v>
      </c>
      <c r="M621" s="745">
        <v>0</v>
      </c>
    </row>
    <row r="622" spans="2:13" ht="14.25" customHeight="1" x14ac:dyDescent="0.25">
      <c r="B622" s="823"/>
      <c r="C622" s="744"/>
      <c r="D622" s="744"/>
      <c r="E622" s="744"/>
      <c r="F622" s="744" t="s">
        <v>501</v>
      </c>
      <c r="G622" s="745"/>
      <c r="H622" s="744"/>
      <c r="I622" s="812" t="s">
        <v>502</v>
      </c>
      <c r="J622" s="793"/>
      <c r="K622" s="787">
        <v>1004.36</v>
      </c>
      <c r="L622" s="746"/>
      <c r="M622" s="745">
        <v>969.8</v>
      </c>
    </row>
    <row r="623" spans="2:13" ht="50.1" customHeight="1" thickBot="1" x14ac:dyDescent="0.3">
      <c r="B623" s="776"/>
      <c r="C623" s="747"/>
      <c r="D623" s="747"/>
      <c r="E623" s="747"/>
      <c r="F623" s="747"/>
      <c r="G623" s="747"/>
      <c r="H623" s="747" t="s">
        <v>503</v>
      </c>
      <c r="I623" s="806" t="s">
        <v>1502</v>
      </c>
      <c r="J623" s="776" t="s">
        <v>504</v>
      </c>
      <c r="K623" s="807">
        <v>100436</v>
      </c>
      <c r="L623" s="747" t="s">
        <v>504</v>
      </c>
      <c r="M623" s="748">
        <v>96980</v>
      </c>
    </row>
    <row r="624" spans="2:13" ht="16.5" thickTop="1" x14ac:dyDescent="0.25">
      <c r="B624" s="768"/>
      <c r="C624" s="757"/>
      <c r="D624" s="757"/>
      <c r="E624" s="757"/>
      <c r="F624" s="757"/>
      <c r="G624" s="757"/>
      <c r="H624" s="757"/>
      <c r="I624" s="766"/>
      <c r="J624" s="768"/>
      <c r="K624" s="766"/>
      <c r="L624" s="757"/>
      <c r="M624" s="757"/>
    </row>
    <row r="625" spans="2:13" ht="18" customHeight="1" x14ac:dyDescent="0.25">
      <c r="B625" s="805" t="s">
        <v>1195</v>
      </c>
      <c r="C625" s="736" t="s">
        <v>391</v>
      </c>
      <c r="D625" s="735" t="s">
        <v>392</v>
      </c>
      <c r="E625" s="735" t="s">
        <v>42</v>
      </c>
      <c r="F625" s="1004" t="s">
        <v>39</v>
      </c>
      <c r="G625" s="1005"/>
      <c r="H625" s="738" t="s">
        <v>394</v>
      </c>
      <c r="I625" s="767" t="s">
        <v>395</v>
      </c>
      <c r="J625" s="808" t="s">
        <v>396</v>
      </c>
      <c r="K625" s="767" t="s">
        <v>0</v>
      </c>
      <c r="L625" s="782" t="s">
        <v>396</v>
      </c>
      <c r="M625" s="736" t="s">
        <v>0</v>
      </c>
    </row>
    <row r="626" spans="2:13" ht="39" customHeight="1" x14ac:dyDescent="0.25">
      <c r="B626" s="789" t="s">
        <v>473</v>
      </c>
      <c r="C626" s="740" t="s">
        <v>649</v>
      </c>
      <c r="D626" s="739" t="s">
        <v>475</v>
      </c>
      <c r="E626" s="739" t="s">
        <v>650</v>
      </c>
      <c r="F626" s="1010" t="s">
        <v>1289</v>
      </c>
      <c r="G626" s="1011"/>
      <c r="H626" s="742" t="s">
        <v>651</v>
      </c>
      <c r="I626" s="803">
        <v>1</v>
      </c>
      <c r="J626" s="799">
        <v>2.2599999999999998</v>
      </c>
      <c r="K626" s="814">
        <v>2.2599999999999998</v>
      </c>
      <c r="L626" s="778">
        <v>2.23</v>
      </c>
      <c r="M626" s="743">
        <v>2.23</v>
      </c>
    </row>
    <row r="627" spans="2:13" ht="65.099999999999994" customHeight="1" x14ac:dyDescent="0.25">
      <c r="B627" s="765" t="s">
        <v>478</v>
      </c>
      <c r="C627" s="750" t="s">
        <v>652</v>
      </c>
      <c r="D627" s="749" t="s">
        <v>475</v>
      </c>
      <c r="E627" s="749" t="s">
        <v>653</v>
      </c>
      <c r="F627" s="1008" t="s">
        <v>1285</v>
      </c>
      <c r="G627" s="1009"/>
      <c r="H627" s="751" t="s">
        <v>564</v>
      </c>
      <c r="I627" s="791">
        <v>9.2999999999999992E-3</v>
      </c>
      <c r="J627" s="802">
        <v>217.34</v>
      </c>
      <c r="K627" s="779">
        <v>2.02</v>
      </c>
      <c r="L627" s="822">
        <v>215.74</v>
      </c>
      <c r="M627" s="753">
        <v>2</v>
      </c>
    </row>
    <row r="628" spans="2:13" ht="65.099999999999994" customHeight="1" x14ac:dyDescent="0.25">
      <c r="B628" s="765" t="s">
        <v>478</v>
      </c>
      <c r="C628" s="750" t="s">
        <v>654</v>
      </c>
      <c r="D628" s="749" t="s">
        <v>475</v>
      </c>
      <c r="E628" s="749" t="s">
        <v>655</v>
      </c>
      <c r="F628" s="1008" t="s">
        <v>1285</v>
      </c>
      <c r="G628" s="1009"/>
      <c r="H628" s="751" t="s">
        <v>592</v>
      </c>
      <c r="I628" s="791">
        <v>4.0000000000000001E-3</v>
      </c>
      <c r="J628" s="802">
        <v>61.26</v>
      </c>
      <c r="K628" s="779">
        <v>0.24</v>
      </c>
      <c r="L628" s="822">
        <v>59.66</v>
      </c>
      <c r="M628" s="753">
        <v>0.23</v>
      </c>
    </row>
    <row r="629" spans="2:13" x14ac:dyDescent="0.25">
      <c r="B629" s="823"/>
      <c r="C629" s="744"/>
      <c r="D629" s="744"/>
      <c r="E629" s="744"/>
      <c r="F629" s="744" t="s">
        <v>498</v>
      </c>
      <c r="G629" s="745">
        <v>0.27</v>
      </c>
      <c r="H629" s="744" t="s">
        <v>499</v>
      </c>
      <c r="I629" s="787">
        <v>0</v>
      </c>
      <c r="J629" s="823" t="s">
        <v>500</v>
      </c>
      <c r="K629" s="787">
        <v>0.27</v>
      </c>
      <c r="L629" s="744" t="s">
        <v>500</v>
      </c>
      <c r="M629" s="745">
        <v>0.25</v>
      </c>
    </row>
    <row r="630" spans="2:13" ht="14.25" customHeight="1" x14ac:dyDescent="0.25">
      <c r="B630" s="823"/>
      <c r="C630" s="744"/>
      <c r="D630" s="744"/>
      <c r="E630" s="744"/>
      <c r="F630" s="744" t="s">
        <v>501</v>
      </c>
      <c r="G630" s="745">
        <v>0.56999999999999995</v>
      </c>
      <c r="H630" s="744"/>
      <c r="I630" s="812" t="s">
        <v>502</v>
      </c>
      <c r="J630" s="793"/>
      <c r="K630" s="787">
        <v>2.83</v>
      </c>
      <c r="L630" s="746"/>
      <c r="M630" s="745">
        <v>2.91</v>
      </c>
    </row>
    <row r="631" spans="2:13" ht="50.1" customHeight="1" thickBot="1" x14ac:dyDescent="0.3">
      <c r="B631" s="776"/>
      <c r="C631" s="747"/>
      <c r="D631" s="747"/>
      <c r="E631" s="747"/>
      <c r="F631" s="747"/>
      <c r="G631" s="747"/>
      <c r="H631" s="747" t="s">
        <v>503</v>
      </c>
      <c r="I631" s="806" t="s">
        <v>1503</v>
      </c>
      <c r="J631" s="776" t="s">
        <v>504</v>
      </c>
      <c r="K631" s="807">
        <v>339.6</v>
      </c>
      <c r="L631" s="747" t="s">
        <v>504</v>
      </c>
      <c r="M631" s="748">
        <v>349.2</v>
      </c>
    </row>
    <row r="632" spans="2:13" ht="16.5" thickTop="1" x14ac:dyDescent="0.25">
      <c r="B632" s="768"/>
      <c r="C632" s="757"/>
      <c r="D632" s="757"/>
      <c r="E632" s="757"/>
      <c r="F632" s="757"/>
      <c r="G632" s="757"/>
      <c r="H632" s="757"/>
      <c r="I632" s="766"/>
      <c r="J632" s="768"/>
      <c r="K632" s="766"/>
      <c r="L632" s="757"/>
      <c r="M632" s="757"/>
    </row>
    <row r="633" spans="2:13" ht="18" customHeight="1" x14ac:dyDescent="0.25">
      <c r="B633" s="805" t="s">
        <v>1196</v>
      </c>
      <c r="C633" s="736" t="s">
        <v>391</v>
      </c>
      <c r="D633" s="735" t="s">
        <v>392</v>
      </c>
      <c r="E633" s="735" t="s">
        <v>42</v>
      </c>
      <c r="F633" s="1004" t="s">
        <v>39</v>
      </c>
      <c r="G633" s="1005"/>
      <c r="H633" s="738" t="s">
        <v>394</v>
      </c>
      <c r="I633" s="767" t="s">
        <v>395</v>
      </c>
      <c r="J633" s="808" t="s">
        <v>396</v>
      </c>
      <c r="K633" s="767" t="s">
        <v>0</v>
      </c>
      <c r="L633" s="782" t="s">
        <v>396</v>
      </c>
      <c r="M633" s="736" t="s">
        <v>0</v>
      </c>
    </row>
    <row r="634" spans="2:13" ht="47.25" x14ac:dyDescent="0.25">
      <c r="B634" s="789" t="s">
        <v>473</v>
      </c>
      <c r="C634" s="740" t="s">
        <v>656</v>
      </c>
      <c r="D634" s="739" t="s">
        <v>475</v>
      </c>
      <c r="E634" s="739" t="s">
        <v>657</v>
      </c>
      <c r="F634" s="1010" t="s">
        <v>1289</v>
      </c>
      <c r="G634" s="1011"/>
      <c r="H634" s="742" t="s">
        <v>651</v>
      </c>
      <c r="I634" s="803">
        <v>1</v>
      </c>
      <c r="J634" s="799">
        <v>0.89</v>
      </c>
      <c r="K634" s="814">
        <v>0.89</v>
      </c>
      <c r="L634" s="778">
        <v>0.88</v>
      </c>
      <c r="M634" s="743">
        <v>0.88</v>
      </c>
    </row>
    <row r="635" spans="2:13" ht="65.099999999999994" customHeight="1" x14ac:dyDescent="0.25">
      <c r="B635" s="765" t="s">
        <v>478</v>
      </c>
      <c r="C635" s="750" t="s">
        <v>654</v>
      </c>
      <c r="D635" s="749" t="s">
        <v>475</v>
      </c>
      <c r="E635" s="749" t="s">
        <v>655</v>
      </c>
      <c r="F635" s="1008" t="s">
        <v>1285</v>
      </c>
      <c r="G635" s="1009"/>
      <c r="H635" s="751" t="s">
        <v>592</v>
      </c>
      <c r="I635" s="791">
        <v>1.6000000000000001E-3</v>
      </c>
      <c r="J635" s="802">
        <v>61.26</v>
      </c>
      <c r="K635" s="779">
        <v>0.09</v>
      </c>
      <c r="L635" s="822">
        <v>59.66</v>
      </c>
      <c r="M635" s="753">
        <v>0.09</v>
      </c>
    </row>
    <row r="636" spans="2:13" ht="65.099999999999994" customHeight="1" x14ac:dyDescent="0.25">
      <c r="B636" s="765" t="s">
        <v>478</v>
      </c>
      <c r="C636" s="750" t="s">
        <v>652</v>
      </c>
      <c r="D636" s="749" t="s">
        <v>475</v>
      </c>
      <c r="E636" s="749" t="s">
        <v>653</v>
      </c>
      <c r="F636" s="1008" t="s">
        <v>1285</v>
      </c>
      <c r="G636" s="1009"/>
      <c r="H636" s="751" t="s">
        <v>564</v>
      </c>
      <c r="I636" s="791">
        <v>3.7000000000000002E-3</v>
      </c>
      <c r="J636" s="802">
        <v>217.34</v>
      </c>
      <c r="K636" s="779">
        <v>0.8</v>
      </c>
      <c r="L636" s="822">
        <v>215.74</v>
      </c>
      <c r="M636" s="753">
        <v>0.79</v>
      </c>
    </row>
    <row r="637" spans="2:13" x14ac:dyDescent="0.25">
      <c r="B637" s="823"/>
      <c r="C637" s="744"/>
      <c r="D637" s="744"/>
      <c r="E637" s="744"/>
      <c r="F637" s="744" t="s">
        <v>498</v>
      </c>
      <c r="G637" s="745">
        <v>0.1</v>
      </c>
      <c r="H637" s="744" t="s">
        <v>499</v>
      </c>
      <c r="I637" s="787">
        <v>0</v>
      </c>
      <c r="J637" s="823" t="s">
        <v>500</v>
      </c>
      <c r="K637" s="787">
        <v>0.1</v>
      </c>
      <c r="L637" s="744" t="s">
        <v>500</v>
      </c>
      <c r="M637" s="745">
        <v>0.1</v>
      </c>
    </row>
    <row r="638" spans="2:13" ht="14.25" customHeight="1" x14ac:dyDescent="0.25">
      <c r="B638" s="823"/>
      <c r="C638" s="744"/>
      <c r="D638" s="744"/>
      <c r="E638" s="744"/>
      <c r="F638" s="744" t="s">
        <v>501</v>
      </c>
      <c r="G638" s="745">
        <v>0.22</v>
      </c>
      <c r="H638" s="744"/>
      <c r="I638" s="812" t="s">
        <v>502</v>
      </c>
      <c r="J638" s="793"/>
      <c r="K638" s="787">
        <v>1.1100000000000001</v>
      </c>
      <c r="L638" s="746"/>
      <c r="M638" s="745">
        <v>1.1399999999999999</v>
      </c>
    </row>
    <row r="639" spans="2:13" ht="50.1" customHeight="1" thickBot="1" x14ac:dyDescent="0.3">
      <c r="B639" s="776"/>
      <c r="C639" s="747"/>
      <c r="D639" s="747"/>
      <c r="E639" s="747"/>
      <c r="F639" s="747"/>
      <c r="G639" s="747"/>
      <c r="H639" s="747" t="s">
        <v>503</v>
      </c>
      <c r="I639" s="806" t="s">
        <v>1504</v>
      </c>
      <c r="J639" s="776" t="s">
        <v>504</v>
      </c>
      <c r="K639" s="807">
        <v>3254.52</v>
      </c>
      <c r="L639" s="747" t="s">
        <v>504</v>
      </c>
      <c r="M639" s="748">
        <v>3342.48</v>
      </c>
    </row>
    <row r="640" spans="2:13" ht="16.5" thickTop="1" x14ac:dyDescent="0.25">
      <c r="B640" s="768"/>
      <c r="C640" s="757"/>
      <c r="D640" s="757"/>
      <c r="E640" s="757"/>
      <c r="F640" s="757"/>
      <c r="G640" s="757"/>
      <c r="H640" s="757"/>
      <c r="I640" s="766"/>
      <c r="J640" s="768"/>
      <c r="K640" s="766"/>
      <c r="L640" s="757"/>
      <c r="M640" s="757"/>
    </row>
    <row r="641" spans="2:13" ht="18" customHeight="1" x14ac:dyDescent="0.25">
      <c r="B641" s="805" t="s">
        <v>1197</v>
      </c>
      <c r="C641" s="736" t="s">
        <v>391</v>
      </c>
      <c r="D641" s="735" t="s">
        <v>392</v>
      </c>
      <c r="E641" s="735" t="s">
        <v>42</v>
      </c>
      <c r="F641" s="1004" t="s">
        <v>39</v>
      </c>
      <c r="G641" s="1005"/>
      <c r="H641" s="738" t="s">
        <v>394</v>
      </c>
      <c r="I641" s="767" t="s">
        <v>395</v>
      </c>
      <c r="J641" s="808" t="s">
        <v>396</v>
      </c>
      <c r="K641" s="767" t="s">
        <v>0</v>
      </c>
      <c r="L641" s="782" t="s">
        <v>396</v>
      </c>
      <c r="M641" s="736" t="s">
        <v>0</v>
      </c>
    </row>
    <row r="642" spans="2:13" ht="65.099999999999994" customHeight="1" x14ac:dyDescent="0.25">
      <c r="B642" s="789" t="s">
        <v>473</v>
      </c>
      <c r="C642" s="740" t="s">
        <v>678</v>
      </c>
      <c r="D642" s="739" t="s">
        <v>509</v>
      </c>
      <c r="E642" s="739" t="s">
        <v>679</v>
      </c>
      <c r="F642" s="1010" t="s">
        <v>483</v>
      </c>
      <c r="G642" s="1011"/>
      <c r="H642" s="742" t="s">
        <v>213</v>
      </c>
      <c r="I642" s="803">
        <v>1</v>
      </c>
      <c r="J642" s="799">
        <v>5472.65</v>
      </c>
      <c r="K642" s="814">
        <v>5472.65</v>
      </c>
      <c r="L642" s="778">
        <v>5309.49</v>
      </c>
      <c r="M642" s="743">
        <v>5309.49</v>
      </c>
    </row>
    <row r="643" spans="2:13" ht="47.25" x14ac:dyDescent="0.25">
      <c r="B643" s="765" t="s">
        <v>478</v>
      </c>
      <c r="C643" s="750" t="s">
        <v>666</v>
      </c>
      <c r="D643" s="749" t="s">
        <v>475</v>
      </c>
      <c r="E643" s="749" t="s">
        <v>961</v>
      </c>
      <c r="F643" s="1008" t="s">
        <v>1297</v>
      </c>
      <c r="G643" s="1009"/>
      <c r="H643" s="751" t="s">
        <v>2</v>
      </c>
      <c r="I643" s="791">
        <v>0.64</v>
      </c>
      <c r="J643" s="802">
        <v>491.72</v>
      </c>
      <c r="K643" s="779">
        <v>314.7</v>
      </c>
      <c r="L643" s="822">
        <v>485.98</v>
      </c>
      <c r="M643" s="753">
        <v>311.02</v>
      </c>
    </row>
    <row r="644" spans="2:13" ht="31.5" x14ac:dyDescent="0.25">
      <c r="B644" s="765" t="s">
        <v>478</v>
      </c>
      <c r="C644" s="750" t="s">
        <v>682</v>
      </c>
      <c r="D644" s="749" t="s">
        <v>475</v>
      </c>
      <c r="E644" s="749" t="s">
        <v>966</v>
      </c>
      <c r="F644" s="1008" t="s">
        <v>1293</v>
      </c>
      <c r="G644" s="1009"/>
      <c r="H644" s="751" t="s">
        <v>2</v>
      </c>
      <c r="I644" s="791">
        <v>1.1499999999999999</v>
      </c>
      <c r="J644" s="802">
        <v>27.31</v>
      </c>
      <c r="K644" s="779">
        <v>31.4</v>
      </c>
      <c r="L644" s="822">
        <v>25.98</v>
      </c>
      <c r="M644" s="753">
        <v>29.87</v>
      </c>
    </row>
    <row r="645" spans="2:13" ht="47.25" x14ac:dyDescent="0.25">
      <c r="B645" s="765" t="s">
        <v>478</v>
      </c>
      <c r="C645" s="750" t="s">
        <v>680</v>
      </c>
      <c r="D645" s="749" t="s">
        <v>475</v>
      </c>
      <c r="E645" s="749" t="s">
        <v>1301</v>
      </c>
      <c r="F645" s="1008" t="s">
        <v>1302</v>
      </c>
      <c r="G645" s="1009"/>
      <c r="H645" s="751" t="s">
        <v>1</v>
      </c>
      <c r="I645" s="791">
        <v>11.4</v>
      </c>
      <c r="J645" s="802">
        <v>5.03</v>
      </c>
      <c r="K645" s="779">
        <v>57.34</v>
      </c>
      <c r="L645" s="822">
        <v>4.82</v>
      </c>
      <c r="M645" s="753">
        <v>54.94</v>
      </c>
    </row>
    <row r="646" spans="2:13" ht="24" customHeight="1" x14ac:dyDescent="0.25">
      <c r="B646" s="765" t="s">
        <v>478</v>
      </c>
      <c r="C646" s="750" t="s">
        <v>662</v>
      </c>
      <c r="D646" s="749" t="s">
        <v>475</v>
      </c>
      <c r="E646" s="749" t="s">
        <v>1189</v>
      </c>
      <c r="F646" s="1008" t="s">
        <v>1291</v>
      </c>
      <c r="G646" s="1009"/>
      <c r="H646" s="751" t="s">
        <v>2</v>
      </c>
      <c r="I646" s="791">
        <v>1.3</v>
      </c>
      <c r="J646" s="802">
        <v>90.03</v>
      </c>
      <c r="K646" s="779">
        <v>117.03</v>
      </c>
      <c r="L646" s="822">
        <v>85.24</v>
      </c>
      <c r="M646" s="753">
        <v>110.81</v>
      </c>
    </row>
    <row r="647" spans="2:13" ht="47.25" x14ac:dyDescent="0.25">
      <c r="B647" s="765" t="s">
        <v>478</v>
      </c>
      <c r="C647" s="750" t="s">
        <v>681</v>
      </c>
      <c r="D647" s="749" t="s">
        <v>475</v>
      </c>
      <c r="E647" s="749" t="s">
        <v>965</v>
      </c>
      <c r="F647" s="1008" t="s">
        <v>1297</v>
      </c>
      <c r="G647" s="1009"/>
      <c r="H647" s="751" t="s">
        <v>2</v>
      </c>
      <c r="I647" s="791">
        <v>1.74</v>
      </c>
      <c r="J647" s="802">
        <v>444.93</v>
      </c>
      <c r="K647" s="779">
        <v>774.17</v>
      </c>
      <c r="L647" s="822">
        <v>439.65</v>
      </c>
      <c r="M647" s="753">
        <v>764.99</v>
      </c>
    </row>
    <row r="648" spans="2:13" ht="47.25" x14ac:dyDescent="0.25">
      <c r="B648" s="765" t="s">
        <v>478</v>
      </c>
      <c r="C648" s="750" t="s">
        <v>675</v>
      </c>
      <c r="D648" s="749" t="s">
        <v>475</v>
      </c>
      <c r="E648" s="749" t="s">
        <v>964</v>
      </c>
      <c r="F648" s="1008" t="s">
        <v>1296</v>
      </c>
      <c r="G648" s="1009"/>
      <c r="H648" s="751" t="s">
        <v>495</v>
      </c>
      <c r="I648" s="791">
        <v>60</v>
      </c>
      <c r="J648" s="802">
        <v>15.3</v>
      </c>
      <c r="K648" s="779">
        <v>918</v>
      </c>
      <c r="L648" s="822">
        <v>14.99</v>
      </c>
      <c r="M648" s="753">
        <v>899.4</v>
      </c>
    </row>
    <row r="649" spans="2:13" ht="47.25" x14ac:dyDescent="0.25">
      <c r="B649" s="765" t="s">
        <v>478</v>
      </c>
      <c r="C649" s="750" t="s">
        <v>685</v>
      </c>
      <c r="D649" s="749" t="s">
        <v>475</v>
      </c>
      <c r="E649" s="749" t="s">
        <v>1505</v>
      </c>
      <c r="F649" s="1008" t="s">
        <v>1292</v>
      </c>
      <c r="G649" s="1009"/>
      <c r="H649" s="751" t="s">
        <v>2</v>
      </c>
      <c r="I649" s="791">
        <v>1.02</v>
      </c>
      <c r="J649" s="802">
        <v>241.86</v>
      </c>
      <c r="K649" s="779">
        <v>246.69</v>
      </c>
      <c r="L649" s="822">
        <v>235.46</v>
      </c>
      <c r="M649" s="753">
        <v>240.16</v>
      </c>
    </row>
    <row r="650" spans="2:13" ht="47.25" x14ac:dyDescent="0.25">
      <c r="B650" s="765" t="s">
        <v>478</v>
      </c>
      <c r="C650" s="750" t="s">
        <v>683</v>
      </c>
      <c r="D650" s="749" t="s">
        <v>475</v>
      </c>
      <c r="E650" s="749" t="s">
        <v>684</v>
      </c>
      <c r="F650" s="1008" t="s">
        <v>1303</v>
      </c>
      <c r="G650" s="1009"/>
      <c r="H650" s="751" t="s">
        <v>1</v>
      </c>
      <c r="I650" s="791">
        <v>12.6</v>
      </c>
      <c r="J650" s="802">
        <v>142.81</v>
      </c>
      <c r="K650" s="779">
        <v>1799.4</v>
      </c>
      <c r="L650" s="822">
        <v>138.27000000000001</v>
      </c>
      <c r="M650" s="753">
        <v>1742.2</v>
      </c>
    </row>
    <row r="651" spans="2:13" ht="47.25" x14ac:dyDescent="0.25">
      <c r="B651" s="765" t="s">
        <v>478</v>
      </c>
      <c r="C651" s="750" t="s">
        <v>672</v>
      </c>
      <c r="D651" s="749" t="s">
        <v>475</v>
      </c>
      <c r="E651" s="749" t="s">
        <v>963</v>
      </c>
      <c r="F651" s="1008" t="s">
        <v>1296</v>
      </c>
      <c r="G651" s="1009"/>
      <c r="H651" s="751" t="s">
        <v>495</v>
      </c>
      <c r="I651" s="791">
        <v>8</v>
      </c>
      <c r="J651" s="802">
        <v>16.920000000000002</v>
      </c>
      <c r="K651" s="779">
        <v>135.36000000000001</v>
      </c>
      <c r="L651" s="822">
        <v>16.47</v>
      </c>
      <c r="M651" s="753">
        <v>131.76</v>
      </c>
    </row>
    <row r="652" spans="2:13" ht="47.25" x14ac:dyDescent="0.25">
      <c r="B652" s="765" t="s">
        <v>478</v>
      </c>
      <c r="C652" s="750" t="s">
        <v>618</v>
      </c>
      <c r="D652" s="749" t="s">
        <v>475</v>
      </c>
      <c r="E652" s="749" t="s">
        <v>1501</v>
      </c>
      <c r="F652" s="1008" t="s">
        <v>1292</v>
      </c>
      <c r="G652" s="1009"/>
      <c r="H652" s="751" t="s">
        <v>1</v>
      </c>
      <c r="I652" s="791">
        <v>8</v>
      </c>
      <c r="J652" s="802">
        <v>7.78</v>
      </c>
      <c r="K652" s="779">
        <v>62.24</v>
      </c>
      <c r="L652" s="822">
        <v>7.35</v>
      </c>
      <c r="M652" s="753">
        <v>58.8</v>
      </c>
    </row>
    <row r="653" spans="2:13" ht="47.25" x14ac:dyDescent="0.25">
      <c r="B653" s="765" t="s">
        <v>478</v>
      </c>
      <c r="C653" s="750" t="s">
        <v>686</v>
      </c>
      <c r="D653" s="749" t="s">
        <v>475</v>
      </c>
      <c r="E653" s="749" t="s">
        <v>967</v>
      </c>
      <c r="F653" s="1008" t="s">
        <v>1304</v>
      </c>
      <c r="G653" s="1009"/>
      <c r="H653" s="751" t="s">
        <v>1</v>
      </c>
      <c r="I653" s="791">
        <v>2.72</v>
      </c>
      <c r="J653" s="802">
        <v>93.51</v>
      </c>
      <c r="K653" s="779">
        <v>254.34</v>
      </c>
      <c r="L653" s="822">
        <v>89.69</v>
      </c>
      <c r="M653" s="753">
        <v>243.95</v>
      </c>
    </row>
    <row r="654" spans="2:13" ht="47.25" customHeight="1" x14ac:dyDescent="0.25">
      <c r="B654" s="765" t="s">
        <v>478</v>
      </c>
      <c r="C654" s="750" t="s">
        <v>667</v>
      </c>
      <c r="D654" s="749" t="s">
        <v>475</v>
      </c>
      <c r="E654" s="749" t="s">
        <v>668</v>
      </c>
      <c r="F654" s="1008" t="s">
        <v>1295</v>
      </c>
      <c r="G654" s="1009"/>
      <c r="H654" s="751" t="s">
        <v>2</v>
      </c>
      <c r="I654" s="791">
        <v>2.38</v>
      </c>
      <c r="J654" s="802">
        <v>308.54000000000002</v>
      </c>
      <c r="K654" s="779">
        <v>734.32</v>
      </c>
      <c r="L654" s="822">
        <v>291.64</v>
      </c>
      <c r="M654" s="753">
        <v>694.1</v>
      </c>
    </row>
    <row r="655" spans="2:13" ht="65.099999999999994" customHeight="1" x14ac:dyDescent="0.25">
      <c r="B655" s="765" t="s">
        <v>478</v>
      </c>
      <c r="C655" s="750" t="s">
        <v>669</v>
      </c>
      <c r="D655" s="749" t="s">
        <v>475</v>
      </c>
      <c r="E655" s="749" t="s">
        <v>670</v>
      </c>
      <c r="F655" s="1008" t="s">
        <v>1285</v>
      </c>
      <c r="G655" s="1009"/>
      <c r="H655" s="751" t="s">
        <v>564</v>
      </c>
      <c r="I655" s="791">
        <v>0.1</v>
      </c>
      <c r="J655" s="802">
        <v>276.67</v>
      </c>
      <c r="K655" s="779">
        <v>27.66</v>
      </c>
      <c r="L655" s="822">
        <v>274.94</v>
      </c>
      <c r="M655" s="753">
        <v>27.49</v>
      </c>
    </row>
    <row r="656" spans="2:13" x14ac:dyDescent="0.25">
      <c r="B656" s="823"/>
      <c r="C656" s="744"/>
      <c r="D656" s="744"/>
      <c r="E656" s="744"/>
      <c r="F656" s="744" t="s">
        <v>498</v>
      </c>
      <c r="G656" s="745">
        <v>2178.79</v>
      </c>
      <c r="H656" s="744" t="s">
        <v>499</v>
      </c>
      <c r="I656" s="787">
        <v>0</v>
      </c>
      <c r="J656" s="823" t="s">
        <v>500</v>
      </c>
      <c r="K656" s="787">
        <v>2178.79</v>
      </c>
      <c r="L656" s="744" t="s">
        <v>500</v>
      </c>
      <c r="M656" s="745">
        <v>2015.16</v>
      </c>
    </row>
    <row r="657" spans="2:13" ht="14.25" customHeight="1" x14ac:dyDescent="0.25">
      <c r="B657" s="823"/>
      <c r="C657" s="744"/>
      <c r="D657" s="744"/>
      <c r="E657" s="744"/>
      <c r="F657" s="744" t="s">
        <v>501</v>
      </c>
      <c r="G657" s="745">
        <v>1380.74</v>
      </c>
      <c r="H657" s="744"/>
      <c r="I657" s="812" t="s">
        <v>502</v>
      </c>
      <c r="J657" s="793"/>
      <c r="K657" s="787">
        <v>6853.39</v>
      </c>
      <c r="L657" s="746"/>
      <c r="M657" s="745">
        <v>6937.37</v>
      </c>
    </row>
    <row r="658" spans="2:13" ht="50.1" customHeight="1" thickBot="1" x14ac:dyDescent="0.3">
      <c r="B658" s="776"/>
      <c r="C658" s="747"/>
      <c r="D658" s="747"/>
      <c r="E658" s="747"/>
      <c r="F658" s="747"/>
      <c r="G658" s="747"/>
      <c r="H658" s="747" t="s">
        <v>503</v>
      </c>
      <c r="I658" s="806" t="s">
        <v>1340</v>
      </c>
      <c r="J658" s="776" t="s">
        <v>504</v>
      </c>
      <c r="K658" s="807">
        <v>116507.63</v>
      </c>
      <c r="L658" s="747" t="s">
        <v>504</v>
      </c>
      <c r="M658" s="748">
        <v>117935.29</v>
      </c>
    </row>
    <row r="659" spans="2:13" ht="16.5" thickTop="1" x14ac:dyDescent="0.25">
      <c r="B659" s="768"/>
      <c r="C659" s="757"/>
      <c r="D659" s="757"/>
      <c r="E659" s="757"/>
      <c r="F659" s="757"/>
      <c r="G659" s="757"/>
      <c r="H659" s="757"/>
      <c r="I659" s="766"/>
      <c r="J659" s="768"/>
      <c r="K659" s="766"/>
      <c r="L659" s="757"/>
      <c r="M659" s="757"/>
    </row>
    <row r="660" spans="2:13" ht="18" customHeight="1" x14ac:dyDescent="0.25">
      <c r="B660" s="805" t="s">
        <v>1456</v>
      </c>
      <c r="C660" s="736" t="s">
        <v>391</v>
      </c>
      <c r="D660" s="735" t="s">
        <v>392</v>
      </c>
      <c r="E660" s="735" t="s">
        <v>42</v>
      </c>
      <c r="F660" s="1004" t="s">
        <v>39</v>
      </c>
      <c r="G660" s="1005"/>
      <c r="H660" s="738" t="s">
        <v>394</v>
      </c>
      <c r="I660" s="767" t="s">
        <v>395</v>
      </c>
      <c r="J660" s="808" t="s">
        <v>396</v>
      </c>
      <c r="K660" s="767" t="s">
        <v>0</v>
      </c>
      <c r="L660" s="782" t="s">
        <v>396</v>
      </c>
      <c r="M660" s="736" t="s">
        <v>0</v>
      </c>
    </row>
    <row r="661" spans="2:13" ht="47.25" x14ac:dyDescent="0.25">
      <c r="B661" s="789" t="s">
        <v>473</v>
      </c>
      <c r="C661" s="740" t="s">
        <v>691</v>
      </c>
      <c r="D661" s="739" t="s">
        <v>475</v>
      </c>
      <c r="E661" s="739" t="s">
        <v>692</v>
      </c>
      <c r="F661" s="1010" t="s">
        <v>1432</v>
      </c>
      <c r="G661" s="1011"/>
      <c r="H661" s="742" t="s">
        <v>491</v>
      </c>
      <c r="I661" s="803">
        <v>1</v>
      </c>
      <c r="J661" s="799">
        <v>928.23</v>
      </c>
      <c r="K661" s="814">
        <v>928.23</v>
      </c>
      <c r="L661" s="778">
        <v>900</v>
      </c>
      <c r="M661" s="743">
        <v>900</v>
      </c>
    </row>
    <row r="662" spans="2:13" ht="24" customHeight="1" x14ac:dyDescent="0.25">
      <c r="B662" s="765" t="s">
        <v>478</v>
      </c>
      <c r="C662" s="750" t="s">
        <v>620</v>
      </c>
      <c r="D662" s="749" t="s">
        <v>475</v>
      </c>
      <c r="E662" s="749" t="s">
        <v>621</v>
      </c>
      <c r="F662" s="1008" t="s">
        <v>1268</v>
      </c>
      <c r="G662" s="1009"/>
      <c r="H662" s="751" t="s">
        <v>484</v>
      </c>
      <c r="I662" s="791">
        <v>9.1904000000000003</v>
      </c>
      <c r="J662" s="802">
        <v>28.5</v>
      </c>
      <c r="K662" s="779">
        <v>261.92</v>
      </c>
      <c r="L662" s="822">
        <v>26.87</v>
      </c>
      <c r="M662" s="753">
        <v>246.94</v>
      </c>
    </row>
    <row r="663" spans="2:13" ht="47.25" x14ac:dyDescent="0.25">
      <c r="B663" s="765" t="s">
        <v>478</v>
      </c>
      <c r="C663" s="750" t="s">
        <v>699</v>
      </c>
      <c r="D663" s="749" t="s">
        <v>475</v>
      </c>
      <c r="E663" s="749" t="s">
        <v>970</v>
      </c>
      <c r="F663" s="1008" t="s">
        <v>1304</v>
      </c>
      <c r="G663" s="1009"/>
      <c r="H663" s="751" t="s">
        <v>1</v>
      </c>
      <c r="I663" s="791">
        <v>0.377</v>
      </c>
      <c r="J663" s="802">
        <v>63.35</v>
      </c>
      <c r="K663" s="779">
        <v>23.88</v>
      </c>
      <c r="L663" s="822">
        <v>60.86</v>
      </c>
      <c r="M663" s="753">
        <v>22.94</v>
      </c>
    </row>
    <row r="664" spans="2:13" ht="24" customHeight="1" x14ac:dyDescent="0.25">
      <c r="B664" s="765" t="s">
        <v>478</v>
      </c>
      <c r="C664" s="750" t="s">
        <v>485</v>
      </c>
      <c r="D664" s="749" t="s">
        <v>475</v>
      </c>
      <c r="E664" s="749" t="s">
        <v>486</v>
      </c>
      <c r="F664" s="1008" t="s">
        <v>1268</v>
      </c>
      <c r="G664" s="1009"/>
      <c r="H664" s="751" t="s">
        <v>484</v>
      </c>
      <c r="I664" s="791">
        <v>7.2210999999999999</v>
      </c>
      <c r="J664" s="802">
        <v>22.76</v>
      </c>
      <c r="K664" s="779">
        <v>164.35</v>
      </c>
      <c r="L664" s="822">
        <v>21.55</v>
      </c>
      <c r="M664" s="753">
        <v>155.61000000000001</v>
      </c>
    </row>
    <row r="665" spans="2:13" ht="39" customHeight="1" x14ac:dyDescent="0.25">
      <c r="B665" s="765" t="s">
        <v>478</v>
      </c>
      <c r="C665" s="750" t="s">
        <v>695</v>
      </c>
      <c r="D665" s="749" t="s">
        <v>475</v>
      </c>
      <c r="E665" s="749" t="s">
        <v>696</v>
      </c>
      <c r="F665" s="1008" t="s">
        <v>1294</v>
      </c>
      <c r="G665" s="1009"/>
      <c r="H665" s="751" t="s">
        <v>2</v>
      </c>
      <c r="I665" s="791">
        <v>0.40679999999999999</v>
      </c>
      <c r="J665" s="802">
        <v>586.39</v>
      </c>
      <c r="K665" s="779">
        <v>238.54</v>
      </c>
      <c r="L665" s="822">
        <v>580.67999999999995</v>
      </c>
      <c r="M665" s="753">
        <v>236.22</v>
      </c>
    </row>
    <row r="666" spans="2:13" ht="31.5" x14ac:dyDescent="0.25">
      <c r="B666" s="765" t="s">
        <v>478</v>
      </c>
      <c r="C666" s="750" t="s">
        <v>698</v>
      </c>
      <c r="D666" s="749" t="s">
        <v>475</v>
      </c>
      <c r="E666" s="749" t="s">
        <v>969</v>
      </c>
      <c r="F666" s="1008" t="s">
        <v>1305</v>
      </c>
      <c r="G666" s="1009"/>
      <c r="H666" s="751" t="s">
        <v>495</v>
      </c>
      <c r="I666" s="791">
        <v>1.163</v>
      </c>
      <c r="J666" s="802">
        <v>10.14</v>
      </c>
      <c r="K666" s="779">
        <v>11.79</v>
      </c>
      <c r="L666" s="822">
        <v>10.02</v>
      </c>
      <c r="M666" s="753">
        <v>11.65</v>
      </c>
    </row>
    <row r="667" spans="2:13" ht="31.5" x14ac:dyDescent="0.25">
      <c r="B667" s="765" t="s">
        <v>478</v>
      </c>
      <c r="C667" s="750" t="s">
        <v>697</v>
      </c>
      <c r="D667" s="749" t="s">
        <v>475</v>
      </c>
      <c r="E667" s="749" t="s">
        <v>968</v>
      </c>
      <c r="F667" s="1008" t="s">
        <v>1305</v>
      </c>
      <c r="G667" s="1009"/>
      <c r="H667" s="751" t="s">
        <v>2</v>
      </c>
      <c r="I667" s="791">
        <v>3.7699999999999997E-2</v>
      </c>
      <c r="J667" s="802">
        <v>1035.8699999999999</v>
      </c>
      <c r="K667" s="779">
        <v>39.049999999999997</v>
      </c>
      <c r="L667" s="822">
        <v>1010.87</v>
      </c>
      <c r="M667" s="753">
        <v>38.1</v>
      </c>
    </row>
    <row r="668" spans="2:13" ht="47.25" x14ac:dyDescent="0.25">
      <c r="B668" s="765" t="s">
        <v>478</v>
      </c>
      <c r="C668" s="750" t="s">
        <v>693</v>
      </c>
      <c r="D668" s="749" t="s">
        <v>475</v>
      </c>
      <c r="E668" s="749" t="s">
        <v>694</v>
      </c>
      <c r="F668" s="1008" t="s">
        <v>1294</v>
      </c>
      <c r="G668" s="1009"/>
      <c r="H668" s="751" t="s">
        <v>2</v>
      </c>
      <c r="I668" s="791">
        <v>2.1100000000000001E-2</v>
      </c>
      <c r="J668" s="802">
        <v>501.7</v>
      </c>
      <c r="K668" s="779">
        <v>10.58</v>
      </c>
      <c r="L668" s="822">
        <v>493.95</v>
      </c>
      <c r="M668" s="753">
        <v>10.42</v>
      </c>
    </row>
    <row r="669" spans="2:13" ht="26.1" customHeight="1" x14ac:dyDescent="0.25">
      <c r="B669" s="765" t="s">
        <v>487</v>
      </c>
      <c r="C669" s="750" t="s">
        <v>700</v>
      </c>
      <c r="D669" s="749" t="s">
        <v>475</v>
      </c>
      <c r="E669" s="749" t="s">
        <v>971</v>
      </c>
      <c r="F669" s="1008" t="s">
        <v>490</v>
      </c>
      <c r="G669" s="1009"/>
      <c r="H669" s="751" t="s">
        <v>513</v>
      </c>
      <c r="I669" s="791">
        <v>269.89139999999998</v>
      </c>
      <c r="J669" s="802">
        <v>0.66</v>
      </c>
      <c r="K669" s="779">
        <v>178.12</v>
      </c>
      <c r="L669" s="822">
        <v>0.66</v>
      </c>
      <c r="M669" s="753">
        <v>178.12</v>
      </c>
    </row>
    <row r="670" spans="2:13" x14ac:dyDescent="0.25">
      <c r="B670" s="823"/>
      <c r="C670" s="744"/>
      <c r="D670" s="744"/>
      <c r="E670" s="744"/>
      <c r="F670" s="744" t="s">
        <v>498</v>
      </c>
      <c r="G670" s="745">
        <v>376.48</v>
      </c>
      <c r="H670" s="744" t="s">
        <v>499</v>
      </c>
      <c r="I670" s="787">
        <v>0</v>
      </c>
      <c r="J670" s="823" t="s">
        <v>500</v>
      </c>
      <c r="K670" s="787">
        <v>376.48</v>
      </c>
      <c r="L670" s="744" t="s">
        <v>500</v>
      </c>
      <c r="M670" s="745">
        <v>348.27</v>
      </c>
    </row>
    <row r="671" spans="2:13" ht="14.25" customHeight="1" x14ac:dyDescent="0.25">
      <c r="B671" s="823"/>
      <c r="C671" s="744"/>
      <c r="D671" s="744"/>
      <c r="E671" s="744"/>
      <c r="F671" s="744" t="s">
        <v>501</v>
      </c>
      <c r="G671" s="745">
        <v>234.19</v>
      </c>
      <c r="H671" s="744"/>
      <c r="I671" s="812" t="s">
        <v>502</v>
      </c>
      <c r="J671" s="793"/>
      <c r="K671" s="787">
        <v>1162.42</v>
      </c>
      <c r="L671" s="746"/>
      <c r="M671" s="745">
        <v>1175.94</v>
      </c>
    </row>
    <row r="672" spans="2:13" ht="50.1" customHeight="1" thickBot="1" x14ac:dyDescent="0.3">
      <c r="B672" s="776"/>
      <c r="C672" s="747"/>
      <c r="D672" s="747"/>
      <c r="E672" s="747"/>
      <c r="F672" s="747"/>
      <c r="G672" s="747"/>
      <c r="H672" s="747" t="s">
        <v>503</v>
      </c>
      <c r="I672" s="806" t="s">
        <v>1341</v>
      </c>
      <c r="J672" s="776" t="s">
        <v>504</v>
      </c>
      <c r="K672" s="807">
        <v>15343.94</v>
      </c>
      <c r="L672" s="747" t="s">
        <v>504</v>
      </c>
      <c r="M672" s="748">
        <v>15522.4</v>
      </c>
    </row>
    <row r="673" spans="2:13" ht="16.5" thickTop="1" x14ac:dyDescent="0.25">
      <c r="B673" s="768"/>
      <c r="C673" s="757"/>
      <c r="D673" s="757"/>
      <c r="E673" s="757"/>
      <c r="F673" s="757"/>
      <c r="G673" s="757"/>
      <c r="H673" s="757"/>
      <c r="I673" s="766"/>
      <c r="J673" s="768"/>
      <c r="K673" s="766"/>
      <c r="L673" s="757"/>
      <c r="M673" s="757"/>
    </row>
    <row r="674" spans="2:13" ht="18" customHeight="1" x14ac:dyDescent="0.25">
      <c r="B674" s="805" t="s">
        <v>1198</v>
      </c>
      <c r="C674" s="736" t="s">
        <v>391</v>
      </c>
      <c r="D674" s="735" t="s">
        <v>392</v>
      </c>
      <c r="E674" s="735" t="s">
        <v>42</v>
      </c>
      <c r="F674" s="1004" t="s">
        <v>39</v>
      </c>
      <c r="G674" s="1005"/>
      <c r="H674" s="738" t="s">
        <v>394</v>
      </c>
      <c r="I674" s="767" t="s">
        <v>395</v>
      </c>
      <c r="J674" s="808" t="s">
        <v>396</v>
      </c>
      <c r="K674" s="767" t="s">
        <v>0</v>
      </c>
      <c r="L674" s="782" t="s">
        <v>396</v>
      </c>
      <c r="M674" s="736" t="s">
        <v>0</v>
      </c>
    </row>
    <row r="675" spans="2:13" ht="31.5" x14ac:dyDescent="0.25">
      <c r="B675" s="789" t="s">
        <v>473</v>
      </c>
      <c r="C675" s="740" t="s">
        <v>687</v>
      </c>
      <c r="D675" s="739" t="s">
        <v>475</v>
      </c>
      <c r="E675" s="739" t="s">
        <v>688</v>
      </c>
      <c r="F675" s="1010" t="s">
        <v>1433</v>
      </c>
      <c r="G675" s="1011"/>
      <c r="H675" s="742" t="s">
        <v>513</v>
      </c>
      <c r="I675" s="803">
        <v>1</v>
      </c>
      <c r="J675" s="799">
        <v>592.80999999999995</v>
      </c>
      <c r="K675" s="814">
        <v>592.80999999999995</v>
      </c>
      <c r="L675" s="778">
        <v>589.72</v>
      </c>
      <c r="M675" s="743">
        <v>589.72</v>
      </c>
    </row>
    <row r="676" spans="2:13" ht="47.25" x14ac:dyDescent="0.25">
      <c r="B676" s="765" t="s">
        <v>478</v>
      </c>
      <c r="C676" s="750" t="s">
        <v>689</v>
      </c>
      <c r="D676" s="749" t="s">
        <v>475</v>
      </c>
      <c r="E676" s="749" t="s">
        <v>972</v>
      </c>
      <c r="F676" s="1008" t="s">
        <v>1297</v>
      </c>
      <c r="G676" s="1009"/>
      <c r="H676" s="751" t="s">
        <v>2</v>
      </c>
      <c r="I676" s="791">
        <v>2.81E-2</v>
      </c>
      <c r="J676" s="802">
        <v>476.52</v>
      </c>
      <c r="K676" s="779">
        <v>13.39</v>
      </c>
      <c r="L676" s="822">
        <v>471.94</v>
      </c>
      <c r="M676" s="753">
        <v>13.26</v>
      </c>
    </row>
    <row r="677" spans="2:13" ht="24" customHeight="1" x14ac:dyDescent="0.25">
      <c r="B677" s="765" t="s">
        <v>478</v>
      </c>
      <c r="C677" s="750" t="s">
        <v>620</v>
      </c>
      <c r="D677" s="749" t="s">
        <v>475</v>
      </c>
      <c r="E677" s="749" t="s">
        <v>621</v>
      </c>
      <c r="F677" s="1008" t="s">
        <v>1268</v>
      </c>
      <c r="G677" s="1009"/>
      <c r="H677" s="751" t="s">
        <v>484</v>
      </c>
      <c r="I677" s="791">
        <v>1.1484000000000001</v>
      </c>
      <c r="J677" s="802">
        <v>28.5</v>
      </c>
      <c r="K677" s="779">
        <v>32.72</v>
      </c>
      <c r="L677" s="822">
        <v>26.87</v>
      </c>
      <c r="M677" s="753">
        <v>30.85</v>
      </c>
    </row>
    <row r="678" spans="2:13" ht="24" customHeight="1" x14ac:dyDescent="0.25">
      <c r="B678" s="765" t="s">
        <v>478</v>
      </c>
      <c r="C678" s="750" t="s">
        <v>485</v>
      </c>
      <c r="D678" s="749" t="s">
        <v>475</v>
      </c>
      <c r="E678" s="749" t="s">
        <v>486</v>
      </c>
      <c r="F678" s="1008" t="s">
        <v>1268</v>
      </c>
      <c r="G678" s="1009"/>
      <c r="H678" s="751" t="s">
        <v>484</v>
      </c>
      <c r="I678" s="791">
        <v>0.90229999999999999</v>
      </c>
      <c r="J678" s="802">
        <v>22.76</v>
      </c>
      <c r="K678" s="779">
        <v>20.53</v>
      </c>
      <c r="L678" s="822">
        <v>21.55</v>
      </c>
      <c r="M678" s="753">
        <v>19.440000000000001</v>
      </c>
    </row>
    <row r="679" spans="2:13" ht="47.25" x14ac:dyDescent="0.25">
      <c r="B679" s="765" t="s">
        <v>487</v>
      </c>
      <c r="C679" s="750" t="s">
        <v>690</v>
      </c>
      <c r="D679" s="749" t="s">
        <v>475</v>
      </c>
      <c r="E679" s="749" t="s">
        <v>973</v>
      </c>
      <c r="F679" s="1008" t="s">
        <v>490</v>
      </c>
      <c r="G679" s="1009"/>
      <c r="H679" s="751" t="s">
        <v>513</v>
      </c>
      <c r="I679" s="791">
        <v>1</v>
      </c>
      <c r="J679" s="802">
        <v>526.16999999999996</v>
      </c>
      <c r="K679" s="779">
        <v>526.16999999999996</v>
      </c>
      <c r="L679" s="822">
        <v>526.16999999999996</v>
      </c>
      <c r="M679" s="753">
        <v>526.16999999999996</v>
      </c>
    </row>
    <row r="680" spans="2:13" x14ac:dyDescent="0.25">
      <c r="B680" s="823"/>
      <c r="C680" s="744"/>
      <c r="D680" s="744"/>
      <c r="E680" s="744"/>
      <c r="F680" s="744" t="s">
        <v>498</v>
      </c>
      <c r="G680" s="745">
        <v>41.27</v>
      </c>
      <c r="H680" s="744" t="s">
        <v>499</v>
      </c>
      <c r="I680" s="787">
        <v>0</v>
      </c>
      <c r="J680" s="823" t="s">
        <v>500</v>
      </c>
      <c r="K680" s="787">
        <v>41.27</v>
      </c>
      <c r="L680" s="744" t="s">
        <v>500</v>
      </c>
      <c r="M680" s="745">
        <v>38.17</v>
      </c>
    </row>
    <row r="681" spans="2:13" ht="14.25" customHeight="1" x14ac:dyDescent="0.25">
      <c r="B681" s="823"/>
      <c r="C681" s="744"/>
      <c r="D681" s="744"/>
      <c r="E681" s="744"/>
      <c r="F681" s="744" t="s">
        <v>501</v>
      </c>
      <c r="G681" s="745">
        <v>149.56</v>
      </c>
      <c r="H681" s="744"/>
      <c r="I681" s="812" t="s">
        <v>502</v>
      </c>
      <c r="J681" s="793"/>
      <c r="K681" s="787">
        <v>742.37</v>
      </c>
      <c r="L681" s="746"/>
      <c r="M681" s="745">
        <v>770.52</v>
      </c>
    </row>
    <row r="682" spans="2:13" ht="50.1" customHeight="1" thickBot="1" x14ac:dyDescent="0.3">
      <c r="B682" s="776"/>
      <c r="C682" s="747"/>
      <c r="D682" s="747"/>
      <c r="E682" s="747"/>
      <c r="F682" s="747"/>
      <c r="G682" s="747"/>
      <c r="H682" s="747" t="s">
        <v>503</v>
      </c>
      <c r="I682" s="806" t="s">
        <v>1190</v>
      </c>
      <c r="J682" s="776" t="s">
        <v>504</v>
      </c>
      <c r="K682" s="807">
        <v>11877.92</v>
      </c>
      <c r="L682" s="747" t="s">
        <v>504</v>
      </c>
      <c r="M682" s="748">
        <v>12328.32</v>
      </c>
    </row>
    <row r="683" spans="2:13" ht="16.5" thickTop="1" x14ac:dyDescent="0.25">
      <c r="B683" s="768"/>
      <c r="C683" s="757"/>
      <c r="D683" s="757"/>
      <c r="E683" s="757"/>
      <c r="F683" s="757"/>
      <c r="G683" s="757"/>
      <c r="H683" s="757"/>
      <c r="I683" s="766"/>
      <c r="J683" s="768"/>
      <c r="K683" s="766"/>
      <c r="L683" s="757"/>
      <c r="M683" s="757"/>
    </row>
    <row r="684" spans="2:13" ht="18" customHeight="1" x14ac:dyDescent="0.25">
      <c r="B684" s="805" t="s">
        <v>1233</v>
      </c>
      <c r="C684" s="736" t="s">
        <v>391</v>
      </c>
      <c r="D684" s="735" t="s">
        <v>392</v>
      </c>
      <c r="E684" s="735" t="s">
        <v>42</v>
      </c>
      <c r="F684" s="1004" t="s">
        <v>39</v>
      </c>
      <c r="G684" s="1005"/>
      <c r="H684" s="738" t="s">
        <v>394</v>
      </c>
      <c r="I684" s="767" t="s">
        <v>395</v>
      </c>
      <c r="J684" s="808" t="s">
        <v>396</v>
      </c>
      <c r="K684" s="767" t="s">
        <v>0</v>
      </c>
      <c r="L684" s="782" t="s">
        <v>396</v>
      </c>
      <c r="M684" s="736" t="s">
        <v>0</v>
      </c>
    </row>
    <row r="685" spans="2:13" ht="31.5" x14ac:dyDescent="0.25">
      <c r="B685" s="789" t="s">
        <v>473</v>
      </c>
      <c r="C685" s="740" t="s">
        <v>1321</v>
      </c>
      <c r="D685" s="739" t="s">
        <v>509</v>
      </c>
      <c r="E685" s="739" t="s">
        <v>1322</v>
      </c>
      <c r="F685" s="1010" t="s">
        <v>483</v>
      </c>
      <c r="G685" s="1011"/>
      <c r="H685" s="742" t="s">
        <v>660</v>
      </c>
      <c r="I685" s="803">
        <v>1</v>
      </c>
      <c r="J685" s="799">
        <v>338.62</v>
      </c>
      <c r="K685" s="814">
        <v>338.62</v>
      </c>
      <c r="L685" s="778">
        <v>329.72</v>
      </c>
      <c r="M685" s="743">
        <v>329.72</v>
      </c>
    </row>
    <row r="686" spans="2:13" ht="47.25" x14ac:dyDescent="0.25">
      <c r="B686" s="765" t="s">
        <v>478</v>
      </c>
      <c r="C686" s="750" t="s">
        <v>691</v>
      </c>
      <c r="D686" s="749" t="s">
        <v>475</v>
      </c>
      <c r="E686" s="749" t="s">
        <v>692</v>
      </c>
      <c r="F686" s="1008" t="s">
        <v>1432</v>
      </c>
      <c r="G686" s="1009"/>
      <c r="H686" s="751" t="s">
        <v>491</v>
      </c>
      <c r="I686" s="791">
        <v>0.3</v>
      </c>
      <c r="J686" s="802">
        <v>928.23</v>
      </c>
      <c r="K686" s="779">
        <v>278.45999999999998</v>
      </c>
      <c r="L686" s="822">
        <v>900</v>
      </c>
      <c r="M686" s="753">
        <v>270</v>
      </c>
    </row>
    <row r="687" spans="2:13" ht="47.25" x14ac:dyDescent="0.25">
      <c r="B687" s="765" t="s">
        <v>478</v>
      </c>
      <c r="C687" s="750" t="s">
        <v>1325</v>
      </c>
      <c r="D687" s="749" t="s">
        <v>475</v>
      </c>
      <c r="E687" s="749" t="s">
        <v>1326</v>
      </c>
      <c r="F687" s="1008" t="s">
        <v>1434</v>
      </c>
      <c r="G687" s="1009"/>
      <c r="H687" s="751" t="s">
        <v>2</v>
      </c>
      <c r="I687" s="791">
        <v>0.02</v>
      </c>
      <c r="J687" s="802">
        <v>2235.96</v>
      </c>
      <c r="K687" s="779">
        <v>44.71</v>
      </c>
      <c r="L687" s="822">
        <v>2217.58</v>
      </c>
      <c r="M687" s="753">
        <v>44.35</v>
      </c>
    </row>
    <row r="688" spans="2:13" ht="31.5" x14ac:dyDescent="0.25">
      <c r="B688" s="765" t="s">
        <v>478</v>
      </c>
      <c r="C688" s="750" t="s">
        <v>745</v>
      </c>
      <c r="D688" s="749" t="s">
        <v>509</v>
      </c>
      <c r="E688" s="749" t="s">
        <v>746</v>
      </c>
      <c r="F688" s="1008" t="s">
        <v>477</v>
      </c>
      <c r="G688" s="1009"/>
      <c r="H688" s="751" t="s">
        <v>1</v>
      </c>
      <c r="I688" s="791">
        <v>0.53</v>
      </c>
      <c r="J688" s="802">
        <v>1.1399999999999999</v>
      </c>
      <c r="K688" s="779">
        <v>0.6</v>
      </c>
      <c r="L688" s="822">
        <v>1.1200000000000001</v>
      </c>
      <c r="M688" s="753">
        <v>0.59</v>
      </c>
    </row>
    <row r="689" spans="2:13" ht="47.25" x14ac:dyDescent="0.25">
      <c r="B689" s="765" t="s">
        <v>478</v>
      </c>
      <c r="C689" s="750" t="s">
        <v>1323</v>
      </c>
      <c r="D689" s="749" t="s">
        <v>475</v>
      </c>
      <c r="E689" s="749" t="s">
        <v>1324</v>
      </c>
      <c r="F689" s="1008" t="s">
        <v>1434</v>
      </c>
      <c r="G689" s="1009"/>
      <c r="H689" s="751" t="s">
        <v>2</v>
      </c>
      <c r="I689" s="791">
        <v>0.08</v>
      </c>
      <c r="J689" s="802">
        <v>185.68</v>
      </c>
      <c r="K689" s="779">
        <v>14.85</v>
      </c>
      <c r="L689" s="822">
        <v>184.83</v>
      </c>
      <c r="M689" s="753">
        <v>14.78</v>
      </c>
    </row>
    <row r="690" spans="2:13" x14ac:dyDescent="0.25">
      <c r="B690" s="823"/>
      <c r="C690" s="744"/>
      <c r="D690" s="744"/>
      <c r="E690" s="744"/>
      <c r="F690" s="744" t="s">
        <v>498</v>
      </c>
      <c r="G690" s="745">
        <v>118.92</v>
      </c>
      <c r="H690" s="744" t="s">
        <v>499</v>
      </c>
      <c r="I690" s="787">
        <v>0</v>
      </c>
      <c r="J690" s="823" t="s">
        <v>500</v>
      </c>
      <c r="K690" s="787">
        <v>118.92</v>
      </c>
      <c r="L690" s="744" t="s">
        <v>500</v>
      </c>
      <c r="M690" s="745">
        <v>110</v>
      </c>
    </row>
    <row r="691" spans="2:13" ht="14.25" customHeight="1" x14ac:dyDescent="0.25">
      <c r="B691" s="823"/>
      <c r="C691" s="744"/>
      <c r="D691" s="744"/>
      <c r="E691" s="744"/>
      <c r="F691" s="744" t="s">
        <v>501</v>
      </c>
      <c r="G691" s="745">
        <v>85.43</v>
      </c>
      <c r="H691" s="744"/>
      <c r="I691" s="812" t="s">
        <v>502</v>
      </c>
      <c r="J691" s="793"/>
      <c r="K691" s="787">
        <v>424.05</v>
      </c>
      <c r="L691" s="746"/>
      <c r="M691" s="745">
        <v>430.81</v>
      </c>
    </row>
    <row r="692" spans="2:13" ht="50.1" customHeight="1" thickBot="1" x14ac:dyDescent="0.3">
      <c r="B692" s="776"/>
      <c r="C692" s="747"/>
      <c r="D692" s="747"/>
      <c r="E692" s="747"/>
      <c r="F692" s="747"/>
      <c r="G692" s="747"/>
      <c r="H692" s="747" t="s">
        <v>503</v>
      </c>
      <c r="I692" s="806" t="s">
        <v>1327</v>
      </c>
      <c r="J692" s="776" t="s">
        <v>504</v>
      </c>
      <c r="K692" s="807">
        <v>9329.1</v>
      </c>
      <c r="L692" s="747" t="s">
        <v>504</v>
      </c>
      <c r="M692" s="748">
        <v>9477.82</v>
      </c>
    </row>
    <row r="693" spans="2:13" ht="16.5" thickTop="1" x14ac:dyDescent="0.25">
      <c r="B693" s="768"/>
      <c r="C693" s="757"/>
      <c r="D693" s="757"/>
      <c r="E693" s="757"/>
      <c r="F693" s="757"/>
      <c r="G693" s="757"/>
      <c r="H693" s="757"/>
      <c r="I693" s="766"/>
      <c r="J693" s="768"/>
      <c r="K693" s="766"/>
      <c r="L693" s="757"/>
      <c r="M693" s="757"/>
    </row>
    <row r="694" spans="2:13" ht="18" customHeight="1" x14ac:dyDescent="0.25">
      <c r="B694" s="805" t="s">
        <v>1234</v>
      </c>
      <c r="C694" s="736" t="s">
        <v>391</v>
      </c>
      <c r="D694" s="735" t="s">
        <v>392</v>
      </c>
      <c r="E694" s="735" t="s">
        <v>42</v>
      </c>
      <c r="F694" s="1004" t="s">
        <v>39</v>
      </c>
      <c r="G694" s="1005"/>
      <c r="H694" s="738" t="s">
        <v>394</v>
      </c>
      <c r="I694" s="767" t="s">
        <v>395</v>
      </c>
      <c r="J694" s="808" t="s">
        <v>396</v>
      </c>
      <c r="K694" s="767" t="s">
        <v>0</v>
      </c>
      <c r="L694" s="782" t="s">
        <v>396</v>
      </c>
      <c r="M694" s="736" t="s">
        <v>0</v>
      </c>
    </row>
    <row r="695" spans="2:13" ht="24" customHeight="1" x14ac:dyDescent="0.25">
      <c r="B695" s="797" t="s">
        <v>487</v>
      </c>
      <c r="C695" s="758" t="s">
        <v>1563</v>
      </c>
      <c r="D695" s="619" t="s">
        <v>509</v>
      </c>
      <c r="E695" s="619" t="s">
        <v>1435</v>
      </c>
      <c r="F695" s="1006" t="s">
        <v>490</v>
      </c>
      <c r="G695" s="1007"/>
      <c r="H695" s="718" t="s">
        <v>116</v>
      </c>
      <c r="I695" s="786">
        <v>1</v>
      </c>
      <c r="J695" s="770">
        <v>3000</v>
      </c>
      <c r="K695" s="774">
        <v>3000</v>
      </c>
      <c r="L695" s="811">
        <v>3000</v>
      </c>
      <c r="M695" s="760">
        <v>3000</v>
      </c>
    </row>
    <row r="696" spans="2:13" x14ac:dyDescent="0.25">
      <c r="B696" s="823"/>
      <c r="C696" s="744"/>
      <c r="D696" s="744"/>
      <c r="E696" s="744"/>
      <c r="F696" s="744" t="s">
        <v>498</v>
      </c>
      <c r="G696" s="745">
        <v>0</v>
      </c>
      <c r="H696" s="744" t="s">
        <v>499</v>
      </c>
      <c r="I696" s="787">
        <v>0</v>
      </c>
      <c r="J696" s="823" t="s">
        <v>500</v>
      </c>
      <c r="K696" s="787">
        <v>0</v>
      </c>
      <c r="L696" s="744" t="s">
        <v>500</v>
      </c>
      <c r="M696" s="745">
        <v>0</v>
      </c>
    </row>
    <row r="697" spans="2:13" ht="14.25" customHeight="1" x14ac:dyDescent="0.25">
      <c r="B697" s="823"/>
      <c r="C697" s="744"/>
      <c r="D697" s="744"/>
      <c r="E697" s="744"/>
      <c r="F697" s="744" t="s">
        <v>501</v>
      </c>
      <c r="G697" s="745"/>
      <c r="H697" s="744"/>
      <c r="I697" s="812" t="s">
        <v>502</v>
      </c>
      <c r="J697" s="793"/>
      <c r="K697" s="787">
        <v>3726.9</v>
      </c>
      <c r="L697" s="746"/>
      <c r="M697" s="745">
        <v>3627.6</v>
      </c>
    </row>
    <row r="698" spans="2:13" ht="50.1" customHeight="1" thickBot="1" x14ac:dyDescent="0.3">
      <c r="B698" s="776"/>
      <c r="C698" s="747"/>
      <c r="D698" s="747"/>
      <c r="E698" s="747"/>
      <c r="F698" s="747"/>
      <c r="G698" s="747"/>
      <c r="H698" s="747" t="s">
        <v>503</v>
      </c>
      <c r="I698" s="806" t="s">
        <v>1328</v>
      </c>
      <c r="J698" s="776" t="s">
        <v>504</v>
      </c>
      <c r="K698" s="807">
        <v>74.53</v>
      </c>
      <c r="L698" s="747" t="s">
        <v>504</v>
      </c>
      <c r="M698" s="748">
        <v>72.55</v>
      </c>
    </row>
    <row r="699" spans="2:13" ht="16.5" thickTop="1" x14ac:dyDescent="0.25">
      <c r="B699" s="768"/>
      <c r="C699" s="757"/>
      <c r="D699" s="757"/>
      <c r="E699" s="757"/>
      <c r="F699" s="757"/>
      <c r="G699" s="757"/>
      <c r="H699" s="757"/>
      <c r="I699" s="766"/>
      <c r="J699" s="768"/>
      <c r="K699" s="766"/>
      <c r="L699" s="757"/>
      <c r="M699" s="757"/>
    </row>
    <row r="700" spans="2:13" ht="18" customHeight="1" x14ac:dyDescent="0.25">
      <c r="B700" s="805" t="s">
        <v>1329</v>
      </c>
      <c r="C700" s="736" t="s">
        <v>391</v>
      </c>
      <c r="D700" s="735" t="s">
        <v>392</v>
      </c>
      <c r="E700" s="735" t="s">
        <v>42</v>
      </c>
      <c r="F700" s="1004" t="s">
        <v>39</v>
      </c>
      <c r="G700" s="1005"/>
      <c r="H700" s="738" t="s">
        <v>394</v>
      </c>
      <c r="I700" s="767" t="s">
        <v>395</v>
      </c>
      <c r="J700" s="808" t="s">
        <v>396</v>
      </c>
      <c r="K700" s="767" t="s">
        <v>0</v>
      </c>
      <c r="L700" s="782" t="s">
        <v>396</v>
      </c>
      <c r="M700" s="736" t="s">
        <v>0</v>
      </c>
    </row>
    <row r="701" spans="2:13" ht="39" customHeight="1" x14ac:dyDescent="0.25">
      <c r="B701" s="789" t="s">
        <v>473</v>
      </c>
      <c r="C701" s="740" t="s">
        <v>753</v>
      </c>
      <c r="D701" s="739" t="s">
        <v>475</v>
      </c>
      <c r="E701" s="739" t="s">
        <v>754</v>
      </c>
      <c r="F701" s="1010" t="s">
        <v>1289</v>
      </c>
      <c r="G701" s="1011"/>
      <c r="H701" s="742" t="s">
        <v>651</v>
      </c>
      <c r="I701" s="803">
        <v>1</v>
      </c>
      <c r="J701" s="799">
        <v>1.41</v>
      </c>
      <c r="K701" s="814">
        <v>1.41</v>
      </c>
      <c r="L701" s="778">
        <v>1.4</v>
      </c>
      <c r="M701" s="743">
        <v>1.4</v>
      </c>
    </row>
    <row r="702" spans="2:13" ht="65.099999999999994" customHeight="1" x14ac:dyDescent="0.25">
      <c r="B702" s="765" t="s">
        <v>478</v>
      </c>
      <c r="C702" s="750" t="s">
        <v>755</v>
      </c>
      <c r="D702" s="749" t="s">
        <v>475</v>
      </c>
      <c r="E702" s="749" t="s">
        <v>756</v>
      </c>
      <c r="F702" s="1008" t="s">
        <v>1285</v>
      </c>
      <c r="G702" s="1009"/>
      <c r="H702" s="751" t="s">
        <v>564</v>
      </c>
      <c r="I702" s="791">
        <v>2.8E-3</v>
      </c>
      <c r="J702" s="802">
        <v>464.34</v>
      </c>
      <c r="K702" s="779">
        <v>1.3</v>
      </c>
      <c r="L702" s="822">
        <v>462.35</v>
      </c>
      <c r="M702" s="753">
        <v>1.29</v>
      </c>
    </row>
    <row r="703" spans="2:13" ht="65.099999999999994" customHeight="1" x14ac:dyDescent="0.25">
      <c r="B703" s="765" t="s">
        <v>478</v>
      </c>
      <c r="C703" s="750" t="s">
        <v>757</v>
      </c>
      <c r="D703" s="749" t="s">
        <v>475</v>
      </c>
      <c r="E703" s="749" t="s">
        <v>758</v>
      </c>
      <c r="F703" s="1008" t="s">
        <v>1285</v>
      </c>
      <c r="G703" s="1009"/>
      <c r="H703" s="751" t="s">
        <v>592</v>
      </c>
      <c r="I703" s="791">
        <v>1.1999999999999999E-3</v>
      </c>
      <c r="J703" s="802">
        <v>93.9</v>
      </c>
      <c r="K703" s="779">
        <v>0.11</v>
      </c>
      <c r="L703" s="822">
        <v>91.91</v>
      </c>
      <c r="M703" s="753">
        <v>0.11</v>
      </c>
    </row>
    <row r="704" spans="2:13" x14ac:dyDescent="0.25">
      <c r="B704" s="823"/>
      <c r="C704" s="744"/>
      <c r="D704" s="744"/>
      <c r="E704" s="744"/>
      <c r="F704" s="744" t="s">
        <v>498</v>
      </c>
      <c r="G704" s="745">
        <v>0.1</v>
      </c>
      <c r="H704" s="744" t="s">
        <v>499</v>
      </c>
      <c r="I704" s="787">
        <v>0</v>
      </c>
      <c r="J704" s="823" t="s">
        <v>500</v>
      </c>
      <c r="K704" s="787">
        <v>0.1</v>
      </c>
      <c r="L704" s="744" t="s">
        <v>500</v>
      </c>
      <c r="M704" s="745">
        <v>0.08</v>
      </c>
    </row>
    <row r="705" spans="2:13" ht="14.25" customHeight="1" x14ac:dyDescent="0.25">
      <c r="B705" s="823"/>
      <c r="C705" s="744"/>
      <c r="D705" s="744"/>
      <c r="E705" s="744"/>
      <c r="F705" s="744" t="s">
        <v>501</v>
      </c>
      <c r="G705" s="745">
        <v>0.35</v>
      </c>
      <c r="H705" s="744"/>
      <c r="I705" s="812" t="s">
        <v>502</v>
      </c>
      <c r="J705" s="793"/>
      <c r="K705" s="787">
        <v>1.76</v>
      </c>
      <c r="L705" s="746"/>
      <c r="M705" s="745">
        <v>1.82</v>
      </c>
    </row>
    <row r="706" spans="2:13" ht="50.1" customHeight="1" thickBot="1" x14ac:dyDescent="0.3">
      <c r="B706" s="776"/>
      <c r="C706" s="747"/>
      <c r="D706" s="747"/>
      <c r="E706" s="747"/>
      <c r="F706" s="747"/>
      <c r="G706" s="747"/>
      <c r="H706" s="747" t="s">
        <v>503</v>
      </c>
      <c r="I706" s="806" t="s">
        <v>1335</v>
      </c>
      <c r="J706" s="776" t="s">
        <v>504</v>
      </c>
      <c r="K706" s="807">
        <v>0.72</v>
      </c>
      <c r="L706" s="747" t="s">
        <v>504</v>
      </c>
      <c r="M706" s="748">
        <v>0.74</v>
      </c>
    </row>
    <row r="707" spans="2:13" ht="16.5" thickTop="1" x14ac:dyDescent="0.25">
      <c r="B707" s="768"/>
      <c r="C707" s="757"/>
      <c r="D707" s="757"/>
      <c r="E707" s="757"/>
      <c r="F707" s="757"/>
      <c r="G707" s="757"/>
      <c r="H707" s="757"/>
      <c r="I707" s="766"/>
      <c r="J707" s="768"/>
      <c r="K707" s="766"/>
      <c r="L707" s="757"/>
      <c r="M707" s="757"/>
    </row>
    <row r="708" spans="2:13" ht="18" customHeight="1" x14ac:dyDescent="0.25">
      <c r="B708" s="805" t="s">
        <v>1330</v>
      </c>
      <c r="C708" s="736" t="s">
        <v>391</v>
      </c>
      <c r="D708" s="735" t="s">
        <v>392</v>
      </c>
      <c r="E708" s="735" t="s">
        <v>42</v>
      </c>
      <c r="F708" s="1004" t="s">
        <v>39</v>
      </c>
      <c r="G708" s="1005"/>
      <c r="H708" s="738" t="s">
        <v>394</v>
      </c>
      <c r="I708" s="767" t="s">
        <v>395</v>
      </c>
      <c r="J708" s="808" t="s">
        <v>396</v>
      </c>
      <c r="K708" s="767" t="s">
        <v>0</v>
      </c>
      <c r="L708" s="782" t="s">
        <v>396</v>
      </c>
      <c r="M708" s="736" t="s">
        <v>0</v>
      </c>
    </row>
    <row r="709" spans="2:13" ht="51.95" customHeight="1" x14ac:dyDescent="0.25">
      <c r="B709" s="789" t="s">
        <v>473</v>
      </c>
      <c r="C709" s="740" t="s">
        <v>759</v>
      </c>
      <c r="D709" s="739" t="s">
        <v>475</v>
      </c>
      <c r="E709" s="739" t="s">
        <v>760</v>
      </c>
      <c r="F709" s="1010" t="s">
        <v>1289</v>
      </c>
      <c r="G709" s="1011"/>
      <c r="H709" s="742" t="s">
        <v>651</v>
      </c>
      <c r="I709" s="803">
        <v>1</v>
      </c>
      <c r="J709" s="799">
        <v>0.55000000000000004</v>
      </c>
      <c r="K709" s="814">
        <v>0.55000000000000004</v>
      </c>
      <c r="L709" s="778">
        <v>0.54</v>
      </c>
      <c r="M709" s="743">
        <v>0.54</v>
      </c>
    </row>
    <row r="710" spans="2:13" ht="65.099999999999994" customHeight="1" x14ac:dyDescent="0.25">
      <c r="B710" s="765" t="s">
        <v>478</v>
      </c>
      <c r="C710" s="750" t="s">
        <v>757</v>
      </c>
      <c r="D710" s="749" t="s">
        <v>475</v>
      </c>
      <c r="E710" s="749" t="s">
        <v>758</v>
      </c>
      <c r="F710" s="1008" t="s">
        <v>1285</v>
      </c>
      <c r="G710" s="1009"/>
      <c r="H710" s="751" t="s">
        <v>592</v>
      </c>
      <c r="I710" s="791">
        <v>5.0000000000000001E-4</v>
      </c>
      <c r="J710" s="802">
        <v>93.9</v>
      </c>
      <c r="K710" s="779">
        <v>0.04</v>
      </c>
      <c r="L710" s="822">
        <v>91.91</v>
      </c>
      <c r="M710" s="753">
        <v>0.04</v>
      </c>
    </row>
    <row r="711" spans="2:13" ht="65.099999999999994" customHeight="1" x14ac:dyDescent="0.25">
      <c r="B711" s="765" t="s">
        <v>478</v>
      </c>
      <c r="C711" s="750" t="s">
        <v>755</v>
      </c>
      <c r="D711" s="749" t="s">
        <v>475</v>
      </c>
      <c r="E711" s="749" t="s">
        <v>756</v>
      </c>
      <c r="F711" s="1008" t="s">
        <v>1285</v>
      </c>
      <c r="G711" s="1009"/>
      <c r="H711" s="751" t="s">
        <v>564</v>
      </c>
      <c r="I711" s="791">
        <v>1.1000000000000001E-3</v>
      </c>
      <c r="J711" s="802">
        <v>464.34</v>
      </c>
      <c r="K711" s="779">
        <v>0.51</v>
      </c>
      <c r="L711" s="822">
        <v>462.35</v>
      </c>
      <c r="M711" s="753">
        <v>0.5</v>
      </c>
    </row>
    <row r="712" spans="2:13" x14ac:dyDescent="0.25">
      <c r="B712" s="823"/>
      <c r="C712" s="744"/>
      <c r="D712" s="744"/>
      <c r="E712" s="744"/>
      <c r="F712" s="744" t="s">
        <v>498</v>
      </c>
      <c r="G712" s="745">
        <v>0.03</v>
      </c>
      <c r="H712" s="744" t="s">
        <v>499</v>
      </c>
      <c r="I712" s="787">
        <v>0</v>
      </c>
      <c r="J712" s="823" t="s">
        <v>500</v>
      </c>
      <c r="K712" s="787">
        <v>0.03</v>
      </c>
      <c r="L712" s="744" t="s">
        <v>500</v>
      </c>
      <c r="M712" s="745">
        <v>0.03</v>
      </c>
    </row>
    <row r="713" spans="2:13" ht="14.25" customHeight="1" x14ac:dyDescent="0.25">
      <c r="B713" s="823"/>
      <c r="C713" s="744"/>
      <c r="D713" s="744"/>
      <c r="E713" s="744"/>
      <c r="F713" s="744" t="s">
        <v>501</v>
      </c>
      <c r="G713" s="745">
        <v>0.13</v>
      </c>
      <c r="H713" s="744"/>
      <c r="I713" s="812" t="s">
        <v>502</v>
      </c>
      <c r="J713" s="793"/>
      <c r="K713" s="787">
        <v>0.68</v>
      </c>
      <c r="L713" s="746"/>
      <c r="M713" s="745">
        <v>0.7</v>
      </c>
    </row>
    <row r="714" spans="2:13" ht="50.1" customHeight="1" thickBot="1" x14ac:dyDescent="0.3">
      <c r="B714" s="776"/>
      <c r="C714" s="747"/>
      <c r="D714" s="747"/>
      <c r="E714" s="747"/>
      <c r="F714" s="747"/>
      <c r="G714" s="747"/>
      <c r="H714" s="747" t="s">
        <v>503</v>
      </c>
      <c r="I714" s="806" t="s">
        <v>1436</v>
      </c>
      <c r="J714" s="776" t="s">
        <v>504</v>
      </c>
      <c r="K714" s="807">
        <v>87.91</v>
      </c>
      <c r="L714" s="747" t="s">
        <v>504</v>
      </c>
      <c r="M714" s="748">
        <v>90.49</v>
      </c>
    </row>
    <row r="715" spans="2:13" ht="16.5" thickTop="1" x14ac:dyDescent="0.25">
      <c r="B715" s="768"/>
      <c r="C715" s="757"/>
      <c r="D715" s="757"/>
      <c r="E715" s="757"/>
      <c r="F715" s="757"/>
      <c r="G715" s="757"/>
      <c r="H715" s="757"/>
      <c r="I715" s="766"/>
      <c r="J715" s="768"/>
      <c r="K715" s="766"/>
      <c r="L715" s="757"/>
      <c r="M715" s="757"/>
    </row>
    <row r="716" spans="2:13" ht="18" customHeight="1" x14ac:dyDescent="0.25">
      <c r="B716" s="805" t="s">
        <v>1331</v>
      </c>
      <c r="C716" s="736" t="s">
        <v>391</v>
      </c>
      <c r="D716" s="735" t="s">
        <v>392</v>
      </c>
      <c r="E716" s="735" t="s">
        <v>42</v>
      </c>
      <c r="F716" s="1004" t="s">
        <v>39</v>
      </c>
      <c r="G716" s="1005"/>
      <c r="H716" s="738" t="s">
        <v>394</v>
      </c>
      <c r="I716" s="767" t="s">
        <v>395</v>
      </c>
      <c r="J716" s="808" t="s">
        <v>396</v>
      </c>
      <c r="K716" s="767" t="s">
        <v>0</v>
      </c>
      <c r="L716" s="782" t="s">
        <v>396</v>
      </c>
      <c r="M716" s="736" t="s">
        <v>0</v>
      </c>
    </row>
    <row r="717" spans="2:13" ht="39" customHeight="1" x14ac:dyDescent="0.25">
      <c r="B717" s="789" t="s">
        <v>473</v>
      </c>
      <c r="C717" s="740" t="s">
        <v>701</v>
      </c>
      <c r="D717" s="739" t="s">
        <v>475</v>
      </c>
      <c r="E717" s="739" t="s">
        <v>702</v>
      </c>
      <c r="F717" s="1010" t="s">
        <v>1437</v>
      </c>
      <c r="G717" s="1011"/>
      <c r="H717" s="742" t="s">
        <v>491</v>
      </c>
      <c r="I717" s="803">
        <v>1</v>
      </c>
      <c r="J717" s="799">
        <v>194.18</v>
      </c>
      <c r="K717" s="814">
        <v>194.18</v>
      </c>
      <c r="L717" s="778">
        <v>191.98</v>
      </c>
      <c r="M717" s="743">
        <v>191.98</v>
      </c>
    </row>
    <row r="718" spans="2:13" ht="24" customHeight="1" x14ac:dyDescent="0.25">
      <c r="B718" s="765" t="s">
        <v>478</v>
      </c>
      <c r="C718" s="750" t="s">
        <v>620</v>
      </c>
      <c r="D718" s="749" t="s">
        <v>475</v>
      </c>
      <c r="E718" s="749" t="s">
        <v>621</v>
      </c>
      <c r="F718" s="1008" t="s">
        <v>1268</v>
      </c>
      <c r="G718" s="1009"/>
      <c r="H718" s="751" t="s">
        <v>484</v>
      </c>
      <c r="I718" s="791">
        <v>0.77390000000000003</v>
      </c>
      <c r="J718" s="802">
        <v>28.5</v>
      </c>
      <c r="K718" s="779">
        <v>22.05</v>
      </c>
      <c r="L718" s="822">
        <v>26.87</v>
      </c>
      <c r="M718" s="753">
        <v>20.79</v>
      </c>
    </row>
    <row r="719" spans="2:13" ht="24" customHeight="1" x14ac:dyDescent="0.25">
      <c r="B719" s="765" t="s">
        <v>478</v>
      </c>
      <c r="C719" s="750" t="s">
        <v>485</v>
      </c>
      <c r="D719" s="749" t="s">
        <v>475</v>
      </c>
      <c r="E719" s="749" t="s">
        <v>486</v>
      </c>
      <c r="F719" s="1008" t="s">
        <v>1268</v>
      </c>
      <c r="G719" s="1009"/>
      <c r="H719" s="751" t="s">
        <v>484</v>
      </c>
      <c r="I719" s="791">
        <v>0.77390000000000003</v>
      </c>
      <c r="J719" s="802">
        <v>22.76</v>
      </c>
      <c r="K719" s="779">
        <v>17.61</v>
      </c>
      <c r="L719" s="822">
        <v>21.55</v>
      </c>
      <c r="M719" s="753">
        <v>16.670000000000002</v>
      </c>
    </row>
    <row r="720" spans="2:13" ht="31.5" x14ac:dyDescent="0.25">
      <c r="B720" s="765" t="s">
        <v>487</v>
      </c>
      <c r="C720" s="750" t="s">
        <v>707</v>
      </c>
      <c r="D720" s="749" t="s">
        <v>475</v>
      </c>
      <c r="E720" s="749" t="s">
        <v>708</v>
      </c>
      <c r="F720" s="1008" t="s">
        <v>490</v>
      </c>
      <c r="G720" s="1009"/>
      <c r="H720" s="751" t="s">
        <v>491</v>
      </c>
      <c r="I720" s="791">
        <v>0.5</v>
      </c>
      <c r="J720" s="802">
        <v>11.28</v>
      </c>
      <c r="K720" s="779">
        <v>5.64</v>
      </c>
      <c r="L720" s="822">
        <v>11.28</v>
      </c>
      <c r="M720" s="753">
        <v>5.64</v>
      </c>
    </row>
    <row r="721" spans="2:13" ht="31.5" x14ac:dyDescent="0.25">
      <c r="B721" s="765" t="s">
        <v>487</v>
      </c>
      <c r="C721" s="750" t="s">
        <v>705</v>
      </c>
      <c r="D721" s="749" t="s">
        <v>475</v>
      </c>
      <c r="E721" s="749" t="s">
        <v>706</v>
      </c>
      <c r="F721" s="1008" t="s">
        <v>490</v>
      </c>
      <c r="G721" s="1009"/>
      <c r="H721" s="751" t="s">
        <v>491</v>
      </c>
      <c r="I721" s="791">
        <v>0.4</v>
      </c>
      <c r="J721" s="802">
        <v>2.38</v>
      </c>
      <c r="K721" s="779">
        <v>0.95</v>
      </c>
      <c r="L721" s="822">
        <v>2.38</v>
      </c>
      <c r="M721" s="753">
        <v>0.95</v>
      </c>
    </row>
    <row r="722" spans="2:13" ht="47.25" x14ac:dyDescent="0.25">
      <c r="B722" s="765" t="s">
        <v>487</v>
      </c>
      <c r="C722" s="750" t="s">
        <v>709</v>
      </c>
      <c r="D722" s="749" t="s">
        <v>475</v>
      </c>
      <c r="E722" s="749" t="s">
        <v>710</v>
      </c>
      <c r="F722" s="1008" t="s">
        <v>490</v>
      </c>
      <c r="G722" s="1009"/>
      <c r="H722" s="751" t="s">
        <v>2</v>
      </c>
      <c r="I722" s="791">
        <v>0.25040000000000001</v>
      </c>
      <c r="J722" s="802">
        <v>580</v>
      </c>
      <c r="K722" s="779">
        <v>145.22999999999999</v>
      </c>
      <c r="L722" s="822">
        <v>580</v>
      </c>
      <c r="M722" s="753">
        <v>145.22999999999999</v>
      </c>
    </row>
    <row r="723" spans="2:13" ht="31.5" x14ac:dyDescent="0.25">
      <c r="B723" s="765" t="s">
        <v>487</v>
      </c>
      <c r="C723" s="750" t="s">
        <v>703</v>
      </c>
      <c r="D723" s="749" t="s">
        <v>475</v>
      </c>
      <c r="E723" s="749" t="s">
        <v>704</v>
      </c>
      <c r="F723" s="1008" t="s">
        <v>490</v>
      </c>
      <c r="G723" s="1009"/>
      <c r="H723" s="751" t="s">
        <v>2</v>
      </c>
      <c r="I723" s="791">
        <v>3.3000000000000002E-2</v>
      </c>
      <c r="J723" s="802">
        <v>82</v>
      </c>
      <c r="K723" s="779">
        <v>2.7</v>
      </c>
      <c r="L723" s="822">
        <v>82</v>
      </c>
      <c r="M723" s="753">
        <v>2.7</v>
      </c>
    </row>
    <row r="724" spans="2:13" x14ac:dyDescent="0.25">
      <c r="B724" s="823"/>
      <c r="C724" s="744"/>
      <c r="D724" s="744"/>
      <c r="E724" s="744"/>
      <c r="F724" s="744" t="s">
        <v>498</v>
      </c>
      <c r="G724" s="745">
        <v>29.35</v>
      </c>
      <c r="H724" s="744" t="s">
        <v>499</v>
      </c>
      <c r="I724" s="787">
        <v>0</v>
      </c>
      <c r="J724" s="823" t="s">
        <v>500</v>
      </c>
      <c r="K724" s="787">
        <v>29.35</v>
      </c>
      <c r="L724" s="744" t="s">
        <v>500</v>
      </c>
      <c r="M724" s="745">
        <v>27.14</v>
      </c>
    </row>
    <row r="725" spans="2:13" ht="14.25" customHeight="1" x14ac:dyDescent="0.25">
      <c r="B725" s="823"/>
      <c r="C725" s="744"/>
      <c r="D725" s="744"/>
      <c r="E725" s="744"/>
      <c r="F725" s="744" t="s">
        <v>501</v>
      </c>
      <c r="G725" s="745">
        <v>48.99</v>
      </c>
      <c r="H725" s="744"/>
      <c r="I725" s="812" t="s">
        <v>502</v>
      </c>
      <c r="J725" s="793"/>
      <c r="K725" s="787">
        <v>243.17</v>
      </c>
      <c r="L725" s="746"/>
      <c r="M725" s="745">
        <v>250.84</v>
      </c>
    </row>
    <row r="726" spans="2:13" ht="50.1" customHeight="1" thickBot="1" x14ac:dyDescent="0.3">
      <c r="B726" s="776"/>
      <c r="C726" s="747"/>
      <c r="D726" s="747"/>
      <c r="E726" s="747"/>
      <c r="F726" s="747"/>
      <c r="G726" s="747"/>
      <c r="H726" s="747" t="s">
        <v>503</v>
      </c>
      <c r="I726" s="806" t="s">
        <v>1199</v>
      </c>
      <c r="J726" s="776" t="s">
        <v>504</v>
      </c>
      <c r="K726" s="807">
        <v>20669.45</v>
      </c>
      <c r="L726" s="747" t="s">
        <v>504</v>
      </c>
      <c r="M726" s="748">
        <v>21321.4</v>
      </c>
    </row>
    <row r="727" spans="2:13" ht="16.5" thickTop="1" x14ac:dyDescent="0.25">
      <c r="B727" s="768"/>
      <c r="C727" s="757"/>
      <c r="D727" s="757"/>
      <c r="E727" s="757"/>
      <c r="F727" s="757"/>
      <c r="G727" s="757"/>
      <c r="H727" s="757"/>
      <c r="I727" s="766"/>
      <c r="J727" s="768"/>
      <c r="K727" s="766"/>
      <c r="L727" s="757"/>
      <c r="M727" s="757"/>
    </row>
    <row r="728" spans="2:13" ht="18" customHeight="1" x14ac:dyDescent="0.25">
      <c r="B728" s="805" t="s">
        <v>1332</v>
      </c>
      <c r="C728" s="736" t="s">
        <v>391</v>
      </c>
      <c r="D728" s="735" t="s">
        <v>392</v>
      </c>
      <c r="E728" s="735" t="s">
        <v>42</v>
      </c>
      <c r="F728" s="1004" t="s">
        <v>39</v>
      </c>
      <c r="G728" s="1005"/>
      <c r="H728" s="738" t="s">
        <v>394</v>
      </c>
      <c r="I728" s="767" t="s">
        <v>395</v>
      </c>
      <c r="J728" s="808" t="s">
        <v>396</v>
      </c>
      <c r="K728" s="767" t="s">
        <v>0</v>
      </c>
      <c r="L728" s="782" t="s">
        <v>396</v>
      </c>
      <c r="M728" s="736" t="s">
        <v>0</v>
      </c>
    </row>
    <row r="729" spans="2:13" ht="65.099999999999994" customHeight="1" x14ac:dyDescent="0.25">
      <c r="B729" s="789" t="s">
        <v>473</v>
      </c>
      <c r="C729" s="740" t="s">
        <v>1480</v>
      </c>
      <c r="D729" s="739" t="s">
        <v>475</v>
      </c>
      <c r="E729" s="739" t="s">
        <v>1481</v>
      </c>
      <c r="F729" s="1010" t="s">
        <v>1506</v>
      </c>
      <c r="G729" s="1011"/>
      <c r="H729" s="742" t="s">
        <v>1</v>
      </c>
      <c r="I729" s="803">
        <v>1</v>
      </c>
      <c r="J729" s="799">
        <v>317.20999999999998</v>
      </c>
      <c r="K729" s="814">
        <v>317.20999999999998</v>
      </c>
      <c r="L729" s="778">
        <v>305.20999999999998</v>
      </c>
      <c r="M729" s="743">
        <v>305.20999999999998</v>
      </c>
    </row>
    <row r="730" spans="2:13" ht="24" customHeight="1" x14ac:dyDescent="0.25">
      <c r="B730" s="765" t="s">
        <v>478</v>
      </c>
      <c r="C730" s="750" t="s">
        <v>1507</v>
      </c>
      <c r="D730" s="749" t="s">
        <v>475</v>
      </c>
      <c r="E730" s="749" t="s">
        <v>1508</v>
      </c>
      <c r="F730" s="1008" t="s">
        <v>1268</v>
      </c>
      <c r="G730" s="1009"/>
      <c r="H730" s="751" t="s">
        <v>484</v>
      </c>
      <c r="I730" s="791">
        <v>0.79139999999999999</v>
      </c>
      <c r="J730" s="802">
        <v>35.47</v>
      </c>
      <c r="K730" s="779">
        <v>28.07</v>
      </c>
      <c r="L730" s="822">
        <v>33.26</v>
      </c>
      <c r="M730" s="753">
        <v>26.32</v>
      </c>
    </row>
    <row r="731" spans="2:13" ht="24" customHeight="1" x14ac:dyDescent="0.25">
      <c r="B731" s="765" t="s">
        <v>478</v>
      </c>
      <c r="C731" s="750" t="s">
        <v>485</v>
      </c>
      <c r="D731" s="749" t="s">
        <v>475</v>
      </c>
      <c r="E731" s="749" t="s">
        <v>486</v>
      </c>
      <c r="F731" s="1008" t="s">
        <v>1268</v>
      </c>
      <c r="G731" s="1009"/>
      <c r="H731" s="751" t="s">
        <v>484</v>
      </c>
      <c r="I731" s="791">
        <v>2.3742999999999999</v>
      </c>
      <c r="J731" s="802">
        <v>22.76</v>
      </c>
      <c r="K731" s="779">
        <v>54.03</v>
      </c>
      <c r="L731" s="822">
        <v>21.55</v>
      </c>
      <c r="M731" s="753">
        <v>51.16</v>
      </c>
    </row>
    <row r="732" spans="2:13" ht="47.25" x14ac:dyDescent="0.25">
      <c r="B732" s="765" t="s">
        <v>478</v>
      </c>
      <c r="C732" s="750" t="s">
        <v>1509</v>
      </c>
      <c r="D732" s="749" t="s">
        <v>475</v>
      </c>
      <c r="E732" s="749" t="s">
        <v>1510</v>
      </c>
      <c r="F732" s="1008" t="s">
        <v>1285</v>
      </c>
      <c r="G732" s="1009"/>
      <c r="H732" s="751" t="s">
        <v>592</v>
      </c>
      <c r="I732" s="791">
        <v>0.77200000000000002</v>
      </c>
      <c r="J732" s="802">
        <v>22.69</v>
      </c>
      <c r="K732" s="779">
        <v>17.510000000000002</v>
      </c>
      <c r="L732" s="822">
        <v>22.69</v>
      </c>
      <c r="M732" s="753">
        <v>17.510000000000002</v>
      </c>
    </row>
    <row r="733" spans="2:13" ht="51.95" customHeight="1" x14ac:dyDescent="0.25">
      <c r="B733" s="765" t="s">
        <v>478</v>
      </c>
      <c r="C733" s="750" t="s">
        <v>1511</v>
      </c>
      <c r="D733" s="749" t="s">
        <v>475</v>
      </c>
      <c r="E733" s="749" t="s">
        <v>1512</v>
      </c>
      <c r="F733" s="1008" t="s">
        <v>1285</v>
      </c>
      <c r="G733" s="1009"/>
      <c r="H733" s="751" t="s">
        <v>592</v>
      </c>
      <c r="I733" s="791">
        <v>0.77200000000000002</v>
      </c>
      <c r="J733" s="802">
        <v>0.97</v>
      </c>
      <c r="K733" s="779">
        <v>0.74</v>
      </c>
      <c r="L733" s="822">
        <v>0.97</v>
      </c>
      <c r="M733" s="753">
        <v>0.74</v>
      </c>
    </row>
    <row r="734" spans="2:13" ht="24" customHeight="1" x14ac:dyDescent="0.25">
      <c r="B734" s="765" t="s">
        <v>478</v>
      </c>
      <c r="C734" s="750" t="s">
        <v>620</v>
      </c>
      <c r="D734" s="749" t="s">
        <v>475</v>
      </c>
      <c r="E734" s="749" t="s">
        <v>621</v>
      </c>
      <c r="F734" s="1008" t="s">
        <v>1268</v>
      </c>
      <c r="G734" s="1009"/>
      <c r="H734" s="751" t="s">
        <v>484</v>
      </c>
      <c r="I734" s="791">
        <v>0.79139999999999999</v>
      </c>
      <c r="J734" s="802">
        <v>28.5</v>
      </c>
      <c r="K734" s="779">
        <v>22.55</v>
      </c>
      <c r="L734" s="822">
        <v>26.87</v>
      </c>
      <c r="M734" s="753">
        <v>21.26</v>
      </c>
    </row>
    <row r="735" spans="2:13" ht="26.1" customHeight="1" x14ac:dyDescent="0.25">
      <c r="B735" s="765" t="s">
        <v>478</v>
      </c>
      <c r="C735" s="750" t="s">
        <v>1513</v>
      </c>
      <c r="D735" s="749" t="s">
        <v>475</v>
      </c>
      <c r="E735" s="749" t="s">
        <v>1514</v>
      </c>
      <c r="F735" s="1008" t="s">
        <v>1515</v>
      </c>
      <c r="G735" s="1009"/>
      <c r="H735" s="751" t="s">
        <v>513</v>
      </c>
      <c r="I735" s="791">
        <v>0.25</v>
      </c>
      <c r="J735" s="802">
        <v>28.19</v>
      </c>
      <c r="K735" s="779">
        <v>7.04</v>
      </c>
      <c r="L735" s="822">
        <v>27.57</v>
      </c>
      <c r="M735" s="753">
        <v>6.89</v>
      </c>
    </row>
    <row r="736" spans="2:13" ht="47.25" x14ac:dyDescent="0.25">
      <c r="B736" s="765" t="s">
        <v>478</v>
      </c>
      <c r="C736" s="750" t="s">
        <v>1516</v>
      </c>
      <c r="D736" s="749" t="s">
        <v>475</v>
      </c>
      <c r="E736" s="749" t="s">
        <v>1517</v>
      </c>
      <c r="F736" s="1008" t="s">
        <v>1285</v>
      </c>
      <c r="G736" s="1009"/>
      <c r="H736" s="751" t="s">
        <v>564</v>
      </c>
      <c r="I736" s="791">
        <v>3.5999999999999997E-2</v>
      </c>
      <c r="J736" s="802">
        <v>201.44</v>
      </c>
      <c r="K736" s="779">
        <v>7.25</v>
      </c>
      <c r="L736" s="822">
        <v>201.44</v>
      </c>
      <c r="M736" s="753">
        <v>7.25</v>
      </c>
    </row>
    <row r="737" spans="2:13" ht="31.5" x14ac:dyDescent="0.25">
      <c r="B737" s="765" t="s">
        <v>478</v>
      </c>
      <c r="C737" s="750" t="s">
        <v>1518</v>
      </c>
      <c r="D737" s="749" t="s">
        <v>475</v>
      </c>
      <c r="E737" s="749" t="s">
        <v>1519</v>
      </c>
      <c r="F737" s="1008" t="s">
        <v>1285</v>
      </c>
      <c r="G737" s="1009"/>
      <c r="H737" s="751" t="s">
        <v>592</v>
      </c>
      <c r="I737" s="791">
        <v>0.77200000000000002</v>
      </c>
      <c r="J737" s="802">
        <v>4.79</v>
      </c>
      <c r="K737" s="779">
        <v>3.69</v>
      </c>
      <c r="L737" s="822">
        <v>4.79</v>
      </c>
      <c r="M737" s="753">
        <v>3.69</v>
      </c>
    </row>
    <row r="738" spans="2:13" ht="51.95" customHeight="1" x14ac:dyDescent="0.25">
      <c r="B738" s="765" t="s">
        <v>478</v>
      </c>
      <c r="C738" s="750" t="s">
        <v>1520</v>
      </c>
      <c r="D738" s="749" t="s">
        <v>475</v>
      </c>
      <c r="E738" s="749" t="s">
        <v>1521</v>
      </c>
      <c r="F738" s="1008" t="s">
        <v>1285</v>
      </c>
      <c r="G738" s="1009"/>
      <c r="H738" s="751" t="s">
        <v>592</v>
      </c>
      <c r="I738" s="791">
        <v>0.70709999999999995</v>
      </c>
      <c r="J738" s="802">
        <v>0.38</v>
      </c>
      <c r="K738" s="779">
        <v>0.26</v>
      </c>
      <c r="L738" s="822">
        <v>0.38</v>
      </c>
      <c r="M738" s="753">
        <v>0.26</v>
      </c>
    </row>
    <row r="739" spans="2:13" ht="31.5" x14ac:dyDescent="0.25">
      <c r="B739" s="765" t="s">
        <v>478</v>
      </c>
      <c r="C739" s="750" t="s">
        <v>1522</v>
      </c>
      <c r="D739" s="749" t="s">
        <v>475</v>
      </c>
      <c r="E739" s="749" t="s">
        <v>1523</v>
      </c>
      <c r="F739" s="1008" t="s">
        <v>1285</v>
      </c>
      <c r="G739" s="1009"/>
      <c r="H739" s="751" t="s">
        <v>564</v>
      </c>
      <c r="I739" s="791">
        <v>3.5999999999999997E-2</v>
      </c>
      <c r="J739" s="802">
        <v>16.23</v>
      </c>
      <c r="K739" s="779">
        <v>0.57999999999999996</v>
      </c>
      <c r="L739" s="822">
        <v>16.23</v>
      </c>
      <c r="M739" s="753">
        <v>0.57999999999999996</v>
      </c>
    </row>
    <row r="740" spans="2:13" ht="31.5" x14ac:dyDescent="0.25">
      <c r="B740" s="765" t="s">
        <v>478</v>
      </c>
      <c r="C740" s="750" t="s">
        <v>1524</v>
      </c>
      <c r="D740" s="749" t="s">
        <v>475</v>
      </c>
      <c r="E740" s="749" t="s">
        <v>1525</v>
      </c>
      <c r="F740" s="1008" t="s">
        <v>1268</v>
      </c>
      <c r="G740" s="1009"/>
      <c r="H740" s="751" t="s">
        <v>484</v>
      </c>
      <c r="I740" s="791">
        <v>1.5829</v>
      </c>
      <c r="J740" s="802">
        <v>30.85</v>
      </c>
      <c r="K740" s="779">
        <v>48.83</v>
      </c>
      <c r="L740" s="822">
        <v>28.95</v>
      </c>
      <c r="M740" s="753">
        <v>45.82</v>
      </c>
    </row>
    <row r="741" spans="2:13" ht="51.95" customHeight="1" x14ac:dyDescent="0.25">
      <c r="B741" s="765" t="s">
        <v>478</v>
      </c>
      <c r="C741" s="750" t="s">
        <v>1526</v>
      </c>
      <c r="D741" s="749" t="s">
        <v>475</v>
      </c>
      <c r="E741" s="749" t="s">
        <v>1527</v>
      </c>
      <c r="F741" s="1008" t="s">
        <v>1285</v>
      </c>
      <c r="G741" s="1009"/>
      <c r="H741" s="751" t="s">
        <v>564</v>
      </c>
      <c r="I741" s="791">
        <v>3.5999999999999997E-2</v>
      </c>
      <c r="J741" s="802">
        <v>12.77</v>
      </c>
      <c r="K741" s="779">
        <v>0.45</v>
      </c>
      <c r="L741" s="822">
        <v>12.77</v>
      </c>
      <c r="M741" s="753">
        <v>0.45</v>
      </c>
    </row>
    <row r="742" spans="2:13" ht="31.5" x14ac:dyDescent="0.25">
      <c r="B742" s="765" t="s">
        <v>478</v>
      </c>
      <c r="C742" s="750" t="s">
        <v>1528</v>
      </c>
      <c r="D742" s="749" t="s">
        <v>475</v>
      </c>
      <c r="E742" s="749" t="s">
        <v>1529</v>
      </c>
      <c r="F742" s="1008" t="s">
        <v>1268</v>
      </c>
      <c r="G742" s="1009"/>
      <c r="H742" s="751" t="s">
        <v>484</v>
      </c>
      <c r="I742" s="791">
        <v>0.79139999999999999</v>
      </c>
      <c r="J742" s="802">
        <v>27.63</v>
      </c>
      <c r="K742" s="779">
        <v>21.86</v>
      </c>
      <c r="L742" s="822">
        <v>25.96</v>
      </c>
      <c r="M742" s="753">
        <v>20.54</v>
      </c>
    </row>
    <row r="743" spans="2:13" ht="51.95" customHeight="1" x14ac:dyDescent="0.25">
      <c r="B743" s="765" t="s">
        <v>478</v>
      </c>
      <c r="C743" s="750" t="s">
        <v>910</v>
      </c>
      <c r="D743" s="749" t="s">
        <v>475</v>
      </c>
      <c r="E743" s="749" t="s">
        <v>982</v>
      </c>
      <c r="F743" s="1008" t="s">
        <v>1285</v>
      </c>
      <c r="G743" s="1009"/>
      <c r="H743" s="751" t="s">
        <v>564</v>
      </c>
      <c r="I743" s="791">
        <v>8.43E-2</v>
      </c>
      <c r="J743" s="802">
        <v>2.13</v>
      </c>
      <c r="K743" s="779">
        <v>0.17</v>
      </c>
      <c r="L743" s="822">
        <v>2.13</v>
      </c>
      <c r="M743" s="753">
        <v>0.17</v>
      </c>
    </row>
    <row r="744" spans="2:13" ht="26.1" customHeight="1" x14ac:dyDescent="0.25">
      <c r="B744" s="765" t="s">
        <v>478</v>
      </c>
      <c r="C744" s="750" t="s">
        <v>1530</v>
      </c>
      <c r="D744" s="749" t="s">
        <v>475</v>
      </c>
      <c r="E744" s="749" t="s">
        <v>1531</v>
      </c>
      <c r="F744" s="1008" t="s">
        <v>1268</v>
      </c>
      <c r="G744" s="1009"/>
      <c r="H744" s="751" t="s">
        <v>484</v>
      </c>
      <c r="I744" s="791">
        <v>0.14839330000000001</v>
      </c>
      <c r="J744" s="802">
        <v>149.13999999999999</v>
      </c>
      <c r="K744" s="779">
        <v>22.13</v>
      </c>
      <c r="L744" s="822">
        <v>138.30000000000001</v>
      </c>
      <c r="M744" s="753">
        <v>20.52</v>
      </c>
    </row>
    <row r="745" spans="2:13" ht="31.5" x14ac:dyDescent="0.25">
      <c r="B745" s="765" t="s">
        <v>487</v>
      </c>
      <c r="C745" s="750" t="s">
        <v>1160</v>
      </c>
      <c r="D745" s="749" t="s">
        <v>475</v>
      </c>
      <c r="E745" s="749" t="s">
        <v>1161</v>
      </c>
      <c r="F745" s="1008" t="s">
        <v>490</v>
      </c>
      <c r="G745" s="1009"/>
      <c r="H745" s="751" t="s">
        <v>2</v>
      </c>
      <c r="I745" s="791">
        <v>7.4800000000000005E-2</v>
      </c>
      <c r="J745" s="802">
        <v>113.37</v>
      </c>
      <c r="K745" s="779">
        <v>8.48</v>
      </c>
      <c r="L745" s="822">
        <v>113.37</v>
      </c>
      <c r="M745" s="753">
        <v>8.48</v>
      </c>
    </row>
    <row r="746" spans="2:13" ht="31.5" x14ac:dyDescent="0.25">
      <c r="B746" s="765" t="s">
        <v>487</v>
      </c>
      <c r="C746" s="750" t="s">
        <v>703</v>
      </c>
      <c r="D746" s="749" t="s">
        <v>475</v>
      </c>
      <c r="E746" s="749" t="s">
        <v>704</v>
      </c>
      <c r="F746" s="1008" t="s">
        <v>490</v>
      </c>
      <c r="G746" s="1009"/>
      <c r="H746" s="751" t="s">
        <v>2</v>
      </c>
      <c r="I746" s="791">
        <v>0.1159</v>
      </c>
      <c r="J746" s="802">
        <v>82</v>
      </c>
      <c r="K746" s="779">
        <v>9.5</v>
      </c>
      <c r="L746" s="822">
        <v>82</v>
      </c>
      <c r="M746" s="753">
        <v>9.5</v>
      </c>
    </row>
    <row r="747" spans="2:13" ht="24" customHeight="1" x14ac:dyDescent="0.25">
      <c r="B747" s="765" t="s">
        <v>487</v>
      </c>
      <c r="C747" s="750" t="s">
        <v>742</v>
      </c>
      <c r="D747" s="749" t="s">
        <v>475</v>
      </c>
      <c r="E747" s="749" t="s">
        <v>743</v>
      </c>
      <c r="F747" s="1008" t="s">
        <v>490</v>
      </c>
      <c r="G747" s="1009"/>
      <c r="H747" s="751" t="s">
        <v>495</v>
      </c>
      <c r="I747" s="791">
        <v>51.418599999999998</v>
      </c>
      <c r="J747" s="802">
        <v>0.83</v>
      </c>
      <c r="K747" s="779">
        <v>42.67</v>
      </c>
      <c r="L747" s="822">
        <v>0.83</v>
      </c>
      <c r="M747" s="753">
        <v>42.67</v>
      </c>
    </row>
    <row r="748" spans="2:13" ht="47.25" x14ac:dyDescent="0.25">
      <c r="B748" s="765" t="s">
        <v>487</v>
      </c>
      <c r="C748" s="750" t="s">
        <v>1532</v>
      </c>
      <c r="D748" s="749" t="s">
        <v>475</v>
      </c>
      <c r="E748" s="749" t="s">
        <v>1533</v>
      </c>
      <c r="F748" s="1008" t="s">
        <v>490</v>
      </c>
      <c r="G748" s="1009"/>
      <c r="H748" s="751" t="s">
        <v>1</v>
      </c>
      <c r="I748" s="791">
        <v>1.2190000000000001</v>
      </c>
      <c r="J748" s="802">
        <v>17.559999999999999</v>
      </c>
      <c r="K748" s="779">
        <v>21.4</v>
      </c>
      <c r="L748" s="822">
        <v>17.559999999999999</v>
      </c>
      <c r="M748" s="753">
        <v>21.4</v>
      </c>
    </row>
    <row r="749" spans="2:13" x14ac:dyDescent="0.25">
      <c r="B749" s="823"/>
      <c r="C749" s="744"/>
      <c r="D749" s="744"/>
      <c r="E749" s="744"/>
      <c r="F749" s="744" t="s">
        <v>498</v>
      </c>
      <c r="G749" s="745">
        <v>160.31</v>
      </c>
      <c r="H749" s="744" t="s">
        <v>499</v>
      </c>
      <c r="I749" s="787">
        <v>0</v>
      </c>
      <c r="J749" s="823" t="s">
        <v>500</v>
      </c>
      <c r="K749" s="787">
        <v>160.31</v>
      </c>
      <c r="L749" s="744" t="s">
        <v>500</v>
      </c>
      <c r="M749" s="745">
        <v>148.29</v>
      </c>
    </row>
    <row r="750" spans="2:13" ht="14.25" customHeight="1" x14ac:dyDescent="0.25">
      <c r="B750" s="823"/>
      <c r="C750" s="744"/>
      <c r="D750" s="744"/>
      <c r="E750" s="744"/>
      <c r="F750" s="744" t="s">
        <v>501</v>
      </c>
      <c r="G750" s="745">
        <v>80.03</v>
      </c>
      <c r="H750" s="744"/>
      <c r="I750" s="812" t="s">
        <v>502</v>
      </c>
      <c r="J750" s="793"/>
      <c r="K750" s="787">
        <v>397.24</v>
      </c>
      <c r="L750" s="746"/>
      <c r="M750" s="745">
        <v>398.78</v>
      </c>
    </row>
    <row r="751" spans="2:13" ht="50.1" customHeight="1" thickBot="1" x14ac:dyDescent="0.3">
      <c r="B751" s="776"/>
      <c r="C751" s="747"/>
      <c r="D751" s="747"/>
      <c r="E751" s="747"/>
      <c r="F751" s="747"/>
      <c r="G751" s="747"/>
      <c r="H751" s="747" t="s">
        <v>503</v>
      </c>
      <c r="I751" s="806" t="s">
        <v>1534</v>
      </c>
      <c r="J751" s="776" t="s">
        <v>504</v>
      </c>
      <c r="K751" s="807">
        <v>7595.22</v>
      </c>
      <c r="L751" s="747" t="s">
        <v>504</v>
      </c>
      <c r="M751" s="748">
        <v>7624.67</v>
      </c>
    </row>
    <row r="752" spans="2:13" ht="16.5" thickTop="1" x14ac:dyDescent="0.25">
      <c r="B752" s="768"/>
      <c r="C752" s="757"/>
      <c r="D752" s="757"/>
      <c r="E752" s="757"/>
      <c r="F752" s="757"/>
      <c r="G752" s="757"/>
      <c r="H752" s="757"/>
      <c r="I752" s="766"/>
      <c r="J752" s="768"/>
      <c r="K752" s="766"/>
      <c r="L752" s="757"/>
      <c r="M752" s="757"/>
    </row>
    <row r="753" spans="2:13" ht="18" customHeight="1" x14ac:dyDescent="0.25">
      <c r="B753" s="805" t="s">
        <v>1482</v>
      </c>
      <c r="C753" s="736" t="s">
        <v>391</v>
      </c>
      <c r="D753" s="735" t="s">
        <v>392</v>
      </c>
      <c r="E753" s="735" t="s">
        <v>42</v>
      </c>
      <c r="F753" s="1004" t="s">
        <v>39</v>
      </c>
      <c r="G753" s="1005"/>
      <c r="H753" s="738" t="s">
        <v>394</v>
      </c>
      <c r="I753" s="767" t="s">
        <v>395</v>
      </c>
      <c r="J753" s="808" t="s">
        <v>396</v>
      </c>
      <c r="K753" s="767" t="s">
        <v>0</v>
      </c>
      <c r="L753" s="782" t="s">
        <v>396</v>
      </c>
      <c r="M753" s="736" t="s">
        <v>0</v>
      </c>
    </row>
    <row r="754" spans="2:13" ht="51.95" customHeight="1" x14ac:dyDescent="0.25">
      <c r="B754" s="789" t="s">
        <v>473</v>
      </c>
      <c r="C754" s="740" t="s">
        <v>599</v>
      </c>
      <c r="D754" s="739" t="s">
        <v>475</v>
      </c>
      <c r="E754" s="739" t="s">
        <v>600</v>
      </c>
      <c r="F754" s="1010" t="s">
        <v>1289</v>
      </c>
      <c r="G754" s="1011"/>
      <c r="H754" s="742" t="s">
        <v>2</v>
      </c>
      <c r="I754" s="803">
        <v>1</v>
      </c>
      <c r="J754" s="799">
        <v>7.03</v>
      </c>
      <c r="K754" s="814">
        <v>7.03</v>
      </c>
      <c r="L754" s="778">
        <v>6.95</v>
      </c>
      <c r="M754" s="743">
        <v>6.95</v>
      </c>
    </row>
    <row r="755" spans="2:13" ht="39" customHeight="1" x14ac:dyDescent="0.25">
      <c r="B755" s="765" t="s">
        <v>478</v>
      </c>
      <c r="C755" s="750" t="s">
        <v>595</v>
      </c>
      <c r="D755" s="749" t="s">
        <v>475</v>
      </c>
      <c r="E755" s="749" t="s">
        <v>596</v>
      </c>
      <c r="F755" s="1008" t="s">
        <v>1285</v>
      </c>
      <c r="G755" s="1009"/>
      <c r="H755" s="751" t="s">
        <v>564</v>
      </c>
      <c r="I755" s="791">
        <v>4.1999999999999997E-3</v>
      </c>
      <c r="J755" s="802">
        <v>251.7</v>
      </c>
      <c r="K755" s="779">
        <v>1.05</v>
      </c>
      <c r="L755" s="822">
        <v>249.57</v>
      </c>
      <c r="M755" s="753">
        <v>1.04</v>
      </c>
    </row>
    <row r="756" spans="2:13" ht="65.099999999999994" customHeight="1" x14ac:dyDescent="0.25">
      <c r="B756" s="765" t="s">
        <v>478</v>
      </c>
      <c r="C756" s="750" t="s">
        <v>603</v>
      </c>
      <c r="D756" s="749" t="s">
        <v>475</v>
      </c>
      <c r="E756" s="749" t="s">
        <v>604</v>
      </c>
      <c r="F756" s="1008" t="s">
        <v>1285</v>
      </c>
      <c r="G756" s="1009"/>
      <c r="H756" s="751" t="s">
        <v>592</v>
      </c>
      <c r="I756" s="791">
        <v>1.2E-2</v>
      </c>
      <c r="J756" s="802">
        <v>74.48</v>
      </c>
      <c r="K756" s="779">
        <v>0.89</v>
      </c>
      <c r="L756" s="822">
        <v>72.81</v>
      </c>
      <c r="M756" s="753">
        <v>0.87</v>
      </c>
    </row>
    <row r="757" spans="2:13" ht="65.099999999999994" customHeight="1" x14ac:dyDescent="0.25">
      <c r="B757" s="765" t="s">
        <v>478</v>
      </c>
      <c r="C757" s="750" t="s">
        <v>601</v>
      </c>
      <c r="D757" s="749" t="s">
        <v>475</v>
      </c>
      <c r="E757" s="749" t="s">
        <v>602</v>
      </c>
      <c r="F757" s="1008" t="s">
        <v>1285</v>
      </c>
      <c r="G757" s="1009"/>
      <c r="H757" s="751" t="s">
        <v>564</v>
      </c>
      <c r="I757" s="791">
        <v>1.5699999999999999E-2</v>
      </c>
      <c r="J757" s="802">
        <v>270.25</v>
      </c>
      <c r="K757" s="779">
        <v>4.24</v>
      </c>
      <c r="L757" s="822">
        <v>268.58</v>
      </c>
      <c r="M757" s="753">
        <v>4.21</v>
      </c>
    </row>
    <row r="758" spans="2:13" ht="39" customHeight="1" x14ac:dyDescent="0.25">
      <c r="B758" s="765" t="s">
        <v>478</v>
      </c>
      <c r="C758" s="750" t="s">
        <v>597</v>
      </c>
      <c r="D758" s="749" t="s">
        <v>475</v>
      </c>
      <c r="E758" s="749" t="s">
        <v>598</v>
      </c>
      <c r="F758" s="1008" t="s">
        <v>1285</v>
      </c>
      <c r="G758" s="1009"/>
      <c r="H758" s="751" t="s">
        <v>592</v>
      </c>
      <c r="I758" s="791">
        <v>8.6999999999999994E-3</v>
      </c>
      <c r="J758" s="802">
        <v>98.52</v>
      </c>
      <c r="K758" s="779">
        <v>0.85</v>
      </c>
      <c r="L758" s="822">
        <v>96.39</v>
      </c>
      <c r="M758" s="753">
        <v>0.83</v>
      </c>
    </row>
    <row r="759" spans="2:13" x14ac:dyDescent="0.25">
      <c r="B759" s="823"/>
      <c r="C759" s="744"/>
      <c r="D759" s="744"/>
      <c r="E759" s="744"/>
      <c r="F759" s="744" t="s">
        <v>498</v>
      </c>
      <c r="G759" s="745">
        <v>0.95</v>
      </c>
      <c r="H759" s="744" t="s">
        <v>499</v>
      </c>
      <c r="I759" s="787">
        <v>0</v>
      </c>
      <c r="J759" s="823" t="s">
        <v>500</v>
      </c>
      <c r="K759" s="787">
        <v>0.95</v>
      </c>
      <c r="L759" s="744" t="s">
        <v>500</v>
      </c>
      <c r="M759" s="745">
        <v>0.9</v>
      </c>
    </row>
    <row r="760" spans="2:13" ht="14.25" customHeight="1" x14ac:dyDescent="0.25">
      <c r="B760" s="823"/>
      <c r="C760" s="744"/>
      <c r="D760" s="744"/>
      <c r="E760" s="744"/>
      <c r="F760" s="744" t="s">
        <v>501</v>
      </c>
      <c r="G760" s="745">
        <v>1.77</v>
      </c>
      <c r="H760" s="744"/>
      <c r="I760" s="812" t="s">
        <v>502</v>
      </c>
      <c r="J760" s="793"/>
      <c r="K760" s="787">
        <v>8.8000000000000007</v>
      </c>
      <c r="L760" s="746"/>
      <c r="M760" s="745">
        <v>9.08</v>
      </c>
    </row>
    <row r="761" spans="2:13" ht="50.1" customHeight="1" thickBot="1" x14ac:dyDescent="0.3">
      <c r="B761" s="776"/>
      <c r="C761" s="747"/>
      <c r="D761" s="747"/>
      <c r="E761" s="747"/>
      <c r="F761" s="747"/>
      <c r="G761" s="747"/>
      <c r="H761" s="747" t="s">
        <v>503</v>
      </c>
      <c r="I761" s="806" t="s">
        <v>1535</v>
      </c>
      <c r="J761" s="776" t="s">
        <v>504</v>
      </c>
      <c r="K761" s="807">
        <v>701.36</v>
      </c>
      <c r="L761" s="747" t="s">
        <v>504</v>
      </c>
      <c r="M761" s="748">
        <v>723.67</v>
      </c>
    </row>
    <row r="762" spans="2:13" ht="16.5" thickTop="1" x14ac:dyDescent="0.25">
      <c r="B762" s="768"/>
      <c r="C762" s="757"/>
      <c r="D762" s="757"/>
      <c r="E762" s="757"/>
      <c r="F762" s="757"/>
      <c r="G762" s="757"/>
      <c r="H762" s="757"/>
      <c r="I762" s="766"/>
      <c r="J762" s="768"/>
      <c r="K762" s="766"/>
      <c r="L762" s="757"/>
      <c r="M762" s="757"/>
    </row>
    <row r="763" spans="2:13" ht="18" customHeight="1" x14ac:dyDescent="0.25">
      <c r="B763" s="805" t="s">
        <v>1483</v>
      </c>
      <c r="C763" s="736" t="s">
        <v>391</v>
      </c>
      <c r="D763" s="735" t="s">
        <v>392</v>
      </c>
      <c r="E763" s="735" t="s">
        <v>42</v>
      </c>
      <c r="F763" s="1004" t="s">
        <v>39</v>
      </c>
      <c r="G763" s="1005"/>
      <c r="H763" s="738" t="s">
        <v>394</v>
      </c>
      <c r="I763" s="767" t="s">
        <v>395</v>
      </c>
      <c r="J763" s="808" t="s">
        <v>396</v>
      </c>
      <c r="K763" s="767" t="s">
        <v>0</v>
      </c>
      <c r="L763" s="782" t="s">
        <v>396</v>
      </c>
      <c r="M763" s="736" t="s">
        <v>0</v>
      </c>
    </row>
    <row r="764" spans="2:13" ht="39" customHeight="1" x14ac:dyDescent="0.25">
      <c r="B764" s="789" t="s">
        <v>473</v>
      </c>
      <c r="C764" s="740" t="s">
        <v>605</v>
      </c>
      <c r="D764" s="739" t="s">
        <v>475</v>
      </c>
      <c r="E764" s="739" t="s">
        <v>731</v>
      </c>
      <c r="F764" s="1010" t="s">
        <v>1289</v>
      </c>
      <c r="G764" s="1011"/>
      <c r="H764" s="742" t="s">
        <v>606</v>
      </c>
      <c r="I764" s="803">
        <v>1</v>
      </c>
      <c r="J764" s="799">
        <v>2.5</v>
      </c>
      <c r="K764" s="814">
        <v>2.5</v>
      </c>
      <c r="L764" s="778">
        <v>2.48</v>
      </c>
      <c r="M764" s="743">
        <v>2.48</v>
      </c>
    </row>
    <row r="765" spans="2:13" ht="65.099999999999994" customHeight="1" x14ac:dyDescent="0.25">
      <c r="B765" s="765" t="s">
        <v>478</v>
      </c>
      <c r="C765" s="750" t="s">
        <v>603</v>
      </c>
      <c r="D765" s="749" t="s">
        <v>475</v>
      </c>
      <c r="E765" s="749" t="s">
        <v>604</v>
      </c>
      <c r="F765" s="1008" t="s">
        <v>1285</v>
      </c>
      <c r="G765" s="1009"/>
      <c r="H765" s="751" t="s">
        <v>592</v>
      </c>
      <c r="I765" s="791">
        <v>3.5999999999999999E-3</v>
      </c>
      <c r="J765" s="802">
        <v>74.48</v>
      </c>
      <c r="K765" s="779">
        <v>0.26</v>
      </c>
      <c r="L765" s="822">
        <v>72.81</v>
      </c>
      <c r="M765" s="753">
        <v>0.26</v>
      </c>
    </row>
    <row r="766" spans="2:13" ht="65.099999999999994" customHeight="1" x14ac:dyDescent="0.25">
      <c r="B766" s="765" t="s">
        <v>478</v>
      </c>
      <c r="C766" s="750" t="s">
        <v>601</v>
      </c>
      <c r="D766" s="749" t="s">
        <v>475</v>
      </c>
      <c r="E766" s="749" t="s">
        <v>602</v>
      </c>
      <c r="F766" s="1008" t="s">
        <v>1285</v>
      </c>
      <c r="G766" s="1009"/>
      <c r="H766" s="751" t="s">
        <v>564</v>
      </c>
      <c r="I766" s="791">
        <v>8.3000000000000001E-3</v>
      </c>
      <c r="J766" s="802">
        <v>270.25</v>
      </c>
      <c r="K766" s="779">
        <v>2.2400000000000002</v>
      </c>
      <c r="L766" s="822">
        <v>268.58</v>
      </c>
      <c r="M766" s="753">
        <v>2.2200000000000002</v>
      </c>
    </row>
    <row r="767" spans="2:13" x14ac:dyDescent="0.25">
      <c r="B767" s="823"/>
      <c r="C767" s="744"/>
      <c r="D767" s="744"/>
      <c r="E767" s="744"/>
      <c r="F767" s="744" t="s">
        <v>498</v>
      </c>
      <c r="G767" s="745">
        <v>0.25</v>
      </c>
      <c r="H767" s="744" t="s">
        <v>499</v>
      </c>
      <c r="I767" s="787">
        <v>0</v>
      </c>
      <c r="J767" s="823" t="s">
        <v>500</v>
      </c>
      <c r="K767" s="787">
        <v>0.25</v>
      </c>
      <c r="L767" s="744" t="s">
        <v>500</v>
      </c>
      <c r="M767" s="745">
        <v>0.24</v>
      </c>
    </row>
    <row r="768" spans="2:13" ht="14.25" customHeight="1" x14ac:dyDescent="0.25">
      <c r="B768" s="823"/>
      <c r="C768" s="744"/>
      <c r="D768" s="744"/>
      <c r="E768" s="744"/>
      <c r="F768" s="744" t="s">
        <v>501</v>
      </c>
      <c r="G768" s="745">
        <v>0.63</v>
      </c>
      <c r="H768" s="744"/>
      <c r="I768" s="812" t="s">
        <v>502</v>
      </c>
      <c r="J768" s="793"/>
      <c r="K768" s="787">
        <v>3.13</v>
      </c>
      <c r="L768" s="746"/>
      <c r="M768" s="745">
        <v>3.24</v>
      </c>
    </row>
    <row r="769" spans="2:13" ht="50.1" customHeight="1" thickBot="1" x14ac:dyDescent="0.3">
      <c r="B769" s="776"/>
      <c r="C769" s="747"/>
      <c r="D769" s="747"/>
      <c r="E769" s="747"/>
      <c r="F769" s="747"/>
      <c r="G769" s="747"/>
      <c r="H769" s="747" t="s">
        <v>503</v>
      </c>
      <c r="I769" s="806" t="s">
        <v>1536</v>
      </c>
      <c r="J769" s="776" t="s">
        <v>504</v>
      </c>
      <c r="K769" s="807">
        <v>4540.1499999999996</v>
      </c>
      <c r="L769" s="747" t="s">
        <v>504</v>
      </c>
      <c r="M769" s="748">
        <v>4699.71</v>
      </c>
    </row>
    <row r="770" spans="2:13" ht="16.5" thickTop="1" x14ac:dyDescent="0.25">
      <c r="B770" s="768"/>
      <c r="C770" s="757"/>
      <c r="D770" s="757"/>
      <c r="E770" s="757"/>
      <c r="F770" s="757"/>
      <c r="G770" s="757"/>
      <c r="H770" s="757"/>
      <c r="I770" s="766"/>
      <c r="J770" s="768"/>
      <c r="K770" s="766"/>
      <c r="L770" s="757"/>
      <c r="M770" s="757"/>
    </row>
    <row r="771" spans="2:13" ht="24" customHeight="1" x14ac:dyDescent="0.25">
      <c r="B771" s="771" t="s">
        <v>375</v>
      </c>
      <c r="C771" s="617"/>
      <c r="D771" s="617"/>
      <c r="E771" s="617" t="s">
        <v>376</v>
      </c>
      <c r="F771" s="617"/>
      <c r="G771" s="755"/>
      <c r="H771" s="755"/>
      <c r="I771" s="792"/>
      <c r="J771" s="771"/>
      <c r="K771" s="796">
        <v>4348357.8499999996</v>
      </c>
      <c r="L771" s="815"/>
      <c r="M771" s="756">
        <v>4508331.2</v>
      </c>
    </row>
    <row r="772" spans="2:13" ht="24" customHeight="1" x14ac:dyDescent="0.25">
      <c r="B772" s="771" t="s">
        <v>430</v>
      </c>
      <c r="C772" s="617"/>
      <c r="D772" s="617"/>
      <c r="E772" s="617" t="s">
        <v>431</v>
      </c>
      <c r="F772" s="617"/>
      <c r="G772" s="755"/>
      <c r="H772" s="755"/>
      <c r="I772" s="792"/>
      <c r="J772" s="771"/>
      <c r="K772" s="796">
        <v>280659.61</v>
      </c>
      <c r="L772" s="815"/>
      <c r="M772" s="756">
        <v>289578.32</v>
      </c>
    </row>
    <row r="773" spans="2:13" ht="18" customHeight="1" x14ac:dyDescent="0.25">
      <c r="B773" s="805" t="s">
        <v>432</v>
      </c>
      <c r="C773" s="736" t="s">
        <v>391</v>
      </c>
      <c r="D773" s="735" t="s">
        <v>392</v>
      </c>
      <c r="E773" s="735" t="s">
        <v>42</v>
      </c>
      <c r="F773" s="1004" t="s">
        <v>39</v>
      </c>
      <c r="G773" s="1005"/>
      <c r="H773" s="738" t="s">
        <v>394</v>
      </c>
      <c r="I773" s="767" t="s">
        <v>395</v>
      </c>
      <c r="J773" s="808" t="s">
        <v>396</v>
      </c>
      <c r="K773" s="767" t="s">
        <v>0</v>
      </c>
      <c r="L773" s="782" t="s">
        <v>396</v>
      </c>
      <c r="M773" s="736" t="s">
        <v>0</v>
      </c>
    </row>
    <row r="774" spans="2:13" ht="51.95" customHeight="1" x14ac:dyDescent="0.25">
      <c r="B774" s="789" t="s">
        <v>473</v>
      </c>
      <c r="C774" s="740" t="s">
        <v>717</v>
      </c>
      <c r="D774" s="739" t="s">
        <v>475</v>
      </c>
      <c r="E774" s="739" t="s">
        <v>718</v>
      </c>
      <c r="F774" s="1010" t="s">
        <v>1438</v>
      </c>
      <c r="G774" s="1011"/>
      <c r="H774" s="742" t="s">
        <v>2</v>
      </c>
      <c r="I774" s="803">
        <v>1</v>
      </c>
      <c r="J774" s="799">
        <v>15.25</v>
      </c>
      <c r="K774" s="814">
        <v>15.25</v>
      </c>
      <c r="L774" s="778">
        <v>15.03</v>
      </c>
      <c r="M774" s="743">
        <v>15.03</v>
      </c>
    </row>
    <row r="775" spans="2:13" ht="39" customHeight="1" x14ac:dyDescent="0.25">
      <c r="B775" s="765" t="s">
        <v>478</v>
      </c>
      <c r="C775" s="750" t="s">
        <v>721</v>
      </c>
      <c r="D775" s="749" t="s">
        <v>475</v>
      </c>
      <c r="E775" s="749" t="s">
        <v>722</v>
      </c>
      <c r="F775" s="1008" t="s">
        <v>1289</v>
      </c>
      <c r="G775" s="1009"/>
      <c r="H775" s="751" t="s">
        <v>606</v>
      </c>
      <c r="I775" s="791">
        <v>0.25</v>
      </c>
      <c r="J775" s="802">
        <v>2.72</v>
      </c>
      <c r="K775" s="779">
        <v>0.68</v>
      </c>
      <c r="L775" s="822">
        <v>2.69</v>
      </c>
      <c r="M775" s="753">
        <v>0.67</v>
      </c>
    </row>
    <row r="776" spans="2:13" ht="39" customHeight="1" x14ac:dyDescent="0.25">
      <c r="B776" s="765" t="s">
        <v>478</v>
      </c>
      <c r="C776" s="750" t="s">
        <v>715</v>
      </c>
      <c r="D776" s="749" t="s">
        <v>475</v>
      </c>
      <c r="E776" s="749" t="s">
        <v>716</v>
      </c>
      <c r="F776" s="1008" t="s">
        <v>1285</v>
      </c>
      <c r="G776" s="1009"/>
      <c r="H776" s="751" t="s">
        <v>592</v>
      </c>
      <c r="I776" s="791">
        <v>1.5800000000000002E-2</v>
      </c>
      <c r="J776" s="802">
        <v>81.48</v>
      </c>
      <c r="K776" s="779">
        <v>1.28</v>
      </c>
      <c r="L776" s="822">
        <v>79.58</v>
      </c>
      <c r="M776" s="753">
        <v>1.25</v>
      </c>
    </row>
    <row r="777" spans="2:13" ht="39" customHeight="1" x14ac:dyDescent="0.25">
      <c r="B777" s="765" t="s">
        <v>478</v>
      </c>
      <c r="C777" s="750" t="s">
        <v>713</v>
      </c>
      <c r="D777" s="749" t="s">
        <v>475</v>
      </c>
      <c r="E777" s="749" t="s">
        <v>714</v>
      </c>
      <c r="F777" s="1008" t="s">
        <v>1285</v>
      </c>
      <c r="G777" s="1009"/>
      <c r="H777" s="751" t="s">
        <v>564</v>
      </c>
      <c r="I777" s="791">
        <v>9.2999999999999992E-3</v>
      </c>
      <c r="J777" s="802">
        <v>222.02</v>
      </c>
      <c r="K777" s="779">
        <v>2.06</v>
      </c>
      <c r="L777" s="822">
        <v>220.12</v>
      </c>
      <c r="M777" s="753">
        <v>2.04</v>
      </c>
    </row>
    <row r="778" spans="2:13" ht="24" customHeight="1" x14ac:dyDescent="0.25">
      <c r="B778" s="765" t="s">
        <v>478</v>
      </c>
      <c r="C778" s="750" t="s">
        <v>485</v>
      </c>
      <c r="D778" s="749" t="s">
        <v>475</v>
      </c>
      <c r="E778" s="749" t="s">
        <v>486</v>
      </c>
      <c r="F778" s="1008" t="s">
        <v>1268</v>
      </c>
      <c r="G778" s="1009"/>
      <c r="H778" s="751" t="s">
        <v>484</v>
      </c>
      <c r="I778" s="791">
        <v>2.5100000000000001E-2</v>
      </c>
      <c r="J778" s="802">
        <v>22.76</v>
      </c>
      <c r="K778" s="779">
        <v>0.56999999999999995</v>
      </c>
      <c r="L778" s="822">
        <v>21.55</v>
      </c>
      <c r="M778" s="753">
        <v>0.54</v>
      </c>
    </row>
    <row r="779" spans="2:13" ht="51.95" customHeight="1" x14ac:dyDescent="0.25">
      <c r="B779" s="765" t="s">
        <v>478</v>
      </c>
      <c r="C779" s="750" t="s">
        <v>719</v>
      </c>
      <c r="D779" s="749" t="s">
        <v>475</v>
      </c>
      <c r="E779" s="749" t="s">
        <v>720</v>
      </c>
      <c r="F779" s="1008" t="s">
        <v>1289</v>
      </c>
      <c r="G779" s="1009"/>
      <c r="H779" s="751" t="s">
        <v>2</v>
      </c>
      <c r="I779" s="791">
        <v>1.25</v>
      </c>
      <c r="J779" s="802">
        <v>8.5299999999999994</v>
      </c>
      <c r="K779" s="779">
        <v>10.66</v>
      </c>
      <c r="L779" s="822">
        <v>8.43</v>
      </c>
      <c r="M779" s="753">
        <v>10.53</v>
      </c>
    </row>
    <row r="780" spans="2:13" x14ac:dyDescent="0.25">
      <c r="B780" s="823"/>
      <c r="C780" s="744"/>
      <c r="D780" s="744"/>
      <c r="E780" s="744"/>
      <c r="F780" s="744" t="s">
        <v>498</v>
      </c>
      <c r="G780" s="745">
        <v>2.57</v>
      </c>
      <c r="H780" s="744" t="s">
        <v>499</v>
      </c>
      <c r="I780" s="787">
        <v>0</v>
      </c>
      <c r="J780" s="823" t="s">
        <v>500</v>
      </c>
      <c r="K780" s="787">
        <v>2.57</v>
      </c>
      <c r="L780" s="744" t="s">
        <v>500</v>
      </c>
      <c r="M780" s="745">
        <v>2.39</v>
      </c>
    </row>
    <row r="781" spans="2:13" ht="14.25" customHeight="1" x14ac:dyDescent="0.25">
      <c r="B781" s="823"/>
      <c r="C781" s="744"/>
      <c r="D781" s="744"/>
      <c r="E781" s="744"/>
      <c r="F781" s="744" t="s">
        <v>501</v>
      </c>
      <c r="G781" s="745">
        <v>3.84</v>
      </c>
      <c r="H781" s="744"/>
      <c r="I781" s="812" t="s">
        <v>502</v>
      </c>
      <c r="J781" s="793"/>
      <c r="K781" s="787">
        <v>19.09</v>
      </c>
      <c r="L781" s="746"/>
      <c r="M781" s="745">
        <v>19.63</v>
      </c>
    </row>
    <row r="782" spans="2:13" ht="50.1" customHeight="1" thickBot="1" x14ac:dyDescent="0.3">
      <c r="B782" s="776"/>
      <c r="C782" s="747"/>
      <c r="D782" s="747"/>
      <c r="E782" s="747"/>
      <c r="F782" s="747"/>
      <c r="G782" s="747"/>
      <c r="H782" s="747" t="s">
        <v>503</v>
      </c>
      <c r="I782" s="806" t="s">
        <v>1306</v>
      </c>
      <c r="J782" s="776" t="s">
        <v>504</v>
      </c>
      <c r="K782" s="807">
        <v>2324.0100000000002</v>
      </c>
      <c r="L782" s="747" t="s">
        <v>504</v>
      </c>
      <c r="M782" s="748">
        <v>2389.75</v>
      </c>
    </row>
    <row r="783" spans="2:13" ht="16.5" thickTop="1" x14ac:dyDescent="0.25">
      <c r="B783" s="768"/>
      <c r="C783" s="757"/>
      <c r="D783" s="757"/>
      <c r="E783" s="757"/>
      <c r="F783" s="757"/>
      <c r="G783" s="757"/>
      <c r="H783" s="757"/>
      <c r="I783" s="766"/>
      <c r="J783" s="768"/>
      <c r="K783" s="766"/>
      <c r="L783" s="757"/>
      <c r="M783" s="757"/>
    </row>
    <row r="784" spans="2:13" ht="18" customHeight="1" x14ac:dyDescent="0.25">
      <c r="B784" s="805" t="s">
        <v>433</v>
      </c>
      <c r="C784" s="736" t="s">
        <v>391</v>
      </c>
      <c r="D784" s="735" t="s">
        <v>392</v>
      </c>
      <c r="E784" s="735" t="s">
        <v>42</v>
      </c>
      <c r="F784" s="1004" t="s">
        <v>39</v>
      </c>
      <c r="G784" s="1005"/>
      <c r="H784" s="738" t="s">
        <v>394</v>
      </c>
      <c r="I784" s="767" t="s">
        <v>395</v>
      </c>
      <c r="J784" s="808" t="s">
        <v>396</v>
      </c>
      <c r="K784" s="767" t="s">
        <v>0</v>
      </c>
      <c r="L784" s="782" t="s">
        <v>396</v>
      </c>
      <c r="M784" s="736" t="s">
        <v>0</v>
      </c>
    </row>
    <row r="785" spans="2:13" ht="39" customHeight="1" x14ac:dyDescent="0.25">
      <c r="B785" s="789" t="s">
        <v>473</v>
      </c>
      <c r="C785" s="740" t="s">
        <v>711</v>
      </c>
      <c r="D785" s="739" t="s">
        <v>475</v>
      </c>
      <c r="E785" s="739" t="s">
        <v>712</v>
      </c>
      <c r="F785" s="1010" t="s">
        <v>1438</v>
      </c>
      <c r="G785" s="1011"/>
      <c r="H785" s="742" t="s">
        <v>2</v>
      </c>
      <c r="I785" s="803">
        <v>1</v>
      </c>
      <c r="J785" s="799">
        <v>3.91</v>
      </c>
      <c r="K785" s="814">
        <v>3.91</v>
      </c>
      <c r="L785" s="778">
        <v>3.83</v>
      </c>
      <c r="M785" s="743">
        <v>3.83</v>
      </c>
    </row>
    <row r="786" spans="2:13" ht="24" customHeight="1" x14ac:dyDescent="0.25">
      <c r="B786" s="765" t="s">
        <v>478</v>
      </c>
      <c r="C786" s="750" t="s">
        <v>485</v>
      </c>
      <c r="D786" s="749" t="s">
        <v>475</v>
      </c>
      <c r="E786" s="749" t="s">
        <v>486</v>
      </c>
      <c r="F786" s="1008" t="s">
        <v>1268</v>
      </c>
      <c r="G786" s="1009"/>
      <c r="H786" s="751" t="s">
        <v>484</v>
      </c>
      <c r="I786" s="791">
        <v>2.5100000000000001E-2</v>
      </c>
      <c r="J786" s="802">
        <v>22.76</v>
      </c>
      <c r="K786" s="779">
        <v>0.56999999999999995</v>
      </c>
      <c r="L786" s="822">
        <v>21.55</v>
      </c>
      <c r="M786" s="753">
        <v>0.54</v>
      </c>
    </row>
    <row r="787" spans="2:13" ht="39" customHeight="1" x14ac:dyDescent="0.25">
      <c r="B787" s="765" t="s">
        <v>478</v>
      </c>
      <c r="C787" s="750" t="s">
        <v>715</v>
      </c>
      <c r="D787" s="749" t="s">
        <v>475</v>
      </c>
      <c r="E787" s="749" t="s">
        <v>716</v>
      </c>
      <c r="F787" s="1008" t="s">
        <v>1285</v>
      </c>
      <c r="G787" s="1009"/>
      <c r="H787" s="751" t="s">
        <v>592</v>
      </c>
      <c r="I787" s="791">
        <v>1.5800000000000002E-2</v>
      </c>
      <c r="J787" s="802">
        <v>81.48</v>
      </c>
      <c r="K787" s="779">
        <v>1.28</v>
      </c>
      <c r="L787" s="822">
        <v>79.58</v>
      </c>
      <c r="M787" s="753">
        <v>1.25</v>
      </c>
    </row>
    <row r="788" spans="2:13" ht="39" customHeight="1" x14ac:dyDescent="0.25">
      <c r="B788" s="765" t="s">
        <v>478</v>
      </c>
      <c r="C788" s="750" t="s">
        <v>713</v>
      </c>
      <c r="D788" s="749" t="s">
        <v>475</v>
      </c>
      <c r="E788" s="749" t="s">
        <v>714</v>
      </c>
      <c r="F788" s="1008" t="s">
        <v>1285</v>
      </c>
      <c r="G788" s="1009"/>
      <c r="H788" s="751" t="s">
        <v>564</v>
      </c>
      <c r="I788" s="791">
        <v>9.2999999999999992E-3</v>
      </c>
      <c r="J788" s="802">
        <v>222.02</v>
      </c>
      <c r="K788" s="779">
        <v>2.06</v>
      </c>
      <c r="L788" s="822">
        <v>220.12</v>
      </c>
      <c r="M788" s="753">
        <v>2.04</v>
      </c>
    </row>
    <row r="789" spans="2:13" x14ac:dyDescent="0.25">
      <c r="B789" s="823"/>
      <c r="C789" s="744"/>
      <c r="D789" s="744"/>
      <c r="E789" s="744"/>
      <c r="F789" s="744" t="s">
        <v>498</v>
      </c>
      <c r="G789" s="745">
        <v>1.03</v>
      </c>
      <c r="H789" s="744" t="s">
        <v>499</v>
      </c>
      <c r="I789" s="787">
        <v>0</v>
      </c>
      <c r="J789" s="823" t="s">
        <v>500</v>
      </c>
      <c r="K789" s="787">
        <v>1.03</v>
      </c>
      <c r="L789" s="744" t="s">
        <v>500</v>
      </c>
      <c r="M789" s="745">
        <v>0.95</v>
      </c>
    </row>
    <row r="790" spans="2:13" ht="14.25" customHeight="1" x14ac:dyDescent="0.25">
      <c r="B790" s="823"/>
      <c r="C790" s="744"/>
      <c r="D790" s="744"/>
      <c r="E790" s="744"/>
      <c r="F790" s="744" t="s">
        <v>501</v>
      </c>
      <c r="G790" s="745">
        <v>0.98</v>
      </c>
      <c r="H790" s="744"/>
      <c r="I790" s="812" t="s">
        <v>502</v>
      </c>
      <c r="J790" s="793"/>
      <c r="K790" s="787">
        <v>4.8899999999999997</v>
      </c>
      <c r="L790" s="746"/>
      <c r="M790" s="745">
        <v>5</v>
      </c>
    </row>
    <row r="791" spans="2:13" ht="50.1" customHeight="1" thickBot="1" x14ac:dyDescent="0.3">
      <c r="B791" s="776"/>
      <c r="C791" s="747"/>
      <c r="D791" s="747"/>
      <c r="E791" s="747"/>
      <c r="F791" s="747"/>
      <c r="G791" s="747"/>
      <c r="H791" s="747" t="s">
        <v>503</v>
      </c>
      <c r="I791" s="806" t="s">
        <v>1307</v>
      </c>
      <c r="J791" s="776" t="s">
        <v>504</v>
      </c>
      <c r="K791" s="807">
        <v>38232.26</v>
      </c>
      <c r="L791" s="747" t="s">
        <v>504</v>
      </c>
      <c r="M791" s="748">
        <v>39092.300000000003</v>
      </c>
    </row>
    <row r="792" spans="2:13" ht="16.5" thickTop="1" x14ac:dyDescent="0.25">
      <c r="B792" s="768"/>
      <c r="C792" s="757"/>
      <c r="D792" s="757"/>
      <c r="E792" s="757"/>
      <c r="F792" s="757"/>
      <c r="G792" s="757"/>
      <c r="H792" s="757"/>
      <c r="I792" s="766"/>
      <c r="J792" s="768"/>
      <c r="K792" s="766"/>
      <c r="L792" s="757"/>
      <c r="M792" s="757"/>
    </row>
    <row r="793" spans="2:13" ht="18" customHeight="1" x14ac:dyDescent="0.25">
      <c r="B793" s="805" t="s">
        <v>434</v>
      </c>
      <c r="C793" s="736" t="s">
        <v>391</v>
      </c>
      <c r="D793" s="735" t="s">
        <v>392</v>
      </c>
      <c r="E793" s="735" t="s">
        <v>42</v>
      </c>
      <c r="F793" s="1004" t="s">
        <v>39</v>
      </c>
      <c r="G793" s="1005"/>
      <c r="H793" s="738" t="s">
        <v>394</v>
      </c>
      <c r="I793" s="767" t="s">
        <v>395</v>
      </c>
      <c r="J793" s="808" t="s">
        <v>396</v>
      </c>
      <c r="K793" s="767" t="s">
        <v>0</v>
      </c>
      <c r="L793" s="782" t="s">
        <v>396</v>
      </c>
      <c r="M793" s="736" t="s">
        <v>0</v>
      </c>
    </row>
    <row r="794" spans="2:13" ht="51.95" customHeight="1" x14ac:dyDescent="0.25">
      <c r="B794" s="789" t="s">
        <v>473</v>
      </c>
      <c r="C794" s="740" t="s">
        <v>723</v>
      </c>
      <c r="D794" s="739" t="s">
        <v>475</v>
      </c>
      <c r="E794" s="739" t="s">
        <v>724</v>
      </c>
      <c r="F794" s="1010" t="s">
        <v>1414</v>
      </c>
      <c r="G794" s="1011"/>
      <c r="H794" s="742" t="s">
        <v>2</v>
      </c>
      <c r="I794" s="803">
        <v>1</v>
      </c>
      <c r="J794" s="799">
        <v>6.83</v>
      </c>
      <c r="K794" s="814">
        <v>6.83</v>
      </c>
      <c r="L794" s="778">
        <v>6.71</v>
      </c>
      <c r="M794" s="743">
        <v>6.71</v>
      </c>
    </row>
    <row r="795" spans="2:13" ht="65.099999999999994" customHeight="1" x14ac:dyDescent="0.25">
      <c r="B795" s="765" t="s">
        <v>478</v>
      </c>
      <c r="C795" s="750" t="s">
        <v>628</v>
      </c>
      <c r="D795" s="749" t="s">
        <v>475</v>
      </c>
      <c r="E795" s="749" t="s">
        <v>629</v>
      </c>
      <c r="F795" s="1008" t="s">
        <v>1285</v>
      </c>
      <c r="G795" s="1009"/>
      <c r="H795" s="751" t="s">
        <v>564</v>
      </c>
      <c r="I795" s="791">
        <v>4.2570000000000004E-3</v>
      </c>
      <c r="J795" s="802">
        <v>319.69</v>
      </c>
      <c r="K795" s="779">
        <v>1.36</v>
      </c>
      <c r="L795" s="822">
        <v>318.08999999999997</v>
      </c>
      <c r="M795" s="753">
        <v>1.35</v>
      </c>
    </row>
    <row r="796" spans="2:13" ht="24" customHeight="1" x14ac:dyDescent="0.25">
      <c r="B796" s="765" t="s">
        <v>478</v>
      </c>
      <c r="C796" s="750" t="s">
        <v>485</v>
      </c>
      <c r="D796" s="749" t="s">
        <v>475</v>
      </c>
      <c r="E796" s="749" t="s">
        <v>486</v>
      </c>
      <c r="F796" s="1008" t="s">
        <v>1268</v>
      </c>
      <c r="G796" s="1009"/>
      <c r="H796" s="751" t="s">
        <v>484</v>
      </c>
      <c r="I796" s="791">
        <v>1.5425899999999999E-2</v>
      </c>
      <c r="J796" s="802">
        <v>22.76</v>
      </c>
      <c r="K796" s="779">
        <v>0.35</v>
      </c>
      <c r="L796" s="822">
        <v>21.55</v>
      </c>
      <c r="M796" s="753">
        <v>0.33</v>
      </c>
    </row>
    <row r="797" spans="2:13" ht="51.95" customHeight="1" x14ac:dyDescent="0.25">
      <c r="B797" s="765" t="s">
        <v>478</v>
      </c>
      <c r="C797" s="750" t="s">
        <v>730</v>
      </c>
      <c r="D797" s="749" t="s">
        <v>475</v>
      </c>
      <c r="E797" s="749" t="s">
        <v>1200</v>
      </c>
      <c r="F797" s="1008" t="s">
        <v>1285</v>
      </c>
      <c r="G797" s="1009"/>
      <c r="H797" s="751" t="s">
        <v>592</v>
      </c>
      <c r="I797" s="791">
        <v>1.2277400000000001E-2</v>
      </c>
      <c r="J797" s="802">
        <v>92.1</v>
      </c>
      <c r="K797" s="779">
        <v>1.1299999999999999</v>
      </c>
      <c r="L797" s="822">
        <v>90.4</v>
      </c>
      <c r="M797" s="753">
        <v>1.1000000000000001</v>
      </c>
    </row>
    <row r="798" spans="2:13" ht="47.25" x14ac:dyDescent="0.25">
      <c r="B798" s="765" t="s">
        <v>478</v>
      </c>
      <c r="C798" s="750" t="s">
        <v>725</v>
      </c>
      <c r="D798" s="749" t="s">
        <v>475</v>
      </c>
      <c r="E798" s="749" t="s">
        <v>726</v>
      </c>
      <c r="F798" s="1008" t="s">
        <v>1285</v>
      </c>
      <c r="G798" s="1009"/>
      <c r="H798" s="751" t="s">
        <v>564</v>
      </c>
      <c r="I798" s="791">
        <v>4.5111999999999999E-3</v>
      </c>
      <c r="J798" s="802">
        <v>280.97000000000003</v>
      </c>
      <c r="K798" s="779">
        <v>1.26</v>
      </c>
      <c r="L798" s="822">
        <v>278.19</v>
      </c>
      <c r="M798" s="753">
        <v>1.25</v>
      </c>
    </row>
    <row r="799" spans="2:13" ht="51.95" customHeight="1" x14ac:dyDescent="0.25">
      <c r="B799" s="765" t="s">
        <v>478</v>
      </c>
      <c r="C799" s="750" t="s">
        <v>729</v>
      </c>
      <c r="D799" s="749" t="s">
        <v>475</v>
      </c>
      <c r="E799" s="749" t="s">
        <v>1201</v>
      </c>
      <c r="F799" s="1008" t="s">
        <v>1285</v>
      </c>
      <c r="G799" s="1009"/>
      <c r="H799" s="751" t="s">
        <v>564</v>
      </c>
      <c r="I799" s="791">
        <v>3.1484E-3</v>
      </c>
      <c r="J799" s="802">
        <v>218.59</v>
      </c>
      <c r="K799" s="779">
        <v>0.68</v>
      </c>
      <c r="L799" s="822">
        <v>216.89</v>
      </c>
      <c r="M799" s="753">
        <v>0.68</v>
      </c>
    </row>
    <row r="800" spans="2:13" ht="65.099999999999994" customHeight="1" x14ac:dyDescent="0.25">
      <c r="B800" s="765" t="s">
        <v>478</v>
      </c>
      <c r="C800" s="750" t="s">
        <v>630</v>
      </c>
      <c r="D800" s="749" t="s">
        <v>475</v>
      </c>
      <c r="E800" s="749" t="s">
        <v>631</v>
      </c>
      <c r="F800" s="1008" t="s">
        <v>1285</v>
      </c>
      <c r="G800" s="1009"/>
      <c r="H800" s="751" t="s">
        <v>592</v>
      </c>
      <c r="I800" s="791">
        <v>1.11688E-2</v>
      </c>
      <c r="J800" s="802">
        <v>74.08</v>
      </c>
      <c r="K800" s="779">
        <v>0.82</v>
      </c>
      <c r="L800" s="822">
        <v>72.48</v>
      </c>
      <c r="M800" s="753">
        <v>0.8</v>
      </c>
    </row>
    <row r="801" spans="2:13" ht="47.25" x14ac:dyDescent="0.25">
      <c r="B801" s="765" t="s">
        <v>478</v>
      </c>
      <c r="C801" s="750" t="s">
        <v>727</v>
      </c>
      <c r="D801" s="749" t="s">
        <v>475</v>
      </c>
      <c r="E801" s="749" t="s">
        <v>728</v>
      </c>
      <c r="F801" s="1008" t="s">
        <v>1285</v>
      </c>
      <c r="G801" s="1009"/>
      <c r="H801" s="751" t="s">
        <v>592</v>
      </c>
      <c r="I801" s="791">
        <v>1.09146E-2</v>
      </c>
      <c r="J801" s="802">
        <v>113.5</v>
      </c>
      <c r="K801" s="779">
        <v>1.23</v>
      </c>
      <c r="L801" s="822">
        <v>110.72</v>
      </c>
      <c r="M801" s="753">
        <v>1.2</v>
      </c>
    </row>
    <row r="802" spans="2:13" x14ac:dyDescent="0.25">
      <c r="B802" s="823"/>
      <c r="C802" s="744"/>
      <c r="D802" s="744"/>
      <c r="E802" s="744"/>
      <c r="F802" s="744" t="s">
        <v>498</v>
      </c>
      <c r="G802" s="745">
        <v>1.47</v>
      </c>
      <c r="H802" s="744" t="s">
        <v>499</v>
      </c>
      <c r="I802" s="787">
        <v>0</v>
      </c>
      <c r="J802" s="823" t="s">
        <v>500</v>
      </c>
      <c r="K802" s="787">
        <v>1.47</v>
      </c>
      <c r="L802" s="744" t="s">
        <v>500</v>
      </c>
      <c r="M802" s="745">
        <v>1.36</v>
      </c>
    </row>
    <row r="803" spans="2:13" ht="14.25" customHeight="1" x14ac:dyDescent="0.25">
      <c r="B803" s="823"/>
      <c r="C803" s="744"/>
      <c r="D803" s="744"/>
      <c r="E803" s="744"/>
      <c r="F803" s="744" t="s">
        <v>501</v>
      </c>
      <c r="G803" s="745">
        <v>1.72</v>
      </c>
      <c r="H803" s="744"/>
      <c r="I803" s="812" t="s">
        <v>502</v>
      </c>
      <c r="J803" s="793"/>
      <c r="K803" s="787">
        <v>8.5500000000000007</v>
      </c>
      <c r="L803" s="746"/>
      <c r="M803" s="745">
        <v>8.76</v>
      </c>
    </row>
    <row r="804" spans="2:13" ht="50.1" customHeight="1" thickBot="1" x14ac:dyDescent="0.3">
      <c r="B804" s="776"/>
      <c r="C804" s="747"/>
      <c r="D804" s="747"/>
      <c r="E804" s="747"/>
      <c r="F804" s="747"/>
      <c r="G804" s="747"/>
      <c r="H804" s="747" t="s">
        <v>503</v>
      </c>
      <c r="I804" s="806" t="s">
        <v>1308</v>
      </c>
      <c r="J804" s="776" t="s">
        <v>504</v>
      </c>
      <c r="K804" s="807">
        <v>800.7</v>
      </c>
      <c r="L804" s="747" t="s">
        <v>504</v>
      </c>
      <c r="M804" s="748">
        <v>820.37</v>
      </c>
    </row>
    <row r="805" spans="2:13" ht="16.5" thickTop="1" x14ac:dyDescent="0.25">
      <c r="B805" s="768"/>
      <c r="C805" s="757"/>
      <c r="D805" s="757"/>
      <c r="E805" s="757"/>
      <c r="F805" s="757"/>
      <c r="G805" s="757"/>
      <c r="H805" s="757"/>
      <c r="I805" s="766"/>
      <c r="J805" s="768"/>
      <c r="K805" s="766"/>
      <c r="L805" s="757"/>
      <c r="M805" s="757"/>
    </row>
    <row r="806" spans="2:13" ht="18" customHeight="1" x14ac:dyDescent="0.25">
      <c r="B806" s="805" t="s">
        <v>435</v>
      </c>
      <c r="C806" s="736" t="s">
        <v>391</v>
      </c>
      <c r="D806" s="735" t="s">
        <v>392</v>
      </c>
      <c r="E806" s="735" t="s">
        <v>42</v>
      </c>
      <c r="F806" s="1004" t="s">
        <v>39</v>
      </c>
      <c r="G806" s="1005"/>
      <c r="H806" s="738" t="s">
        <v>394</v>
      </c>
      <c r="I806" s="767" t="s">
        <v>395</v>
      </c>
      <c r="J806" s="808" t="s">
        <v>396</v>
      </c>
      <c r="K806" s="767" t="s">
        <v>0</v>
      </c>
      <c r="L806" s="782" t="s">
        <v>396</v>
      </c>
      <c r="M806" s="736" t="s">
        <v>0</v>
      </c>
    </row>
    <row r="807" spans="2:13" ht="51.95" customHeight="1" x14ac:dyDescent="0.25">
      <c r="B807" s="789" t="s">
        <v>473</v>
      </c>
      <c r="C807" s="740" t="s">
        <v>599</v>
      </c>
      <c r="D807" s="739" t="s">
        <v>475</v>
      </c>
      <c r="E807" s="739" t="s">
        <v>600</v>
      </c>
      <c r="F807" s="1010" t="s">
        <v>1289</v>
      </c>
      <c r="G807" s="1011"/>
      <c r="H807" s="742" t="s">
        <v>2</v>
      </c>
      <c r="I807" s="803">
        <v>1</v>
      </c>
      <c r="J807" s="799">
        <v>7.03</v>
      </c>
      <c r="K807" s="814">
        <v>7.03</v>
      </c>
      <c r="L807" s="778">
        <v>6.95</v>
      </c>
      <c r="M807" s="743">
        <v>6.95</v>
      </c>
    </row>
    <row r="808" spans="2:13" ht="39" customHeight="1" x14ac:dyDescent="0.25">
      <c r="B808" s="765" t="s">
        <v>478</v>
      </c>
      <c r="C808" s="750" t="s">
        <v>595</v>
      </c>
      <c r="D808" s="749" t="s">
        <v>475</v>
      </c>
      <c r="E808" s="749" t="s">
        <v>596</v>
      </c>
      <c r="F808" s="1008" t="s">
        <v>1285</v>
      </c>
      <c r="G808" s="1009"/>
      <c r="H808" s="751" t="s">
        <v>564</v>
      </c>
      <c r="I808" s="791">
        <v>4.1999999999999997E-3</v>
      </c>
      <c r="J808" s="802">
        <v>251.7</v>
      </c>
      <c r="K808" s="779">
        <v>1.05</v>
      </c>
      <c r="L808" s="822">
        <v>249.57</v>
      </c>
      <c r="M808" s="753">
        <v>1.04</v>
      </c>
    </row>
    <row r="809" spans="2:13" ht="65.099999999999994" customHeight="1" x14ac:dyDescent="0.25">
      <c r="B809" s="765" t="s">
        <v>478</v>
      </c>
      <c r="C809" s="750" t="s">
        <v>603</v>
      </c>
      <c r="D809" s="749" t="s">
        <v>475</v>
      </c>
      <c r="E809" s="749" t="s">
        <v>604</v>
      </c>
      <c r="F809" s="1008" t="s">
        <v>1285</v>
      </c>
      <c r="G809" s="1009"/>
      <c r="H809" s="751" t="s">
        <v>592</v>
      </c>
      <c r="I809" s="791">
        <v>1.2E-2</v>
      </c>
      <c r="J809" s="802">
        <v>74.48</v>
      </c>
      <c r="K809" s="779">
        <v>0.89</v>
      </c>
      <c r="L809" s="822">
        <v>72.81</v>
      </c>
      <c r="M809" s="753">
        <v>0.87</v>
      </c>
    </row>
    <row r="810" spans="2:13" ht="65.099999999999994" customHeight="1" x14ac:dyDescent="0.25">
      <c r="B810" s="765" t="s">
        <v>478</v>
      </c>
      <c r="C810" s="750" t="s">
        <v>601</v>
      </c>
      <c r="D810" s="749" t="s">
        <v>475</v>
      </c>
      <c r="E810" s="749" t="s">
        <v>602</v>
      </c>
      <c r="F810" s="1008" t="s">
        <v>1285</v>
      </c>
      <c r="G810" s="1009"/>
      <c r="H810" s="751" t="s">
        <v>564</v>
      </c>
      <c r="I810" s="791">
        <v>1.5699999999999999E-2</v>
      </c>
      <c r="J810" s="802">
        <v>270.25</v>
      </c>
      <c r="K810" s="779">
        <v>4.24</v>
      </c>
      <c r="L810" s="822">
        <v>268.58</v>
      </c>
      <c r="M810" s="753">
        <v>4.21</v>
      </c>
    </row>
    <row r="811" spans="2:13" ht="39" customHeight="1" x14ac:dyDescent="0.25">
      <c r="B811" s="765" t="s">
        <v>478</v>
      </c>
      <c r="C811" s="750" t="s">
        <v>597</v>
      </c>
      <c r="D811" s="749" t="s">
        <v>475</v>
      </c>
      <c r="E811" s="749" t="s">
        <v>598</v>
      </c>
      <c r="F811" s="1008" t="s">
        <v>1285</v>
      </c>
      <c r="G811" s="1009"/>
      <c r="H811" s="751" t="s">
        <v>592</v>
      </c>
      <c r="I811" s="791">
        <v>8.6999999999999994E-3</v>
      </c>
      <c r="J811" s="802">
        <v>98.52</v>
      </c>
      <c r="K811" s="779">
        <v>0.85</v>
      </c>
      <c r="L811" s="822">
        <v>96.39</v>
      </c>
      <c r="M811" s="753">
        <v>0.83</v>
      </c>
    </row>
    <row r="812" spans="2:13" x14ac:dyDescent="0.25">
      <c r="B812" s="823"/>
      <c r="C812" s="744"/>
      <c r="D812" s="744"/>
      <c r="E812" s="744"/>
      <c r="F812" s="744" t="s">
        <v>498</v>
      </c>
      <c r="G812" s="745">
        <v>0.95</v>
      </c>
      <c r="H812" s="744" t="s">
        <v>499</v>
      </c>
      <c r="I812" s="787">
        <v>0</v>
      </c>
      <c r="J812" s="823" t="s">
        <v>500</v>
      </c>
      <c r="K812" s="787">
        <v>0.95</v>
      </c>
      <c r="L812" s="744" t="s">
        <v>500</v>
      </c>
      <c r="M812" s="745">
        <v>0.9</v>
      </c>
    </row>
    <row r="813" spans="2:13" ht="14.25" customHeight="1" x14ac:dyDescent="0.25">
      <c r="B813" s="823"/>
      <c r="C813" s="744"/>
      <c r="D813" s="744"/>
      <c r="E813" s="744"/>
      <c r="F813" s="744" t="s">
        <v>501</v>
      </c>
      <c r="G813" s="745">
        <v>1.77</v>
      </c>
      <c r="H813" s="744"/>
      <c r="I813" s="812" t="s">
        <v>502</v>
      </c>
      <c r="J813" s="793"/>
      <c r="K813" s="787">
        <v>8.8000000000000007</v>
      </c>
      <c r="L813" s="746"/>
      <c r="M813" s="745">
        <v>9.08</v>
      </c>
    </row>
    <row r="814" spans="2:13" ht="50.1" customHeight="1" thickBot="1" x14ac:dyDescent="0.3">
      <c r="B814" s="776"/>
      <c r="C814" s="747"/>
      <c r="D814" s="747"/>
      <c r="E814" s="747"/>
      <c r="F814" s="747"/>
      <c r="G814" s="747"/>
      <c r="H814" s="747" t="s">
        <v>503</v>
      </c>
      <c r="I814" s="806" t="s">
        <v>1309</v>
      </c>
      <c r="J814" s="776" t="s">
        <v>504</v>
      </c>
      <c r="K814" s="807">
        <v>79122.73</v>
      </c>
      <c r="L814" s="747" t="s">
        <v>504</v>
      </c>
      <c r="M814" s="748">
        <v>81640.27</v>
      </c>
    </row>
    <row r="815" spans="2:13" ht="16.5" thickTop="1" x14ac:dyDescent="0.25">
      <c r="B815" s="768"/>
      <c r="C815" s="757"/>
      <c r="D815" s="757"/>
      <c r="E815" s="757"/>
      <c r="F815" s="757"/>
      <c r="G815" s="757"/>
      <c r="H815" s="757"/>
      <c r="I815" s="766"/>
      <c r="J815" s="768"/>
      <c r="K815" s="766"/>
      <c r="L815" s="757"/>
      <c r="M815" s="757"/>
    </row>
    <row r="816" spans="2:13" ht="18" customHeight="1" x14ac:dyDescent="0.25">
      <c r="B816" s="805" t="s">
        <v>436</v>
      </c>
      <c r="C816" s="736" t="s">
        <v>391</v>
      </c>
      <c r="D816" s="735" t="s">
        <v>392</v>
      </c>
      <c r="E816" s="735" t="s">
        <v>42</v>
      </c>
      <c r="F816" s="1004" t="s">
        <v>39</v>
      </c>
      <c r="G816" s="1005"/>
      <c r="H816" s="738" t="s">
        <v>394</v>
      </c>
      <c r="I816" s="767" t="s">
        <v>395</v>
      </c>
      <c r="J816" s="808" t="s">
        <v>396</v>
      </c>
      <c r="K816" s="767" t="s">
        <v>0</v>
      </c>
      <c r="L816" s="782" t="s">
        <v>396</v>
      </c>
      <c r="M816" s="736" t="s">
        <v>0</v>
      </c>
    </row>
    <row r="817" spans="2:13" ht="39" customHeight="1" x14ac:dyDescent="0.25">
      <c r="B817" s="789" t="s">
        <v>473</v>
      </c>
      <c r="C817" s="740" t="s">
        <v>605</v>
      </c>
      <c r="D817" s="739" t="s">
        <v>475</v>
      </c>
      <c r="E817" s="739" t="s">
        <v>731</v>
      </c>
      <c r="F817" s="1010" t="s">
        <v>1289</v>
      </c>
      <c r="G817" s="1011"/>
      <c r="H817" s="742" t="s">
        <v>606</v>
      </c>
      <c r="I817" s="803">
        <v>1</v>
      </c>
      <c r="J817" s="799">
        <v>2.5</v>
      </c>
      <c r="K817" s="814">
        <v>2.5</v>
      </c>
      <c r="L817" s="778">
        <v>2.48</v>
      </c>
      <c r="M817" s="743">
        <v>2.48</v>
      </c>
    </row>
    <row r="818" spans="2:13" ht="65.099999999999994" customHeight="1" x14ac:dyDescent="0.25">
      <c r="B818" s="765" t="s">
        <v>478</v>
      </c>
      <c r="C818" s="750" t="s">
        <v>603</v>
      </c>
      <c r="D818" s="749" t="s">
        <v>475</v>
      </c>
      <c r="E818" s="749" t="s">
        <v>604</v>
      </c>
      <c r="F818" s="1008" t="s">
        <v>1285</v>
      </c>
      <c r="G818" s="1009"/>
      <c r="H818" s="751" t="s">
        <v>592</v>
      </c>
      <c r="I818" s="791">
        <v>3.5999999999999999E-3</v>
      </c>
      <c r="J818" s="802">
        <v>74.48</v>
      </c>
      <c r="K818" s="779">
        <v>0.26</v>
      </c>
      <c r="L818" s="822">
        <v>72.81</v>
      </c>
      <c r="M818" s="753">
        <v>0.26</v>
      </c>
    </row>
    <row r="819" spans="2:13" ht="65.099999999999994" customHeight="1" x14ac:dyDescent="0.25">
      <c r="B819" s="765" t="s">
        <v>478</v>
      </c>
      <c r="C819" s="750" t="s">
        <v>601</v>
      </c>
      <c r="D819" s="749" t="s">
        <v>475</v>
      </c>
      <c r="E819" s="749" t="s">
        <v>602</v>
      </c>
      <c r="F819" s="1008" t="s">
        <v>1285</v>
      </c>
      <c r="G819" s="1009"/>
      <c r="H819" s="751" t="s">
        <v>564</v>
      </c>
      <c r="I819" s="791">
        <v>8.3000000000000001E-3</v>
      </c>
      <c r="J819" s="802">
        <v>270.25</v>
      </c>
      <c r="K819" s="779">
        <v>2.2400000000000002</v>
      </c>
      <c r="L819" s="822">
        <v>268.58</v>
      </c>
      <c r="M819" s="753">
        <v>2.2200000000000002</v>
      </c>
    </row>
    <row r="820" spans="2:13" x14ac:dyDescent="0.25">
      <c r="B820" s="823"/>
      <c r="C820" s="744"/>
      <c r="D820" s="744"/>
      <c r="E820" s="744"/>
      <c r="F820" s="744" t="s">
        <v>498</v>
      </c>
      <c r="G820" s="745">
        <v>0.25</v>
      </c>
      <c r="H820" s="744" t="s">
        <v>499</v>
      </c>
      <c r="I820" s="787">
        <v>0</v>
      </c>
      <c r="J820" s="823" t="s">
        <v>500</v>
      </c>
      <c r="K820" s="787">
        <v>0.25</v>
      </c>
      <c r="L820" s="744" t="s">
        <v>500</v>
      </c>
      <c r="M820" s="745">
        <v>0.24</v>
      </c>
    </row>
    <row r="821" spans="2:13" ht="14.25" customHeight="1" x14ac:dyDescent="0.25">
      <c r="B821" s="823"/>
      <c r="C821" s="744"/>
      <c r="D821" s="744"/>
      <c r="E821" s="744"/>
      <c r="F821" s="744" t="s">
        <v>501</v>
      </c>
      <c r="G821" s="745">
        <v>0.63</v>
      </c>
      <c r="H821" s="744"/>
      <c r="I821" s="812" t="s">
        <v>502</v>
      </c>
      <c r="J821" s="793"/>
      <c r="K821" s="787">
        <v>3.13</v>
      </c>
      <c r="L821" s="746"/>
      <c r="M821" s="745">
        <v>3.24</v>
      </c>
    </row>
    <row r="822" spans="2:13" ht="50.1" customHeight="1" thickBot="1" x14ac:dyDescent="0.3">
      <c r="B822" s="776"/>
      <c r="C822" s="747"/>
      <c r="D822" s="747"/>
      <c r="E822" s="747"/>
      <c r="F822" s="747"/>
      <c r="G822" s="747"/>
      <c r="H822" s="747" t="s">
        <v>503</v>
      </c>
      <c r="I822" s="806" t="s">
        <v>1537</v>
      </c>
      <c r="J822" s="776" t="s">
        <v>504</v>
      </c>
      <c r="K822" s="807">
        <v>146341.24</v>
      </c>
      <c r="L822" s="747" t="s">
        <v>504</v>
      </c>
      <c r="M822" s="748">
        <v>151484.22</v>
      </c>
    </row>
    <row r="823" spans="2:13" ht="16.5" thickTop="1" x14ac:dyDescent="0.25">
      <c r="B823" s="768"/>
      <c r="C823" s="757"/>
      <c r="D823" s="757"/>
      <c r="E823" s="757"/>
      <c r="F823" s="757"/>
      <c r="G823" s="757"/>
      <c r="H823" s="757"/>
      <c r="I823" s="766"/>
      <c r="J823" s="768"/>
      <c r="K823" s="766"/>
      <c r="L823" s="757"/>
      <c r="M823" s="757"/>
    </row>
    <row r="824" spans="2:13" ht="18" customHeight="1" x14ac:dyDescent="0.25">
      <c r="B824" s="805" t="s">
        <v>1265</v>
      </c>
      <c r="C824" s="736" t="s">
        <v>391</v>
      </c>
      <c r="D824" s="735" t="s">
        <v>392</v>
      </c>
      <c r="E824" s="735" t="s">
        <v>42</v>
      </c>
      <c r="F824" s="1004" t="s">
        <v>39</v>
      </c>
      <c r="G824" s="1005"/>
      <c r="H824" s="738" t="s">
        <v>394</v>
      </c>
      <c r="I824" s="767" t="s">
        <v>395</v>
      </c>
      <c r="J824" s="808" t="s">
        <v>396</v>
      </c>
      <c r="K824" s="767" t="s">
        <v>0</v>
      </c>
      <c r="L824" s="782" t="s">
        <v>396</v>
      </c>
      <c r="M824" s="736" t="s">
        <v>0</v>
      </c>
    </row>
    <row r="825" spans="2:13" ht="26.1" customHeight="1" x14ac:dyDescent="0.25">
      <c r="B825" s="789" t="s">
        <v>473</v>
      </c>
      <c r="C825" s="740" t="s">
        <v>607</v>
      </c>
      <c r="D825" s="739" t="s">
        <v>475</v>
      </c>
      <c r="E825" s="739" t="s">
        <v>608</v>
      </c>
      <c r="F825" s="1010" t="s">
        <v>1414</v>
      </c>
      <c r="G825" s="1011"/>
      <c r="H825" s="742" t="s">
        <v>2</v>
      </c>
      <c r="I825" s="803">
        <v>1</v>
      </c>
      <c r="J825" s="799">
        <v>1.42</v>
      </c>
      <c r="K825" s="814">
        <v>1.42</v>
      </c>
      <c r="L825" s="778">
        <v>1.39</v>
      </c>
      <c r="M825" s="743">
        <v>1.39</v>
      </c>
    </row>
    <row r="826" spans="2:13" ht="24" customHeight="1" x14ac:dyDescent="0.25">
      <c r="B826" s="765" t="s">
        <v>478</v>
      </c>
      <c r="C826" s="750" t="s">
        <v>485</v>
      </c>
      <c r="D826" s="749" t="s">
        <v>475</v>
      </c>
      <c r="E826" s="749" t="s">
        <v>486</v>
      </c>
      <c r="F826" s="1008" t="s">
        <v>1268</v>
      </c>
      <c r="G826" s="1009"/>
      <c r="H826" s="751" t="s">
        <v>484</v>
      </c>
      <c r="I826" s="791">
        <v>8.626E-3</v>
      </c>
      <c r="J826" s="802">
        <v>22.76</v>
      </c>
      <c r="K826" s="779">
        <v>0.19</v>
      </c>
      <c r="L826" s="822">
        <v>21.55</v>
      </c>
      <c r="M826" s="753">
        <v>0.18</v>
      </c>
    </row>
    <row r="827" spans="2:13" ht="39" customHeight="1" x14ac:dyDescent="0.25">
      <c r="B827" s="765" t="s">
        <v>478</v>
      </c>
      <c r="C827" s="750" t="s">
        <v>611</v>
      </c>
      <c r="D827" s="749" t="s">
        <v>475</v>
      </c>
      <c r="E827" s="749" t="s">
        <v>612</v>
      </c>
      <c r="F827" s="1008" t="s">
        <v>1285</v>
      </c>
      <c r="G827" s="1009"/>
      <c r="H827" s="751" t="s">
        <v>592</v>
      </c>
      <c r="I827" s="791">
        <v>6.1034000000000001E-3</v>
      </c>
      <c r="J827" s="802">
        <v>93.57</v>
      </c>
      <c r="K827" s="779">
        <v>0.56999999999999995</v>
      </c>
      <c r="L827" s="822">
        <v>91.67</v>
      </c>
      <c r="M827" s="753">
        <v>0.55000000000000004</v>
      </c>
    </row>
    <row r="828" spans="2:13" ht="39" customHeight="1" x14ac:dyDescent="0.25">
      <c r="B828" s="765" t="s">
        <v>478</v>
      </c>
      <c r="C828" s="750" t="s">
        <v>609</v>
      </c>
      <c r="D828" s="749" t="s">
        <v>475</v>
      </c>
      <c r="E828" s="749" t="s">
        <v>610</v>
      </c>
      <c r="F828" s="1008" t="s">
        <v>1285</v>
      </c>
      <c r="G828" s="1009"/>
      <c r="H828" s="751" t="s">
        <v>564</v>
      </c>
      <c r="I828" s="791">
        <v>2.5225999999999998E-3</v>
      </c>
      <c r="J828" s="802">
        <v>264.64</v>
      </c>
      <c r="K828" s="779">
        <v>0.66</v>
      </c>
      <c r="L828" s="822">
        <v>262.74</v>
      </c>
      <c r="M828" s="753">
        <v>0.66</v>
      </c>
    </row>
    <row r="829" spans="2:13" x14ac:dyDescent="0.25">
      <c r="B829" s="823"/>
      <c r="C829" s="744"/>
      <c r="D829" s="744"/>
      <c r="E829" s="744"/>
      <c r="F829" s="744" t="s">
        <v>498</v>
      </c>
      <c r="G829" s="745">
        <v>0.34</v>
      </c>
      <c r="H829" s="744" t="s">
        <v>499</v>
      </c>
      <c r="I829" s="787">
        <v>0</v>
      </c>
      <c r="J829" s="823" t="s">
        <v>500</v>
      </c>
      <c r="K829" s="787">
        <v>0.34</v>
      </c>
      <c r="L829" s="744" t="s">
        <v>500</v>
      </c>
      <c r="M829" s="745">
        <v>0.31</v>
      </c>
    </row>
    <row r="830" spans="2:13" ht="14.25" customHeight="1" x14ac:dyDescent="0.25">
      <c r="B830" s="823"/>
      <c r="C830" s="744"/>
      <c r="D830" s="744"/>
      <c r="E830" s="744"/>
      <c r="F830" s="744" t="s">
        <v>501</v>
      </c>
      <c r="G830" s="745">
        <v>0.35</v>
      </c>
      <c r="H830" s="744"/>
      <c r="I830" s="812" t="s">
        <v>502</v>
      </c>
      <c r="J830" s="793"/>
      <c r="K830" s="787">
        <v>1.77</v>
      </c>
      <c r="L830" s="746"/>
      <c r="M830" s="745">
        <v>1.81</v>
      </c>
    </row>
    <row r="831" spans="2:13" ht="50.1" customHeight="1" thickBot="1" x14ac:dyDescent="0.3">
      <c r="B831" s="776"/>
      <c r="C831" s="747"/>
      <c r="D831" s="747"/>
      <c r="E831" s="747"/>
      <c r="F831" s="747"/>
      <c r="G831" s="747"/>
      <c r="H831" s="747" t="s">
        <v>503</v>
      </c>
      <c r="I831" s="806" t="s">
        <v>1307</v>
      </c>
      <c r="J831" s="776" t="s">
        <v>504</v>
      </c>
      <c r="K831" s="807">
        <v>13838.67</v>
      </c>
      <c r="L831" s="747" t="s">
        <v>504</v>
      </c>
      <c r="M831" s="748">
        <v>14151.41</v>
      </c>
    </row>
    <row r="832" spans="2:13" ht="16.5" thickTop="1" x14ac:dyDescent="0.25">
      <c r="B832" s="768"/>
      <c r="C832" s="757"/>
      <c r="D832" s="757"/>
      <c r="E832" s="757"/>
      <c r="F832" s="757"/>
      <c r="G832" s="757"/>
      <c r="H832" s="757"/>
      <c r="I832" s="766"/>
      <c r="J832" s="768"/>
      <c r="K832" s="766"/>
      <c r="L832" s="757"/>
      <c r="M832" s="757"/>
    </row>
    <row r="833" spans="2:13" ht="24" customHeight="1" x14ac:dyDescent="0.25">
      <c r="B833" s="771" t="s">
        <v>437</v>
      </c>
      <c r="C833" s="617"/>
      <c r="D833" s="617"/>
      <c r="E833" s="617" t="s">
        <v>438</v>
      </c>
      <c r="F833" s="617"/>
      <c r="G833" s="755"/>
      <c r="H833" s="755"/>
      <c r="I833" s="792"/>
      <c r="J833" s="771"/>
      <c r="K833" s="796">
        <v>3432643.61</v>
      </c>
      <c r="L833" s="815"/>
      <c r="M833" s="756">
        <v>3570488.48</v>
      </c>
    </row>
    <row r="834" spans="2:13" ht="18" customHeight="1" x14ac:dyDescent="0.25">
      <c r="B834" s="805" t="s">
        <v>439</v>
      </c>
      <c r="C834" s="736" t="s">
        <v>391</v>
      </c>
      <c r="D834" s="735" t="s">
        <v>392</v>
      </c>
      <c r="E834" s="735" t="s">
        <v>42</v>
      </c>
      <c r="F834" s="1004" t="s">
        <v>39</v>
      </c>
      <c r="G834" s="1005"/>
      <c r="H834" s="738" t="s">
        <v>394</v>
      </c>
      <c r="I834" s="767" t="s">
        <v>395</v>
      </c>
      <c r="J834" s="808" t="s">
        <v>396</v>
      </c>
      <c r="K834" s="767" t="s">
        <v>0</v>
      </c>
      <c r="L834" s="782" t="s">
        <v>396</v>
      </c>
      <c r="M834" s="736" t="s">
        <v>0</v>
      </c>
    </row>
    <row r="835" spans="2:13" ht="47.25" x14ac:dyDescent="0.25">
      <c r="B835" s="789" t="s">
        <v>473</v>
      </c>
      <c r="C835" s="740" t="s">
        <v>732</v>
      </c>
      <c r="D835" s="739" t="s">
        <v>475</v>
      </c>
      <c r="E835" s="739" t="s">
        <v>733</v>
      </c>
      <c r="F835" s="1010" t="s">
        <v>1414</v>
      </c>
      <c r="G835" s="1011"/>
      <c r="H835" s="742" t="s">
        <v>1</v>
      </c>
      <c r="I835" s="803">
        <v>1</v>
      </c>
      <c r="J835" s="799">
        <v>1.49</v>
      </c>
      <c r="K835" s="814">
        <v>1.49</v>
      </c>
      <c r="L835" s="778">
        <v>1.46</v>
      </c>
      <c r="M835" s="743">
        <v>1.46</v>
      </c>
    </row>
    <row r="836" spans="2:13" ht="51.95" customHeight="1" x14ac:dyDescent="0.25">
      <c r="B836" s="765" t="s">
        <v>478</v>
      </c>
      <c r="C836" s="750" t="s">
        <v>730</v>
      </c>
      <c r="D836" s="749" t="s">
        <v>475</v>
      </c>
      <c r="E836" s="749" t="s">
        <v>1200</v>
      </c>
      <c r="F836" s="1008" t="s">
        <v>1285</v>
      </c>
      <c r="G836" s="1009"/>
      <c r="H836" s="751" t="s">
        <v>592</v>
      </c>
      <c r="I836" s="791">
        <v>2.9082999999999999E-3</v>
      </c>
      <c r="J836" s="802">
        <v>92.1</v>
      </c>
      <c r="K836" s="779">
        <v>0.26</v>
      </c>
      <c r="L836" s="822">
        <v>90.4</v>
      </c>
      <c r="M836" s="753">
        <v>0.26</v>
      </c>
    </row>
    <row r="837" spans="2:13" ht="65.099999999999994" customHeight="1" x14ac:dyDescent="0.25">
      <c r="B837" s="765" t="s">
        <v>478</v>
      </c>
      <c r="C837" s="750" t="s">
        <v>628</v>
      </c>
      <c r="D837" s="749" t="s">
        <v>475</v>
      </c>
      <c r="E837" s="749" t="s">
        <v>629</v>
      </c>
      <c r="F837" s="1008" t="s">
        <v>1285</v>
      </c>
      <c r="G837" s="1009"/>
      <c r="H837" s="751" t="s">
        <v>564</v>
      </c>
      <c r="I837" s="791">
        <v>1.0702000000000001E-3</v>
      </c>
      <c r="J837" s="802">
        <v>319.69</v>
      </c>
      <c r="K837" s="779">
        <v>0.34</v>
      </c>
      <c r="L837" s="822">
        <v>318.08999999999997</v>
      </c>
      <c r="M837" s="753">
        <v>0.34</v>
      </c>
    </row>
    <row r="838" spans="2:13" ht="65.099999999999994" customHeight="1" x14ac:dyDescent="0.25">
      <c r="B838" s="765" t="s">
        <v>478</v>
      </c>
      <c r="C838" s="750" t="s">
        <v>630</v>
      </c>
      <c r="D838" s="749" t="s">
        <v>475</v>
      </c>
      <c r="E838" s="749" t="s">
        <v>631</v>
      </c>
      <c r="F838" s="1008" t="s">
        <v>1285</v>
      </c>
      <c r="G838" s="1009"/>
      <c r="H838" s="751" t="s">
        <v>592</v>
      </c>
      <c r="I838" s="791">
        <v>2.5891999999999998E-3</v>
      </c>
      <c r="J838" s="802">
        <v>74.08</v>
      </c>
      <c r="K838" s="779">
        <v>0.19</v>
      </c>
      <c r="L838" s="822">
        <v>72.48</v>
      </c>
      <c r="M838" s="753">
        <v>0.18</v>
      </c>
    </row>
    <row r="839" spans="2:13" ht="51.95" customHeight="1" x14ac:dyDescent="0.25">
      <c r="B839" s="765" t="s">
        <v>478</v>
      </c>
      <c r="C839" s="750" t="s">
        <v>729</v>
      </c>
      <c r="D839" s="749" t="s">
        <v>475</v>
      </c>
      <c r="E839" s="749" t="s">
        <v>1201</v>
      </c>
      <c r="F839" s="1008" t="s">
        <v>1285</v>
      </c>
      <c r="G839" s="1009"/>
      <c r="H839" s="751" t="s">
        <v>564</v>
      </c>
      <c r="I839" s="791">
        <v>7.5109999999999999E-4</v>
      </c>
      <c r="J839" s="802">
        <v>218.59</v>
      </c>
      <c r="K839" s="779">
        <v>0.16</v>
      </c>
      <c r="L839" s="822">
        <v>216.89</v>
      </c>
      <c r="M839" s="753">
        <v>0.16</v>
      </c>
    </row>
    <row r="840" spans="2:13" ht="47.25" x14ac:dyDescent="0.25">
      <c r="B840" s="765" t="s">
        <v>478</v>
      </c>
      <c r="C840" s="750" t="s">
        <v>725</v>
      </c>
      <c r="D840" s="749" t="s">
        <v>475</v>
      </c>
      <c r="E840" s="749" t="s">
        <v>726</v>
      </c>
      <c r="F840" s="1008" t="s">
        <v>1285</v>
      </c>
      <c r="G840" s="1009"/>
      <c r="H840" s="751" t="s">
        <v>564</v>
      </c>
      <c r="I840" s="791">
        <v>3.0249999999999998E-4</v>
      </c>
      <c r="J840" s="802">
        <v>280.97000000000003</v>
      </c>
      <c r="K840" s="779">
        <v>0.08</v>
      </c>
      <c r="L840" s="822">
        <v>278.19</v>
      </c>
      <c r="M840" s="753">
        <v>0.08</v>
      </c>
    </row>
    <row r="841" spans="2:13" ht="47.25" x14ac:dyDescent="0.25">
      <c r="B841" s="765" t="s">
        <v>478</v>
      </c>
      <c r="C841" s="750" t="s">
        <v>727</v>
      </c>
      <c r="D841" s="749" t="s">
        <v>475</v>
      </c>
      <c r="E841" s="749" t="s">
        <v>728</v>
      </c>
      <c r="F841" s="1008" t="s">
        <v>1285</v>
      </c>
      <c r="G841" s="1009"/>
      <c r="H841" s="751" t="s">
        <v>592</v>
      </c>
      <c r="I841" s="791">
        <v>3.3568999999999999E-3</v>
      </c>
      <c r="J841" s="802">
        <v>113.5</v>
      </c>
      <c r="K841" s="779">
        <v>0.38</v>
      </c>
      <c r="L841" s="822">
        <v>110.72</v>
      </c>
      <c r="M841" s="753">
        <v>0.37</v>
      </c>
    </row>
    <row r="842" spans="2:13" ht="24" customHeight="1" x14ac:dyDescent="0.25">
      <c r="B842" s="765" t="s">
        <v>478</v>
      </c>
      <c r="C842" s="750" t="s">
        <v>485</v>
      </c>
      <c r="D842" s="749" t="s">
        <v>475</v>
      </c>
      <c r="E842" s="749" t="s">
        <v>486</v>
      </c>
      <c r="F842" s="1008" t="s">
        <v>1268</v>
      </c>
      <c r="G842" s="1009"/>
      <c r="H842" s="751" t="s">
        <v>484</v>
      </c>
      <c r="I842" s="791">
        <v>3.6592999999999999E-3</v>
      </c>
      <c r="J842" s="802">
        <v>22.76</v>
      </c>
      <c r="K842" s="779">
        <v>0.08</v>
      </c>
      <c r="L842" s="822">
        <v>21.55</v>
      </c>
      <c r="M842" s="753">
        <v>7.0000000000000007E-2</v>
      </c>
    </row>
    <row r="843" spans="2:13" x14ac:dyDescent="0.25">
      <c r="B843" s="823"/>
      <c r="C843" s="744"/>
      <c r="D843" s="744"/>
      <c r="E843" s="744"/>
      <c r="F843" s="744" t="s">
        <v>498</v>
      </c>
      <c r="G843" s="745">
        <v>0.32</v>
      </c>
      <c r="H843" s="744" t="s">
        <v>499</v>
      </c>
      <c r="I843" s="787">
        <v>0</v>
      </c>
      <c r="J843" s="823" t="s">
        <v>500</v>
      </c>
      <c r="K843" s="787">
        <v>0.32</v>
      </c>
      <c r="L843" s="744" t="s">
        <v>500</v>
      </c>
      <c r="M843" s="745">
        <v>0.31</v>
      </c>
    </row>
    <row r="844" spans="2:13" ht="14.25" customHeight="1" x14ac:dyDescent="0.25">
      <c r="B844" s="823"/>
      <c r="C844" s="744"/>
      <c r="D844" s="744"/>
      <c r="E844" s="744"/>
      <c r="F844" s="744" t="s">
        <v>501</v>
      </c>
      <c r="G844" s="745">
        <v>0.37</v>
      </c>
      <c r="H844" s="744"/>
      <c r="I844" s="812" t="s">
        <v>502</v>
      </c>
      <c r="J844" s="793"/>
      <c r="K844" s="787">
        <v>1.86</v>
      </c>
      <c r="L844" s="746"/>
      <c r="M844" s="745">
        <v>1.9</v>
      </c>
    </row>
    <row r="845" spans="2:13" ht="50.1" customHeight="1" thickBot="1" x14ac:dyDescent="0.3">
      <c r="B845" s="776"/>
      <c r="C845" s="747"/>
      <c r="D845" s="747"/>
      <c r="E845" s="747"/>
      <c r="F845" s="747"/>
      <c r="G845" s="747"/>
      <c r="H845" s="747" t="s">
        <v>503</v>
      </c>
      <c r="I845" s="806" t="s">
        <v>1538</v>
      </c>
      <c r="J845" s="776" t="s">
        <v>504</v>
      </c>
      <c r="K845" s="807">
        <v>57660.94</v>
      </c>
      <c r="L845" s="747" t="s">
        <v>504</v>
      </c>
      <c r="M845" s="748">
        <v>58900.959999999999</v>
      </c>
    </row>
    <row r="846" spans="2:13" ht="16.5" thickTop="1" x14ac:dyDescent="0.25">
      <c r="B846" s="768"/>
      <c r="C846" s="757"/>
      <c r="D846" s="757"/>
      <c r="E846" s="757"/>
      <c r="F846" s="757"/>
      <c r="G846" s="757"/>
      <c r="H846" s="757"/>
      <c r="I846" s="766"/>
      <c r="J846" s="768"/>
      <c r="K846" s="766"/>
      <c r="L846" s="757"/>
      <c r="M846" s="757"/>
    </row>
    <row r="847" spans="2:13" ht="18" customHeight="1" x14ac:dyDescent="0.25">
      <c r="B847" s="805" t="s">
        <v>440</v>
      </c>
      <c r="C847" s="736" t="s">
        <v>391</v>
      </c>
      <c r="D847" s="735" t="s">
        <v>392</v>
      </c>
      <c r="E847" s="735" t="s">
        <v>42</v>
      </c>
      <c r="F847" s="1004" t="s">
        <v>39</v>
      </c>
      <c r="G847" s="1005"/>
      <c r="H847" s="738" t="s">
        <v>394</v>
      </c>
      <c r="I847" s="767" t="s">
        <v>395</v>
      </c>
      <c r="J847" s="808" t="s">
        <v>396</v>
      </c>
      <c r="K847" s="767" t="s">
        <v>0</v>
      </c>
      <c r="L847" s="782" t="s">
        <v>396</v>
      </c>
      <c r="M847" s="736" t="s">
        <v>0</v>
      </c>
    </row>
    <row r="848" spans="2:13" ht="39" customHeight="1" x14ac:dyDescent="0.25">
      <c r="B848" s="789" t="s">
        <v>473</v>
      </c>
      <c r="C848" s="740" t="s">
        <v>1266</v>
      </c>
      <c r="D848" s="739" t="s">
        <v>475</v>
      </c>
      <c r="E848" s="739" t="s">
        <v>1267</v>
      </c>
      <c r="F848" s="1010" t="s">
        <v>1414</v>
      </c>
      <c r="G848" s="1011"/>
      <c r="H848" s="742" t="s">
        <v>2</v>
      </c>
      <c r="I848" s="803">
        <v>1</v>
      </c>
      <c r="J848" s="799">
        <v>172.61</v>
      </c>
      <c r="K848" s="814">
        <v>172.61</v>
      </c>
      <c r="L848" s="778">
        <v>172.13</v>
      </c>
      <c r="M848" s="743">
        <v>172.13</v>
      </c>
    </row>
    <row r="849" spans="2:13" ht="51.95" customHeight="1" x14ac:dyDescent="0.25">
      <c r="B849" s="765" t="s">
        <v>478</v>
      </c>
      <c r="C849" s="750" t="s">
        <v>730</v>
      </c>
      <c r="D849" s="749" t="s">
        <v>475</v>
      </c>
      <c r="E849" s="749" t="s">
        <v>1200</v>
      </c>
      <c r="F849" s="1008" t="s">
        <v>1285</v>
      </c>
      <c r="G849" s="1009"/>
      <c r="H849" s="751" t="s">
        <v>592</v>
      </c>
      <c r="I849" s="791">
        <v>2.7322200000000001E-2</v>
      </c>
      <c r="J849" s="802">
        <v>92.1</v>
      </c>
      <c r="K849" s="779">
        <v>2.5099999999999998</v>
      </c>
      <c r="L849" s="822">
        <v>90.4</v>
      </c>
      <c r="M849" s="753">
        <v>2.46</v>
      </c>
    </row>
    <row r="850" spans="2:13" ht="65.099999999999994" customHeight="1" x14ac:dyDescent="0.25">
      <c r="B850" s="765" t="s">
        <v>478</v>
      </c>
      <c r="C850" s="750" t="s">
        <v>628</v>
      </c>
      <c r="D850" s="749" t="s">
        <v>475</v>
      </c>
      <c r="E850" s="749" t="s">
        <v>629</v>
      </c>
      <c r="F850" s="1008" t="s">
        <v>1285</v>
      </c>
      <c r="G850" s="1009"/>
      <c r="H850" s="751" t="s">
        <v>564</v>
      </c>
      <c r="I850" s="791">
        <v>2.2891999999999999E-3</v>
      </c>
      <c r="J850" s="802">
        <v>319.69</v>
      </c>
      <c r="K850" s="779">
        <v>0.73</v>
      </c>
      <c r="L850" s="822">
        <v>318.08999999999997</v>
      </c>
      <c r="M850" s="753">
        <v>0.72</v>
      </c>
    </row>
    <row r="851" spans="2:13" ht="65.099999999999994" customHeight="1" x14ac:dyDescent="0.25">
      <c r="B851" s="765" t="s">
        <v>478</v>
      </c>
      <c r="C851" s="750" t="s">
        <v>630</v>
      </c>
      <c r="D851" s="749" t="s">
        <v>475</v>
      </c>
      <c r="E851" s="749" t="s">
        <v>631</v>
      </c>
      <c r="F851" s="1008" t="s">
        <v>1285</v>
      </c>
      <c r="G851" s="1009"/>
      <c r="H851" s="751" t="s">
        <v>592</v>
      </c>
      <c r="I851" s="791">
        <v>2.9038899999999999E-2</v>
      </c>
      <c r="J851" s="802">
        <v>74.08</v>
      </c>
      <c r="K851" s="779">
        <v>2.15</v>
      </c>
      <c r="L851" s="822">
        <v>72.48</v>
      </c>
      <c r="M851" s="753">
        <v>2.1</v>
      </c>
    </row>
    <row r="852" spans="2:13" ht="24" customHeight="1" x14ac:dyDescent="0.25">
      <c r="B852" s="765" t="s">
        <v>478</v>
      </c>
      <c r="C852" s="750" t="s">
        <v>1310</v>
      </c>
      <c r="D852" s="749" t="s">
        <v>475</v>
      </c>
      <c r="E852" s="749" t="s">
        <v>1439</v>
      </c>
      <c r="F852" s="1008" t="s">
        <v>1440</v>
      </c>
      <c r="G852" s="1009"/>
      <c r="H852" s="751" t="s">
        <v>2</v>
      </c>
      <c r="I852" s="791">
        <v>1</v>
      </c>
      <c r="J852" s="802">
        <v>158.29</v>
      </c>
      <c r="K852" s="779">
        <v>158.29</v>
      </c>
      <c r="L852" s="822">
        <v>158.1</v>
      </c>
      <c r="M852" s="753">
        <v>158.1</v>
      </c>
    </row>
    <row r="853" spans="2:13" ht="51.95" customHeight="1" x14ac:dyDescent="0.25">
      <c r="B853" s="765" t="s">
        <v>478</v>
      </c>
      <c r="C853" s="750" t="s">
        <v>736</v>
      </c>
      <c r="D853" s="749" t="s">
        <v>475</v>
      </c>
      <c r="E853" s="749" t="s">
        <v>737</v>
      </c>
      <c r="F853" s="1008" t="s">
        <v>1285</v>
      </c>
      <c r="G853" s="1009"/>
      <c r="H853" s="751" t="s">
        <v>592</v>
      </c>
      <c r="I853" s="791">
        <v>2.21663E-2</v>
      </c>
      <c r="J853" s="802">
        <v>66.739999999999995</v>
      </c>
      <c r="K853" s="779">
        <v>1.47</v>
      </c>
      <c r="L853" s="822">
        <v>65.040000000000006</v>
      </c>
      <c r="M853" s="753">
        <v>1.44</v>
      </c>
    </row>
    <row r="854" spans="2:13" ht="47.25" x14ac:dyDescent="0.25">
      <c r="B854" s="765" t="s">
        <v>478</v>
      </c>
      <c r="C854" s="750" t="s">
        <v>725</v>
      </c>
      <c r="D854" s="749" t="s">
        <v>475</v>
      </c>
      <c r="E854" s="749" t="s">
        <v>726</v>
      </c>
      <c r="F854" s="1008" t="s">
        <v>1285</v>
      </c>
      <c r="G854" s="1009"/>
      <c r="H854" s="751" t="s">
        <v>564</v>
      </c>
      <c r="I854" s="791">
        <v>5.1609999999999998E-3</v>
      </c>
      <c r="J854" s="802">
        <v>280.97000000000003</v>
      </c>
      <c r="K854" s="779">
        <v>1.45</v>
      </c>
      <c r="L854" s="822">
        <v>278.19</v>
      </c>
      <c r="M854" s="753">
        <v>1.43</v>
      </c>
    </row>
    <row r="855" spans="2:13" ht="51.95" customHeight="1" x14ac:dyDescent="0.25">
      <c r="B855" s="765" t="s">
        <v>478</v>
      </c>
      <c r="C855" s="750" t="s">
        <v>734</v>
      </c>
      <c r="D855" s="749" t="s">
        <v>475</v>
      </c>
      <c r="E855" s="749" t="s">
        <v>735</v>
      </c>
      <c r="F855" s="1008" t="s">
        <v>1285</v>
      </c>
      <c r="G855" s="1009"/>
      <c r="H855" s="751" t="s">
        <v>564</v>
      </c>
      <c r="I855" s="791">
        <v>9.1617000000000001E-3</v>
      </c>
      <c r="J855" s="802">
        <v>161.54</v>
      </c>
      <c r="K855" s="779">
        <v>1.47</v>
      </c>
      <c r="L855" s="822">
        <v>159.84</v>
      </c>
      <c r="M855" s="753">
        <v>1.46</v>
      </c>
    </row>
    <row r="856" spans="2:13" ht="47.25" x14ac:dyDescent="0.25">
      <c r="B856" s="765" t="s">
        <v>478</v>
      </c>
      <c r="C856" s="750" t="s">
        <v>727</v>
      </c>
      <c r="D856" s="749" t="s">
        <v>475</v>
      </c>
      <c r="E856" s="749" t="s">
        <v>728</v>
      </c>
      <c r="F856" s="1008" t="s">
        <v>1285</v>
      </c>
      <c r="G856" s="1009"/>
      <c r="H856" s="751" t="s">
        <v>592</v>
      </c>
      <c r="I856" s="791">
        <v>2.6166999999999999E-2</v>
      </c>
      <c r="J856" s="802">
        <v>113.5</v>
      </c>
      <c r="K856" s="779">
        <v>2.96</v>
      </c>
      <c r="L856" s="822">
        <v>110.72</v>
      </c>
      <c r="M856" s="753">
        <v>2.89</v>
      </c>
    </row>
    <row r="857" spans="2:13" ht="24" customHeight="1" x14ac:dyDescent="0.25">
      <c r="B857" s="765" t="s">
        <v>478</v>
      </c>
      <c r="C857" s="750" t="s">
        <v>485</v>
      </c>
      <c r="D857" s="749" t="s">
        <v>475</v>
      </c>
      <c r="E857" s="749" t="s">
        <v>486</v>
      </c>
      <c r="F857" s="1008" t="s">
        <v>1268</v>
      </c>
      <c r="G857" s="1009"/>
      <c r="H857" s="751" t="s">
        <v>484</v>
      </c>
      <c r="I857" s="791">
        <v>3.1328000000000002E-2</v>
      </c>
      <c r="J857" s="802">
        <v>22.76</v>
      </c>
      <c r="K857" s="779">
        <v>0.71</v>
      </c>
      <c r="L857" s="822">
        <v>21.55</v>
      </c>
      <c r="M857" s="753">
        <v>0.67</v>
      </c>
    </row>
    <row r="858" spans="2:13" ht="51.95" customHeight="1" x14ac:dyDescent="0.25">
      <c r="B858" s="765" t="s">
        <v>478</v>
      </c>
      <c r="C858" s="750" t="s">
        <v>729</v>
      </c>
      <c r="D858" s="749" t="s">
        <v>475</v>
      </c>
      <c r="E858" s="749" t="s">
        <v>1201</v>
      </c>
      <c r="F858" s="1008" t="s">
        <v>1285</v>
      </c>
      <c r="G858" s="1009"/>
      <c r="H858" s="751" t="s">
        <v>564</v>
      </c>
      <c r="I858" s="791">
        <v>4.0058000000000003E-3</v>
      </c>
      <c r="J858" s="802">
        <v>218.59</v>
      </c>
      <c r="K858" s="779">
        <v>0.87</v>
      </c>
      <c r="L858" s="822">
        <v>216.89</v>
      </c>
      <c r="M858" s="753">
        <v>0.86</v>
      </c>
    </row>
    <row r="859" spans="2:13" x14ac:dyDescent="0.25">
      <c r="B859" s="823"/>
      <c r="C859" s="744"/>
      <c r="D859" s="744"/>
      <c r="E859" s="744"/>
      <c r="F859" s="744" t="s">
        <v>498</v>
      </c>
      <c r="G859" s="745">
        <v>6.33</v>
      </c>
      <c r="H859" s="744" t="s">
        <v>499</v>
      </c>
      <c r="I859" s="787">
        <v>0</v>
      </c>
      <c r="J859" s="823" t="s">
        <v>500</v>
      </c>
      <c r="K859" s="787">
        <v>6.33</v>
      </c>
      <c r="L859" s="744" t="s">
        <v>500</v>
      </c>
      <c r="M859" s="745">
        <v>5.85</v>
      </c>
    </row>
    <row r="860" spans="2:13" ht="14.25" customHeight="1" x14ac:dyDescent="0.25">
      <c r="B860" s="823"/>
      <c r="C860" s="744"/>
      <c r="D860" s="744"/>
      <c r="E860" s="744"/>
      <c r="F860" s="744" t="s">
        <v>501</v>
      </c>
      <c r="G860" s="745">
        <v>43.54</v>
      </c>
      <c r="H860" s="744"/>
      <c r="I860" s="812" t="s">
        <v>502</v>
      </c>
      <c r="J860" s="793"/>
      <c r="K860" s="787">
        <v>216.15</v>
      </c>
      <c r="L860" s="746"/>
      <c r="M860" s="745">
        <v>224.9</v>
      </c>
    </row>
    <row r="861" spans="2:13" ht="50.1" customHeight="1" thickBot="1" x14ac:dyDescent="0.3">
      <c r="B861" s="776"/>
      <c r="C861" s="747"/>
      <c r="D861" s="747"/>
      <c r="E861" s="747"/>
      <c r="F861" s="747"/>
      <c r="G861" s="747"/>
      <c r="H861" s="747" t="s">
        <v>503</v>
      </c>
      <c r="I861" s="806" t="s">
        <v>1539</v>
      </c>
      <c r="J861" s="776" t="s">
        <v>504</v>
      </c>
      <c r="K861" s="807">
        <v>898721.43</v>
      </c>
      <c r="L861" s="747" t="s">
        <v>504</v>
      </c>
      <c r="M861" s="748">
        <v>935102.71</v>
      </c>
    </row>
    <row r="862" spans="2:13" ht="16.5" thickTop="1" x14ac:dyDescent="0.25">
      <c r="B862" s="768"/>
      <c r="C862" s="757"/>
      <c r="D862" s="757"/>
      <c r="E862" s="757"/>
      <c r="F862" s="757"/>
      <c r="G862" s="757"/>
      <c r="H862" s="757"/>
      <c r="I862" s="766"/>
      <c r="J862" s="768"/>
      <c r="K862" s="766"/>
      <c r="L862" s="757"/>
      <c r="M862" s="757"/>
    </row>
    <row r="863" spans="2:13" ht="18" customHeight="1" x14ac:dyDescent="0.25">
      <c r="B863" s="805" t="s">
        <v>441</v>
      </c>
      <c r="C863" s="736" t="s">
        <v>391</v>
      </c>
      <c r="D863" s="735" t="s">
        <v>392</v>
      </c>
      <c r="E863" s="735" t="s">
        <v>42</v>
      </c>
      <c r="F863" s="1004" t="s">
        <v>39</v>
      </c>
      <c r="G863" s="1005"/>
      <c r="H863" s="738" t="s">
        <v>394</v>
      </c>
      <c r="I863" s="767" t="s">
        <v>395</v>
      </c>
      <c r="J863" s="808" t="s">
        <v>396</v>
      </c>
      <c r="K863" s="767" t="s">
        <v>0</v>
      </c>
      <c r="L863" s="782" t="s">
        <v>396</v>
      </c>
      <c r="M863" s="736" t="s">
        <v>0</v>
      </c>
    </row>
    <row r="864" spans="2:13" ht="51.95" customHeight="1" x14ac:dyDescent="0.25">
      <c r="B864" s="789" t="s">
        <v>473</v>
      </c>
      <c r="C864" s="740" t="s">
        <v>599</v>
      </c>
      <c r="D864" s="739" t="s">
        <v>475</v>
      </c>
      <c r="E864" s="739" t="s">
        <v>600</v>
      </c>
      <c r="F864" s="1010" t="s">
        <v>1289</v>
      </c>
      <c r="G864" s="1011"/>
      <c r="H864" s="742" t="s">
        <v>2</v>
      </c>
      <c r="I864" s="803">
        <v>1</v>
      </c>
      <c r="J864" s="799">
        <v>7.03</v>
      </c>
      <c r="K864" s="814">
        <v>7.03</v>
      </c>
      <c r="L864" s="778">
        <v>6.95</v>
      </c>
      <c r="M864" s="743">
        <v>6.95</v>
      </c>
    </row>
    <row r="865" spans="2:13" ht="39" customHeight="1" x14ac:dyDescent="0.25">
      <c r="B865" s="765" t="s">
        <v>478</v>
      </c>
      <c r="C865" s="750" t="s">
        <v>595</v>
      </c>
      <c r="D865" s="749" t="s">
        <v>475</v>
      </c>
      <c r="E865" s="749" t="s">
        <v>596</v>
      </c>
      <c r="F865" s="1008" t="s">
        <v>1285</v>
      </c>
      <c r="G865" s="1009"/>
      <c r="H865" s="751" t="s">
        <v>564</v>
      </c>
      <c r="I865" s="791">
        <v>4.1999999999999997E-3</v>
      </c>
      <c r="J865" s="802">
        <v>251.7</v>
      </c>
      <c r="K865" s="779">
        <v>1.05</v>
      </c>
      <c r="L865" s="822">
        <v>249.57</v>
      </c>
      <c r="M865" s="753">
        <v>1.04</v>
      </c>
    </row>
    <row r="866" spans="2:13" ht="65.099999999999994" customHeight="1" x14ac:dyDescent="0.25">
      <c r="B866" s="765" t="s">
        <v>478</v>
      </c>
      <c r="C866" s="750" t="s">
        <v>603</v>
      </c>
      <c r="D866" s="749" t="s">
        <v>475</v>
      </c>
      <c r="E866" s="749" t="s">
        <v>604</v>
      </c>
      <c r="F866" s="1008" t="s">
        <v>1285</v>
      </c>
      <c r="G866" s="1009"/>
      <c r="H866" s="751" t="s">
        <v>592</v>
      </c>
      <c r="I866" s="791">
        <v>1.2E-2</v>
      </c>
      <c r="J866" s="802">
        <v>74.48</v>
      </c>
      <c r="K866" s="779">
        <v>0.89</v>
      </c>
      <c r="L866" s="822">
        <v>72.81</v>
      </c>
      <c r="M866" s="753">
        <v>0.87</v>
      </c>
    </row>
    <row r="867" spans="2:13" ht="65.099999999999994" customHeight="1" x14ac:dyDescent="0.25">
      <c r="B867" s="765" t="s">
        <v>478</v>
      </c>
      <c r="C867" s="750" t="s">
        <v>601</v>
      </c>
      <c r="D867" s="749" t="s">
        <v>475</v>
      </c>
      <c r="E867" s="749" t="s">
        <v>602</v>
      </c>
      <c r="F867" s="1008" t="s">
        <v>1285</v>
      </c>
      <c r="G867" s="1009"/>
      <c r="H867" s="751" t="s">
        <v>564</v>
      </c>
      <c r="I867" s="791">
        <v>1.5699999999999999E-2</v>
      </c>
      <c r="J867" s="802">
        <v>270.25</v>
      </c>
      <c r="K867" s="779">
        <v>4.24</v>
      </c>
      <c r="L867" s="822">
        <v>268.58</v>
      </c>
      <c r="M867" s="753">
        <v>4.21</v>
      </c>
    </row>
    <row r="868" spans="2:13" ht="39" customHeight="1" x14ac:dyDescent="0.25">
      <c r="B868" s="765" t="s">
        <v>478</v>
      </c>
      <c r="C868" s="750" t="s">
        <v>597</v>
      </c>
      <c r="D868" s="749" t="s">
        <v>475</v>
      </c>
      <c r="E868" s="749" t="s">
        <v>598</v>
      </c>
      <c r="F868" s="1008" t="s">
        <v>1285</v>
      </c>
      <c r="G868" s="1009"/>
      <c r="H868" s="751" t="s">
        <v>592</v>
      </c>
      <c r="I868" s="791">
        <v>8.6999999999999994E-3</v>
      </c>
      <c r="J868" s="802">
        <v>98.52</v>
      </c>
      <c r="K868" s="779">
        <v>0.85</v>
      </c>
      <c r="L868" s="822">
        <v>96.39</v>
      </c>
      <c r="M868" s="753">
        <v>0.83</v>
      </c>
    </row>
    <row r="869" spans="2:13" x14ac:dyDescent="0.25">
      <c r="B869" s="823"/>
      <c r="C869" s="744"/>
      <c r="D869" s="744"/>
      <c r="E869" s="744"/>
      <c r="F869" s="744" t="s">
        <v>498</v>
      </c>
      <c r="G869" s="745">
        <v>0.95</v>
      </c>
      <c r="H869" s="744" t="s">
        <v>499</v>
      </c>
      <c r="I869" s="787">
        <v>0</v>
      </c>
      <c r="J869" s="823" t="s">
        <v>500</v>
      </c>
      <c r="K869" s="787">
        <v>0.95</v>
      </c>
      <c r="L869" s="744" t="s">
        <v>500</v>
      </c>
      <c r="M869" s="745">
        <v>0.9</v>
      </c>
    </row>
    <row r="870" spans="2:13" ht="14.25" customHeight="1" x14ac:dyDescent="0.25">
      <c r="B870" s="823"/>
      <c r="C870" s="744"/>
      <c r="D870" s="744"/>
      <c r="E870" s="744"/>
      <c r="F870" s="744" t="s">
        <v>501</v>
      </c>
      <c r="G870" s="745">
        <v>1.77</v>
      </c>
      <c r="H870" s="744"/>
      <c r="I870" s="812" t="s">
        <v>502</v>
      </c>
      <c r="J870" s="793"/>
      <c r="K870" s="787">
        <v>8.8000000000000007</v>
      </c>
      <c r="L870" s="746"/>
      <c r="M870" s="745">
        <v>9.08</v>
      </c>
    </row>
    <row r="871" spans="2:13" ht="50.1" customHeight="1" thickBot="1" x14ac:dyDescent="0.3">
      <c r="B871" s="776"/>
      <c r="C871" s="747"/>
      <c r="D871" s="747"/>
      <c r="E871" s="747"/>
      <c r="F871" s="747"/>
      <c r="G871" s="747"/>
      <c r="H871" s="747" t="s">
        <v>503</v>
      </c>
      <c r="I871" s="806" t="s">
        <v>1540</v>
      </c>
      <c r="J871" s="776" t="s">
        <v>504</v>
      </c>
      <c r="K871" s="807">
        <v>53663.45</v>
      </c>
      <c r="L871" s="747" t="s">
        <v>504</v>
      </c>
      <c r="M871" s="748">
        <v>55370.92</v>
      </c>
    </row>
    <row r="872" spans="2:13" ht="16.5" thickTop="1" x14ac:dyDescent="0.25">
      <c r="B872" s="768"/>
      <c r="C872" s="757"/>
      <c r="D872" s="757"/>
      <c r="E872" s="757"/>
      <c r="F872" s="757"/>
      <c r="G872" s="757"/>
      <c r="H872" s="757"/>
      <c r="I872" s="766"/>
      <c r="J872" s="768"/>
      <c r="K872" s="766"/>
      <c r="L872" s="757"/>
      <c r="M872" s="757"/>
    </row>
    <row r="873" spans="2:13" ht="18" customHeight="1" x14ac:dyDescent="0.25">
      <c r="B873" s="805" t="s">
        <v>442</v>
      </c>
      <c r="C873" s="736" t="s">
        <v>391</v>
      </c>
      <c r="D873" s="735" t="s">
        <v>392</v>
      </c>
      <c r="E873" s="735" t="s">
        <v>42</v>
      </c>
      <c r="F873" s="1004" t="s">
        <v>39</v>
      </c>
      <c r="G873" s="1005"/>
      <c r="H873" s="738" t="s">
        <v>394</v>
      </c>
      <c r="I873" s="767" t="s">
        <v>395</v>
      </c>
      <c r="J873" s="808" t="s">
        <v>396</v>
      </c>
      <c r="K873" s="767" t="s">
        <v>0</v>
      </c>
      <c r="L873" s="782" t="s">
        <v>396</v>
      </c>
      <c r="M873" s="736" t="s">
        <v>0</v>
      </c>
    </row>
    <row r="874" spans="2:13" ht="39" customHeight="1" x14ac:dyDescent="0.25">
      <c r="B874" s="789" t="s">
        <v>473</v>
      </c>
      <c r="C874" s="740" t="s">
        <v>605</v>
      </c>
      <c r="D874" s="739" t="s">
        <v>475</v>
      </c>
      <c r="E874" s="739" t="s">
        <v>731</v>
      </c>
      <c r="F874" s="1010" t="s">
        <v>1289</v>
      </c>
      <c r="G874" s="1011"/>
      <c r="H874" s="742" t="s">
        <v>606</v>
      </c>
      <c r="I874" s="803">
        <v>1</v>
      </c>
      <c r="J874" s="799">
        <v>2.5</v>
      </c>
      <c r="K874" s="814">
        <v>2.5</v>
      </c>
      <c r="L874" s="778">
        <v>2.48</v>
      </c>
      <c r="M874" s="743">
        <v>2.48</v>
      </c>
    </row>
    <row r="875" spans="2:13" ht="65.099999999999994" customHeight="1" x14ac:dyDescent="0.25">
      <c r="B875" s="765" t="s">
        <v>478</v>
      </c>
      <c r="C875" s="750" t="s">
        <v>603</v>
      </c>
      <c r="D875" s="749" t="s">
        <v>475</v>
      </c>
      <c r="E875" s="749" t="s">
        <v>604</v>
      </c>
      <c r="F875" s="1008" t="s">
        <v>1285</v>
      </c>
      <c r="G875" s="1009"/>
      <c r="H875" s="751" t="s">
        <v>592</v>
      </c>
      <c r="I875" s="791">
        <v>3.5999999999999999E-3</v>
      </c>
      <c r="J875" s="802">
        <v>74.48</v>
      </c>
      <c r="K875" s="779">
        <v>0.26</v>
      </c>
      <c r="L875" s="822">
        <v>72.81</v>
      </c>
      <c r="M875" s="753">
        <v>0.26</v>
      </c>
    </row>
    <row r="876" spans="2:13" ht="65.099999999999994" customHeight="1" x14ac:dyDescent="0.25">
      <c r="B876" s="765" t="s">
        <v>478</v>
      </c>
      <c r="C876" s="750" t="s">
        <v>601</v>
      </c>
      <c r="D876" s="749" t="s">
        <v>475</v>
      </c>
      <c r="E876" s="749" t="s">
        <v>602</v>
      </c>
      <c r="F876" s="1008" t="s">
        <v>1285</v>
      </c>
      <c r="G876" s="1009"/>
      <c r="H876" s="751" t="s">
        <v>564</v>
      </c>
      <c r="I876" s="791">
        <v>8.3000000000000001E-3</v>
      </c>
      <c r="J876" s="802">
        <v>270.25</v>
      </c>
      <c r="K876" s="779">
        <v>2.2400000000000002</v>
      </c>
      <c r="L876" s="822">
        <v>268.58</v>
      </c>
      <c r="M876" s="753">
        <v>2.2200000000000002</v>
      </c>
    </row>
    <row r="877" spans="2:13" x14ac:dyDescent="0.25">
      <c r="B877" s="823"/>
      <c r="C877" s="744"/>
      <c r="D877" s="744"/>
      <c r="E877" s="744"/>
      <c r="F877" s="744" t="s">
        <v>498</v>
      </c>
      <c r="G877" s="745">
        <v>0.25</v>
      </c>
      <c r="H877" s="744" t="s">
        <v>499</v>
      </c>
      <c r="I877" s="787">
        <v>0</v>
      </c>
      <c r="J877" s="823" t="s">
        <v>500</v>
      </c>
      <c r="K877" s="787">
        <v>0.25</v>
      </c>
      <c r="L877" s="744" t="s">
        <v>500</v>
      </c>
      <c r="M877" s="745">
        <v>0.24</v>
      </c>
    </row>
    <row r="878" spans="2:13" ht="14.25" customHeight="1" x14ac:dyDescent="0.25">
      <c r="B878" s="823"/>
      <c r="C878" s="744"/>
      <c r="D878" s="744"/>
      <c r="E878" s="744"/>
      <c r="F878" s="744" t="s">
        <v>501</v>
      </c>
      <c r="G878" s="745">
        <v>0.63</v>
      </c>
      <c r="H878" s="744"/>
      <c r="I878" s="812" t="s">
        <v>502</v>
      </c>
      <c r="J878" s="793"/>
      <c r="K878" s="787">
        <v>3.13</v>
      </c>
      <c r="L878" s="746"/>
      <c r="M878" s="745">
        <v>3.24</v>
      </c>
    </row>
    <row r="879" spans="2:13" ht="50.1" customHeight="1" thickBot="1" x14ac:dyDescent="0.3">
      <c r="B879" s="776"/>
      <c r="C879" s="747"/>
      <c r="D879" s="747"/>
      <c r="E879" s="747"/>
      <c r="F879" s="747"/>
      <c r="G879" s="747"/>
      <c r="H879" s="747" t="s">
        <v>503</v>
      </c>
      <c r="I879" s="806" t="s">
        <v>1541</v>
      </c>
      <c r="J879" s="776" t="s">
        <v>504</v>
      </c>
      <c r="K879" s="807">
        <v>347385.49</v>
      </c>
      <c r="L879" s="747" t="s">
        <v>504</v>
      </c>
      <c r="M879" s="748">
        <v>359593.92</v>
      </c>
    </row>
    <row r="880" spans="2:13" ht="16.5" thickTop="1" x14ac:dyDescent="0.25">
      <c r="B880" s="768"/>
      <c r="C880" s="757"/>
      <c r="D880" s="757"/>
      <c r="E880" s="757"/>
      <c r="F880" s="757"/>
      <c r="G880" s="757"/>
      <c r="H880" s="757"/>
      <c r="I880" s="766"/>
      <c r="J880" s="768"/>
      <c r="K880" s="766"/>
      <c r="L880" s="757"/>
      <c r="M880" s="757"/>
    </row>
    <row r="881" spans="2:13" ht="18" customHeight="1" x14ac:dyDescent="0.25">
      <c r="B881" s="805" t="s">
        <v>443</v>
      </c>
      <c r="C881" s="736" t="s">
        <v>391</v>
      </c>
      <c r="D881" s="735" t="s">
        <v>392</v>
      </c>
      <c r="E881" s="735" t="s">
        <v>42</v>
      </c>
      <c r="F881" s="1004" t="s">
        <v>39</v>
      </c>
      <c r="G881" s="1005"/>
      <c r="H881" s="738" t="s">
        <v>394</v>
      </c>
      <c r="I881" s="767" t="s">
        <v>395</v>
      </c>
      <c r="J881" s="808" t="s">
        <v>396</v>
      </c>
      <c r="K881" s="767" t="s">
        <v>0</v>
      </c>
      <c r="L881" s="782" t="s">
        <v>396</v>
      </c>
      <c r="M881" s="736" t="s">
        <v>0</v>
      </c>
    </row>
    <row r="882" spans="2:13" ht="31.5" x14ac:dyDescent="0.25">
      <c r="B882" s="789" t="s">
        <v>473</v>
      </c>
      <c r="C882" s="740" t="s">
        <v>745</v>
      </c>
      <c r="D882" s="739" t="s">
        <v>509</v>
      </c>
      <c r="E882" s="739" t="s">
        <v>746</v>
      </c>
      <c r="F882" s="1010" t="s">
        <v>477</v>
      </c>
      <c r="G882" s="1011"/>
      <c r="H882" s="742" t="s">
        <v>1</v>
      </c>
      <c r="I882" s="803">
        <v>1</v>
      </c>
      <c r="J882" s="799">
        <v>1.1399999999999999</v>
      </c>
      <c r="K882" s="814">
        <v>1.1399999999999999</v>
      </c>
      <c r="L882" s="778">
        <v>1.1200000000000001</v>
      </c>
      <c r="M882" s="743">
        <v>1.1200000000000001</v>
      </c>
    </row>
    <row r="883" spans="2:13" ht="31.5" x14ac:dyDescent="0.25">
      <c r="B883" s="765" t="s">
        <v>478</v>
      </c>
      <c r="C883" s="750" t="s">
        <v>738</v>
      </c>
      <c r="D883" s="749" t="s">
        <v>475</v>
      </c>
      <c r="E883" s="749" t="s">
        <v>739</v>
      </c>
      <c r="F883" s="1008" t="s">
        <v>1285</v>
      </c>
      <c r="G883" s="1009"/>
      <c r="H883" s="751" t="s">
        <v>564</v>
      </c>
      <c r="I883" s="791">
        <v>1.6999999999999999E-3</v>
      </c>
      <c r="J883" s="802">
        <v>128.85</v>
      </c>
      <c r="K883" s="779">
        <v>0.21</v>
      </c>
      <c r="L883" s="822">
        <v>126.95</v>
      </c>
      <c r="M883" s="753">
        <v>0.21</v>
      </c>
    </row>
    <row r="884" spans="2:13" ht="47.25" x14ac:dyDescent="0.25">
      <c r="B884" s="765" t="s">
        <v>478</v>
      </c>
      <c r="C884" s="750" t="s">
        <v>749</v>
      </c>
      <c r="D884" s="749" t="s">
        <v>475</v>
      </c>
      <c r="E884" s="749" t="s">
        <v>750</v>
      </c>
      <c r="F884" s="1008" t="s">
        <v>1285</v>
      </c>
      <c r="G884" s="1009"/>
      <c r="H884" s="751" t="s">
        <v>564</v>
      </c>
      <c r="I884" s="791">
        <v>2E-3</v>
      </c>
      <c r="J884" s="802">
        <v>9.31</v>
      </c>
      <c r="K884" s="779">
        <v>0.01</v>
      </c>
      <c r="L884" s="822">
        <v>9.31</v>
      </c>
      <c r="M884" s="753">
        <v>0.01</v>
      </c>
    </row>
    <row r="885" spans="2:13" ht="24" customHeight="1" x14ac:dyDescent="0.25">
      <c r="B885" s="765" t="s">
        <v>478</v>
      </c>
      <c r="C885" s="750" t="s">
        <v>485</v>
      </c>
      <c r="D885" s="749" t="s">
        <v>475</v>
      </c>
      <c r="E885" s="749" t="s">
        <v>486</v>
      </c>
      <c r="F885" s="1008" t="s">
        <v>1268</v>
      </c>
      <c r="G885" s="1009"/>
      <c r="H885" s="751" t="s">
        <v>484</v>
      </c>
      <c r="I885" s="791">
        <v>5.7999999999999996E-3</v>
      </c>
      <c r="J885" s="802">
        <v>22.76</v>
      </c>
      <c r="K885" s="779">
        <v>0.13</v>
      </c>
      <c r="L885" s="822">
        <v>21.55</v>
      </c>
      <c r="M885" s="753">
        <v>0.12</v>
      </c>
    </row>
    <row r="886" spans="2:13" ht="31.5" x14ac:dyDescent="0.25">
      <c r="B886" s="765" t="s">
        <v>478</v>
      </c>
      <c r="C886" s="750" t="s">
        <v>740</v>
      </c>
      <c r="D886" s="749" t="s">
        <v>475</v>
      </c>
      <c r="E886" s="749" t="s">
        <v>741</v>
      </c>
      <c r="F886" s="1008" t="s">
        <v>1285</v>
      </c>
      <c r="G886" s="1009"/>
      <c r="H886" s="751" t="s">
        <v>592</v>
      </c>
      <c r="I886" s="791">
        <v>4.1000000000000003E-3</v>
      </c>
      <c r="J886" s="802">
        <v>47.5</v>
      </c>
      <c r="K886" s="779">
        <v>0.19</v>
      </c>
      <c r="L886" s="822">
        <v>45.6</v>
      </c>
      <c r="M886" s="753">
        <v>0.18</v>
      </c>
    </row>
    <row r="887" spans="2:13" ht="65.099999999999994" customHeight="1" x14ac:dyDescent="0.25">
      <c r="B887" s="765" t="s">
        <v>478</v>
      </c>
      <c r="C887" s="750" t="s">
        <v>748</v>
      </c>
      <c r="D887" s="749" t="s">
        <v>475</v>
      </c>
      <c r="E887" s="749" t="s">
        <v>1312</v>
      </c>
      <c r="F887" s="1008" t="s">
        <v>1285</v>
      </c>
      <c r="G887" s="1009"/>
      <c r="H887" s="751" t="s">
        <v>564</v>
      </c>
      <c r="I887" s="791">
        <v>1E-3</v>
      </c>
      <c r="J887" s="802">
        <v>268.99</v>
      </c>
      <c r="K887" s="779">
        <v>0.26</v>
      </c>
      <c r="L887" s="822">
        <v>267.39</v>
      </c>
      <c r="M887" s="753">
        <v>0.26</v>
      </c>
    </row>
    <row r="888" spans="2:13" ht="65.099999999999994" customHeight="1" x14ac:dyDescent="0.25">
      <c r="B888" s="765" t="s">
        <v>478</v>
      </c>
      <c r="C888" s="750" t="s">
        <v>747</v>
      </c>
      <c r="D888" s="749" t="s">
        <v>475</v>
      </c>
      <c r="E888" s="749" t="s">
        <v>1311</v>
      </c>
      <c r="F888" s="1008" t="s">
        <v>1285</v>
      </c>
      <c r="G888" s="1009"/>
      <c r="H888" s="751" t="s">
        <v>592</v>
      </c>
      <c r="I888" s="791">
        <v>4.8999999999999998E-3</v>
      </c>
      <c r="J888" s="802">
        <v>69.3</v>
      </c>
      <c r="K888" s="779">
        <v>0.33</v>
      </c>
      <c r="L888" s="822">
        <v>67.7</v>
      </c>
      <c r="M888" s="753">
        <v>0.33</v>
      </c>
    </row>
    <row r="889" spans="2:13" ht="39" customHeight="1" x14ac:dyDescent="0.25">
      <c r="B889" s="765" t="s">
        <v>478</v>
      </c>
      <c r="C889" s="750" t="s">
        <v>751</v>
      </c>
      <c r="D889" s="749" t="s">
        <v>475</v>
      </c>
      <c r="E889" s="749" t="s">
        <v>752</v>
      </c>
      <c r="F889" s="1008" t="s">
        <v>1285</v>
      </c>
      <c r="G889" s="1009"/>
      <c r="H889" s="751" t="s">
        <v>592</v>
      </c>
      <c r="I889" s="791">
        <v>4.0000000000000001E-3</v>
      </c>
      <c r="J889" s="802">
        <v>4.68</v>
      </c>
      <c r="K889" s="779">
        <v>0.01</v>
      </c>
      <c r="L889" s="822">
        <v>4.68</v>
      </c>
      <c r="M889" s="753">
        <v>0.01</v>
      </c>
    </row>
    <row r="890" spans="2:13" x14ac:dyDescent="0.25">
      <c r="B890" s="823"/>
      <c r="C890" s="744"/>
      <c r="D890" s="744"/>
      <c r="E890" s="744"/>
      <c r="F890" s="744" t="s">
        <v>498</v>
      </c>
      <c r="G890" s="745">
        <v>0.35</v>
      </c>
      <c r="H890" s="744" t="s">
        <v>499</v>
      </c>
      <c r="I890" s="787">
        <v>0</v>
      </c>
      <c r="J890" s="823" t="s">
        <v>500</v>
      </c>
      <c r="K890" s="787">
        <v>0.35</v>
      </c>
      <c r="L890" s="744" t="s">
        <v>500</v>
      </c>
      <c r="M890" s="745">
        <v>0.3</v>
      </c>
    </row>
    <row r="891" spans="2:13" ht="14.25" customHeight="1" x14ac:dyDescent="0.25">
      <c r="B891" s="823"/>
      <c r="C891" s="744"/>
      <c r="D891" s="744"/>
      <c r="E891" s="744"/>
      <c r="F891" s="744" t="s">
        <v>501</v>
      </c>
      <c r="G891" s="745">
        <v>0.28000000000000003</v>
      </c>
      <c r="H891" s="744"/>
      <c r="I891" s="812" t="s">
        <v>502</v>
      </c>
      <c r="J891" s="793"/>
      <c r="K891" s="787">
        <v>1.42</v>
      </c>
      <c r="L891" s="746"/>
      <c r="M891" s="745">
        <v>1.46</v>
      </c>
    </row>
    <row r="892" spans="2:13" ht="50.1" customHeight="1" thickBot="1" x14ac:dyDescent="0.3">
      <c r="B892" s="776"/>
      <c r="C892" s="747"/>
      <c r="D892" s="747"/>
      <c r="E892" s="747"/>
      <c r="F892" s="747"/>
      <c r="G892" s="747"/>
      <c r="H892" s="747" t="s">
        <v>503</v>
      </c>
      <c r="I892" s="806" t="s">
        <v>1542</v>
      </c>
      <c r="J892" s="776" t="s">
        <v>504</v>
      </c>
      <c r="K892" s="807">
        <v>38634.050000000003</v>
      </c>
      <c r="L892" s="747" t="s">
        <v>504</v>
      </c>
      <c r="M892" s="748">
        <v>39722.33</v>
      </c>
    </row>
    <row r="893" spans="2:13" ht="16.5" thickTop="1" x14ac:dyDescent="0.25">
      <c r="B893" s="768"/>
      <c r="C893" s="757"/>
      <c r="D893" s="757"/>
      <c r="E893" s="757"/>
      <c r="F893" s="757"/>
      <c r="G893" s="757"/>
      <c r="H893" s="757"/>
      <c r="I893" s="766"/>
      <c r="J893" s="768"/>
      <c r="K893" s="766"/>
      <c r="L893" s="757"/>
      <c r="M893" s="757"/>
    </row>
    <row r="894" spans="2:13" ht="18" customHeight="1" x14ac:dyDescent="0.25">
      <c r="B894" s="805" t="s">
        <v>1457</v>
      </c>
      <c r="C894" s="736" t="s">
        <v>391</v>
      </c>
      <c r="D894" s="735" t="s">
        <v>392</v>
      </c>
      <c r="E894" s="735" t="s">
        <v>42</v>
      </c>
      <c r="F894" s="737" t="s">
        <v>39</v>
      </c>
      <c r="G894" s="737"/>
      <c r="H894" s="738" t="s">
        <v>394</v>
      </c>
      <c r="I894" s="767" t="s">
        <v>395</v>
      </c>
      <c r="J894" s="808" t="s">
        <v>396</v>
      </c>
      <c r="K894" s="767" t="s">
        <v>0</v>
      </c>
      <c r="L894" s="782" t="s">
        <v>396</v>
      </c>
      <c r="M894" s="736" t="s">
        <v>0</v>
      </c>
    </row>
    <row r="895" spans="2:13" ht="24" customHeight="1" x14ac:dyDescent="0.25">
      <c r="B895" s="797" t="s">
        <v>487</v>
      </c>
      <c r="C895" s="758" t="s">
        <v>1563</v>
      </c>
      <c r="D895" s="619" t="s">
        <v>509</v>
      </c>
      <c r="E895" s="619" t="s">
        <v>1435</v>
      </c>
      <c r="F895" s="759" t="s">
        <v>490</v>
      </c>
      <c r="G895" s="759"/>
      <c r="H895" s="718" t="s">
        <v>116</v>
      </c>
      <c r="I895" s="786">
        <v>1</v>
      </c>
      <c r="J895" s="770">
        <v>3000</v>
      </c>
      <c r="K895" s="774">
        <v>3000</v>
      </c>
      <c r="L895" s="811">
        <v>3000</v>
      </c>
      <c r="M895" s="760">
        <v>3000</v>
      </c>
    </row>
    <row r="896" spans="2:13" x14ac:dyDescent="0.25">
      <c r="B896" s="823"/>
      <c r="C896" s="744"/>
      <c r="D896" s="744"/>
      <c r="E896" s="744"/>
      <c r="F896" s="744" t="s">
        <v>498</v>
      </c>
      <c r="G896" s="745">
        <v>0</v>
      </c>
      <c r="H896" s="744" t="s">
        <v>499</v>
      </c>
      <c r="I896" s="787">
        <v>0</v>
      </c>
      <c r="J896" s="823" t="s">
        <v>500</v>
      </c>
      <c r="K896" s="787">
        <v>0</v>
      </c>
      <c r="L896" s="744" t="s">
        <v>500</v>
      </c>
      <c r="M896" s="745">
        <v>0</v>
      </c>
    </row>
    <row r="897" spans="2:13" ht="14.25" customHeight="1" x14ac:dyDescent="0.25">
      <c r="B897" s="823"/>
      <c r="C897" s="744"/>
      <c r="D897" s="744"/>
      <c r="E897" s="744"/>
      <c r="F897" s="744" t="s">
        <v>501</v>
      </c>
      <c r="G897" s="745"/>
      <c r="H897" s="744"/>
      <c r="I897" s="812" t="s">
        <v>502</v>
      </c>
      <c r="J897" s="793"/>
      <c r="K897" s="787">
        <v>3726.9</v>
      </c>
      <c r="L897" s="746"/>
      <c r="M897" s="745">
        <v>3627.6</v>
      </c>
    </row>
    <row r="898" spans="2:13" ht="50.1" customHeight="1" thickBot="1" x14ac:dyDescent="0.3">
      <c r="B898" s="776"/>
      <c r="C898" s="747"/>
      <c r="D898" s="747"/>
      <c r="E898" s="747"/>
      <c r="F898" s="747"/>
      <c r="G898" s="747"/>
      <c r="H898" s="747" t="s">
        <v>503</v>
      </c>
      <c r="I898" s="806" t="s">
        <v>1543</v>
      </c>
      <c r="J898" s="776" t="s">
        <v>504</v>
      </c>
      <c r="K898" s="807">
        <v>121646.01</v>
      </c>
      <c r="L898" s="747" t="s">
        <v>504</v>
      </c>
      <c r="M898" s="748">
        <v>118404.86</v>
      </c>
    </row>
    <row r="899" spans="2:13" ht="16.5" thickTop="1" x14ac:dyDescent="0.25">
      <c r="B899" s="768"/>
      <c r="C899" s="757"/>
      <c r="D899" s="757"/>
      <c r="E899" s="757"/>
      <c r="F899" s="757"/>
      <c r="G899" s="757"/>
      <c r="H899" s="757"/>
      <c r="I899" s="766"/>
      <c r="J899" s="768"/>
      <c r="K899" s="766"/>
      <c r="L899" s="757"/>
      <c r="M899" s="757"/>
    </row>
    <row r="900" spans="2:13" ht="18" customHeight="1" x14ac:dyDescent="0.25">
      <c r="B900" s="805" t="s">
        <v>444</v>
      </c>
      <c r="C900" s="736" t="s">
        <v>391</v>
      </c>
      <c r="D900" s="735" t="s">
        <v>392</v>
      </c>
      <c r="E900" s="735" t="s">
        <v>42</v>
      </c>
      <c r="F900" s="1004" t="s">
        <v>39</v>
      </c>
      <c r="G900" s="1005"/>
      <c r="H900" s="738" t="s">
        <v>394</v>
      </c>
      <c r="I900" s="767" t="s">
        <v>395</v>
      </c>
      <c r="J900" s="808" t="s">
        <v>396</v>
      </c>
      <c r="K900" s="767" t="s">
        <v>0</v>
      </c>
      <c r="L900" s="782" t="s">
        <v>396</v>
      </c>
      <c r="M900" s="736" t="s">
        <v>0</v>
      </c>
    </row>
    <row r="901" spans="2:13" ht="47.25" x14ac:dyDescent="0.25">
      <c r="B901" s="789" t="s">
        <v>473</v>
      </c>
      <c r="C901" s="740" t="s">
        <v>753</v>
      </c>
      <c r="D901" s="739" t="s">
        <v>475</v>
      </c>
      <c r="E901" s="739" t="s">
        <v>754</v>
      </c>
      <c r="F901" s="1010" t="s">
        <v>1289</v>
      </c>
      <c r="G901" s="1011"/>
      <c r="H901" s="742" t="s">
        <v>651</v>
      </c>
      <c r="I901" s="803">
        <v>1</v>
      </c>
      <c r="J901" s="799">
        <v>1.41</v>
      </c>
      <c r="K901" s="814">
        <v>1.41</v>
      </c>
      <c r="L901" s="778">
        <v>1.4</v>
      </c>
      <c r="M901" s="743">
        <v>1.4</v>
      </c>
    </row>
    <row r="902" spans="2:13" ht="65.099999999999994" customHeight="1" x14ac:dyDescent="0.25">
      <c r="B902" s="765" t="s">
        <v>478</v>
      </c>
      <c r="C902" s="750" t="s">
        <v>755</v>
      </c>
      <c r="D902" s="749" t="s">
        <v>475</v>
      </c>
      <c r="E902" s="749" t="s">
        <v>756</v>
      </c>
      <c r="F902" s="1008" t="s">
        <v>1285</v>
      </c>
      <c r="G902" s="1009"/>
      <c r="H902" s="751" t="s">
        <v>564</v>
      </c>
      <c r="I902" s="791">
        <v>2.8E-3</v>
      </c>
      <c r="J902" s="802">
        <v>464.34</v>
      </c>
      <c r="K902" s="779">
        <v>1.3</v>
      </c>
      <c r="L902" s="822">
        <v>462.35</v>
      </c>
      <c r="M902" s="753">
        <v>1.29</v>
      </c>
    </row>
    <row r="903" spans="2:13" ht="65.099999999999994" customHeight="1" x14ac:dyDescent="0.25">
      <c r="B903" s="765" t="s">
        <v>478</v>
      </c>
      <c r="C903" s="750" t="s">
        <v>757</v>
      </c>
      <c r="D903" s="749" t="s">
        <v>475</v>
      </c>
      <c r="E903" s="749" t="s">
        <v>758</v>
      </c>
      <c r="F903" s="1008" t="s">
        <v>1285</v>
      </c>
      <c r="G903" s="1009"/>
      <c r="H903" s="751" t="s">
        <v>592</v>
      </c>
      <c r="I903" s="791">
        <v>1.1999999999999999E-3</v>
      </c>
      <c r="J903" s="802">
        <v>93.9</v>
      </c>
      <c r="K903" s="779">
        <v>0.11</v>
      </c>
      <c r="L903" s="822">
        <v>91.91</v>
      </c>
      <c r="M903" s="753">
        <v>0.11</v>
      </c>
    </row>
    <row r="904" spans="2:13" x14ac:dyDescent="0.25">
      <c r="B904" s="823"/>
      <c r="C904" s="744"/>
      <c r="D904" s="744"/>
      <c r="E904" s="744"/>
      <c r="F904" s="744" t="s">
        <v>498</v>
      </c>
      <c r="G904" s="745">
        <v>0.1</v>
      </c>
      <c r="H904" s="744" t="s">
        <v>499</v>
      </c>
      <c r="I904" s="787">
        <v>0</v>
      </c>
      <c r="J904" s="823" t="s">
        <v>500</v>
      </c>
      <c r="K904" s="787">
        <v>0.1</v>
      </c>
      <c r="L904" s="744" t="s">
        <v>500</v>
      </c>
      <c r="M904" s="745">
        <v>0.08</v>
      </c>
    </row>
    <row r="905" spans="2:13" ht="14.25" customHeight="1" x14ac:dyDescent="0.25">
      <c r="B905" s="823"/>
      <c r="C905" s="744"/>
      <c r="D905" s="744"/>
      <c r="E905" s="744"/>
      <c r="F905" s="744" t="s">
        <v>501</v>
      </c>
      <c r="G905" s="745">
        <v>0.35</v>
      </c>
      <c r="H905" s="744"/>
      <c r="I905" s="812" t="s">
        <v>502</v>
      </c>
      <c r="J905" s="793"/>
      <c r="K905" s="787">
        <v>1.76</v>
      </c>
      <c r="L905" s="746"/>
      <c r="M905" s="745">
        <v>1.82</v>
      </c>
    </row>
    <row r="906" spans="2:13" ht="50.1" customHeight="1" thickBot="1" x14ac:dyDescent="0.3">
      <c r="B906" s="776"/>
      <c r="C906" s="747"/>
      <c r="D906" s="747"/>
      <c r="E906" s="747"/>
      <c r="F906" s="747"/>
      <c r="G906" s="747"/>
      <c r="H906" s="747" t="s">
        <v>503</v>
      </c>
      <c r="I906" s="806" t="s">
        <v>1544</v>
      </c>
      <c r="J906" s="776" t="s">
        <v>504</v>
      </c>
      <c r="K906" s="807">
        <v>1723.39</v>
      </c>
      <c r="L906" s="747" t="s">
        <v>504</v>
      </c>
      <c r="M906" s="748">
        <v>1782.14</v>
      </c>
    </row>
    <row r="907" spans="2:13" ht="16.5" thickTop="1" x14ac:dyDescent="0.25">
      <c r="B907" s="768"/>
      <c r="C907" s="757"/>
      <c r="D907" s="757"/>
      <c r="E907" s="757"/>
      <c r="F907" s="757"/>
      <c r="G907" s="757"/>
      <c r="H907" s="757"/>
      <c r="I907" s="766"/>
      <c r="J907" s="768"/>
      <c r="K907" s="766"/>
      <c r="L907" s="757"/>
      <c r="M907" s="757"/>
    </row>
    <row r="908" spans="2:13" ht="18" customHeight="1" x14ac:dyDescent="0.25">
      <c r="B908" s="805" t="s">
        <v>445</v>
      </c>
      <c r="C908" s="736" t="s">
        <v>391</v>
      </c>
      <c r="D908" s="735" t="s">
        <v>392</v>
      </c>
      <c r="E908" s="735" t="s">
        <v>42</v>
      </c>
      <c r="F908" s="1004" t="s">
        <v>39</v>
      </c>
      <c r="G908" s="1005"/>
      <c r="H908" s="738" t="s">
        <v>394</v>
      </c>
      <c r="I908" s="767" t="s">
        <v>395</v>
      </c>
      <c r="J908" s="808" t="s">
        <v>396</v>
      </c>
      <c r="K908" s="767" t="s">
        <v>0</v>
      </c>
      <c r="L908" s="782" t="s">
        <v>396</v>
      </c>
      <c r="M908" s="736" t="s">
        <v>0</v>
      </c>
    </row>
    <row r="909" spans="2:13" ht="51.95" customHeight="1" x14ac:dyDescent="0.25">
      <c r="B909" s="789" t="s">
        <v>473</v>
      </c>
      <c r="C909" s="740" t="s">
        <v>759</v>
      </c>
      <c r="D909" s="739" t="s">
        <v>475</v>
      </c>
      <c r="E909" s="739" t="s">
        <v>760</v>
      </c>
      <c r="F909" s="1010" t="s">
        <v>1289</v>
      </c>
      <c r="G909" s="1011"/>
      <c r="H909" s="742" t="s">
        <v>651</v>
      </c>
      <c r="I909" s="803">
        <v>1</v>
      </c>
      <c r="J909" s="799">
        <v>0.55000000000000004</v>
      </c>
      <c r="K909" s="814">
        <v>0.55000000000000004</v>
      </c>
      <c r="L909" s="778">
        <v>0.54</v>
      </c>
      <c r="M909" s="743">
        <v>0.54</v>
      </c>
    </row>
    <row r="910" spans="2:13" ht="65.099999999999994" customHeight="1" x14ac:dyDescent="0.25">
      <c r="B910" s="765" t="s">
        <v>478</v>
      </c>
      <c r="C910" s="750" t="s">
        <v>757</v>
      </c>
      <c r="D910" s="749" t="s">
        <v>475</v>
      </c>
      <c r="E910" s="749" t="s">
        <v>758</v>
      </c>
      <c r="F910" s="1008" t="s">
        <v>1285</v>
      </c>
      <c r="G910" s="1009"/>
      <c r="H910" s="751" t="s">
        <v>592</v>
      </c>
      <c r="I910" s="791">
        <v>5.0000000000000001E-4</v>
      </c>
      <c r="J910" s="802">
        <v>93.9</v>
      </c>
      <c r="K910" s="779">
        <v>0.04</v>
      </c>
      <c r="L910" s="822">
        <v>91.91</v>
      </c>
      <c r="M910" s="753">
        <v>0.04</v>
      </c>
    </row>
    <row r="911" spans="2:13" ht="65.099999999999994" customHeight="1" x14ac:dyDescent="0.25">
      <c r="B911" s="765" t="s">
        <v>478</v>
      </c>
      <c r="C911" s="750" t="s">
        <v>755</v>
      </c>
      <c r="D911" s="749" t="s">
        <v>475</v>
      </c>
      <c r="E911" s="749" t="s">
        <v>756</v>
      </c>
      <c r="F911" s="1008" t="s">
        <v>1285</v>
      </c>
      <c r="G911" s="1009"/>
      <c r="H911" s="751" t="s">
        <v>564</v>
      </c>
      <c r="I911" s="791">
        <v>1.1000000000000001E-3</v>
      </c>
      <c r="J911" s="802">
        <v>464.34</v>
      </c>
      <c r="K911" s="779">
        <v>0.51</v>
      </c>
      <c r="L911" s="822">
        <v>462.35</v>
      </c>
      <c r="M911" s="753">
        <v>0.5</v>
      </c>
    </row>
    <row r="912" spans="2:13" x14ac:dyDescent="0.25">
      <c r="B912" s="823"/>
      <c r="C912" s="744"/>
      <c r="D912" s="744"/>
      <c r="E912" s="744"/>
      <c r="F912" s="744" t="s">
        <v>498</v>
      </c>
      <c r="G912" s="745">
        <v>0.03</v>
      </c>
      <c r="H912" s="744" t="s">
        <v>499</v>
      </c>
      <c r="I912" s="787">
        <v>0</v>
      </c>
      <c r="J912" s="823" t="s">
        <v>500</v>
      </c>
      <c r="K912" s="787">
        <v>0.03</v>
      </c>
      <c r="L912" s="744" t="s">
        <v>500</v>
      </c>
      <c r="M912" s="745">
        <v>0.03</v>
      </c>
    </row>
    <row r="913" spans="2:13" ht="14.25" customHeight="1" x14ac:dyDescent="0.25">
      <c r="B913" s="823"/>
      <c r="C913" s="744"/>
      <c r="D913" s="744"/>
      <c r="E913" s="744"/>
      <c r="F913" s="744" t="s">
        <v>501</v>
      </c>
      <c r="G913" s="745">
        <v>0.13</v>
      </c>
      <c r="H913" s="744"/>
      <c r="I913" s="812" t="s">
        <v>502</v>
      </c>
      <c r="J913" s="793"/>
      <c r="K913" s="787">
        <v>0.68</v>
      </c>
      <c r="L913" s="746"/>
      <c r="M913" s="745">
        <v>0.7</v>
      </c>
    </row>
    <row r="914" spans="2:13" ht="50.1" customHeight="1" thickBot="1" x14ac:dyDescent="0.3">
      <c r="B914" s="776"/>
      <c r="C914" s="747"/>
      <c r="D914" s="747"/>
      <c r="E914" s="747"/>
      <c r="F914" s="747"/>
      <c r="G914" s="747"/>
      <c r="H914" s="747" t="s">
        <v>503</v>
      </c>
      <c r="I914" s="806" t="s">
        <v>1545</v>
      </c>
      <c r="J914" s="776" t="s">
        <v>504</v>
      </c>
      <c r="K914" s="807">
        <v>6836.12</v>
      </c>
      <c r="L914" s="747" t="s">
        <v>504</v>
      </c>
      <c r="M914" s="748">
        <v>7037.18</v>
      </c>
    </row>
    <row r="915" spans="2:13" ht="16.5" thickTop="1" x14ac:dyDescent="0.25">
      <c r="B915" s="768"/>
      <c r="C915" s="757"/>
      <c r="D915" s="757"/>
      <c r="E915" s="757"/>
      <c r="F915" s="757"/>
      <c r="G915" s="757"/>
      <c r="H915" s="757"/>
      <c r="I915" s="766"/>
      <c r="J915" s="768"/>
      <c r="K915" s="766"/>
      <c r="L915" s="757"/>
      <c r="M915" s="757"/>
    </row>
    <row r="916" spans="2:13" ht="18" customHeight="1" x14ac:dyDescent="0.25">
      <c r="B916" s="805" t="s">
        <v>446</v>
      </c>
      <c r="C916" s="736" t="s">
        <v>391</v>
      </c>
      <c r="D916" s="735" t="s">
        <v>392</v>
      </c>
      <c r="E916" s="735" t="s">
        <v>42</v>
      </c>
      <c r="F916" s="1004" t="s">
        <v>39</v>
      </c>
      <c r="G916" s="1005"/>
      <c r="H916" s="738" t="s">
        <v>394</v>
      </c>
      <c r="I916" s="767" t="s">
        <v>395</v>
      </c>
      <c r="J916" s="808" t="s">
        <v>396</v>
      </c>
      <c r="K916" s="767" t="s">
        <v>0</v>
      </c>
      <c r="L916" s="782" t="s">
        <v>396</v>
      </c>
      <c r="M916" s="736" t="s">
        <v>0</v>
      </c>
    </row>
    <row r="917" spans="2:13" ht="31.5" x14ac:dyDescent="0.25">
      <c r="B917" s="789" t="s">
        <v>473</v>
      </c>
      <c r="C917" s="740" t="s">
        <v>761</v>
      </c>
      <c r="D917" s="739" t="s">
        <v>509</v>
      </c>
      <c r="E917" s="739" t="s">
        <v>762</v>
      </c>
      <c r="F917" s="1010" t="s">
        <v>477</v>
      </c>
      <c r="G917" s="1011"/>
      <c r="H917" s="742" t="s">
        <v>1</v>
      </c>
      <c r="I917" s="803">
        <v>1</v>
      </c>
      <c r="J917" s="799">
        <v>0.98</v>
      </c>
      <c r="K917" s="814">
        <v>0.98</v>
      </c>
      <c r="L917" s="778">
        <v>0.95</v>
      </c>
      <c r="M917" s="743">
        <v>0.95</v>
      </c>
    </row>
    <row r="918" spans="2:13" ht="31.5" x14ac:dyDescent="0.25">
      <c r="B918" s="765" t="s">
        <v>478</v>
      </c>
      <c r="C918" s="750" t="s">
        <v>740</v>
      </c>
      <c r="D918" s="749" t="s">
        <v>475</v>
      </c>
      <c r="E918" s="749" t="s">
        <v>741</v>
      </c>
      <c r="F918" s="1008" t="s">
        <v>1285</v>
      </c>
      <c r="G918" s="1009"/>
      <c r="H918" s="751" t="s">
        <v>592</v>
      </c>
      <c r="I918" s="791">
        <v>3.8E-3</v>
      </c>
      <c r="J918" s="802">
        <v>47.5</v>
      </c>
      <c r="K918" s="779">
        <v>0.18</v>
      </c>
      <c r="L918" s="822">
        <v>45.6</v>
      </c>
      <c r="M918" s="753">
        <v>0.17</v>
      </c>
    </row>
    <row r="919" spans="2:13" ht="65.099999999999994" customHeight="1" x14ac:dyDescent="0.25">
      <c r="B919" s="765" t="s">
        <v>478</v>
      </c>
      <c r="C919" s="750" t="s">
        <v>748</v>
      </c>
      <c r="D919" s="749" t="s">
        <v>475</v>
      </c>
      <c r="E919" s="749" t="s">
        <v>1312</v>
      </c>
      <c r="F919" s="1008" t="s">
        <v>1285</v>
      </c>
      <c r="G919" s="1009"/>
      <c r="H919" s="751" t="s">
        <v>564</v>
      </c>
      <c r="I919" s="791">
        <v>4.0000000000000002E-4</v>
      </c>
      <c r="J919" s="802">
        <v>268.99</v>
      </c>
      <c r="K919" s="779">
        <v>0.1</v>
      </c>
      <c r="L919" s="822">
        <v>267.39</v>
      </c>
      <c r="M919" s="753">
        <v>0.1</v>
      </c>
    </row>
    <row r="920" spans="2:13" ht="24" customHeight="1" x14ac:dyDescent="0.25">
      <c r="B920" s="765" t="s">
        <v>478</v>
      </c>
      <c r="C920" s="750" t="s">
        <v>485</v>
      </c>
      <c r="D920" s="749" t="s">
        <v>475</v>
      </c>
      <c r="E920" s="749" t="s">
        <v>486</v>
      </c>
      <c r="F920" s="1008" t="s">
        <v>1268</v>
      </c>
      <c r="G920" s="1009"/>
      <c r="H920" s="751" t="s">
        <v>484</v>
      </c>
      <c r="I920" s="791">
        <v>5.4999999999999997E-3</v>
      </c>
      <c r="J920" s="802">
        <v>22.76</v>
      </c>
      <c r="K920" s="779">
        <v>0.12</v>
      </c>
      <c r="L920" s="822">
        <v>21.55</v>
      </c>
      <c r="M920" s="753">
        <v>0.11</v>
      </c>
    </row>
    <row r="921" spans="2:13" ht="31.5" x14ac:dyDescent="0.25">
      <c r="B921" s="765" t="s">
        <v>478</v>
      </c>
      <c r="C921" s="750" t="s">
        <v>738</v>
      </c>
      <c r="D921" s="749" t="s">
        <v>475</v>
      </c>
      <c r="E921" s="749" t="s">
        <v>739</v>
      </c>
      <c r="F921" s="1008" t="s">
        <v>1285</v>
      </c>
      <c r="G921" s="1009"/>
      <c r="H921" s="751" t="s">
        <v>564</v>
      </c>
      <c r="I921" s="791">
        <v>1.6999999999999999E-3</v>
      </c>
      <c r="J921" s="802">
        <v>128.85</v>
      </c>
      <c r="K921" s="779">
        <v>0.21</v>
      </c>
      <c r="L921" s="822">
        <v>126.95</v>
      </c>
      <c r="M921" s="753">
        <v>0.21</v>
      </c>
    </row>
    <row r="922" spans="2:13" ht="39" customHeight="1" x14ac:dyDescent="0.25">
      <c r="B922" s="765" t="s">
        <v>478</v>
      </c>
      <c r="C922" s="750" t="s">
        <v>751</v>
      </c>
      <c r="D922" s="749" t="s">
        <v>475</v>
      </c>
      <c r="E922" s="749" t="s">
        <v>752</v>
      </c>
      <c r="F922" s="1008" t="s">
        <v>1285</v>
      </c>
      <c r="G922" s="1009"/>
      <c r="H922" s="751" t="s">
        <v>592</v>
      </c>
      <c r="I922" s="791">
        <v>4.0000000000000001E-3</v>
      </c>
      <c r="J922" s="802">
        <v>4.68</v>
      </c>
      <c r="K922" s="779">
        <v>0.01</v>
      </c>
      <c r="L922" s="822">
        <v>4.68</v>
      </c>
      <c r="M922" s="753">
        <v>0.01</v>
      </c>
    </row>
    <row r="923" spans="2:13" ht="39" customHeight="1" x14ac:dyDescent="0.25">
      <c r="B923" s="765" t="s">
        <v>478</v>
      </c>
      <c r="C923" s="750" t="s">
        <v>749</v>
      </c>
      <c r="D923" s="749" t="s">
        <v>475</v>
      </c>
      <c r="E923" s="749" t="s">
        <v>750</v>
      </c>
      <c r="F923" s="1008" t="s">
        <v>1285</v>
      </c>
      <c r="G923" s="1009"/>
      <c r="H923" s="751" t="s">
        <v>564</v>
      </c>
      <c r="I923" s="791">
        <v>2E-3</v>
      </c>
      <c r="J923" s="802">
        <v>9.31</v>
      </c>
      <c r="K923" s="779">
        <v>0.01</v>
      </c>
      <c r="L923" s="822">
        <v>9.31</v>
      </c>
      <c r="M923" s="753">
        <v>0.01</v>
      </c>
    </row>
    <row r="924" spans="2:13" ht="65.099999999999994" customHeight="1" x14ac:dyDescent="0.25">
      <c r="B924" s="765" t="s">
        <v>478</v>
      </c>
      <c r="C924" s="750" t="s">
        <v>747</v>
      </c>
      <c r="D924" s="749" t="s">
        <v>475</v>
      </c>
      <c r="E924" s="749" t="s">
        <v>1311</v>
      </c>
      <c r="F924" s="1008" t="s">
        <v>1285</v>
      </c>
      <c r="G924" s="1009"/>
      <c r="H924" s="751" t="s">
        <v>592</v>
      </c>
      <c r="I924" s="791">
        <v>5.1000000000000004E-3</v>
      </c>
      <c r="J924" s="802">
        <v>69.3</v>
      </c>
      <c r="K924" s="779">
        <v>0.35</v>
      </c>
      <c r="L924" s="822">
        <v>67.7</v>
      </c>
      <c r="M924" s="753">
        <v>0.34</v>
      </c>
    </row>
    <row r="925" spans="2:13" x14ac:dyDescent="0.25">
      <c r="B925" s="823"/>
      <c r="C925" s="744"/>
      <c r="D925" s="744"/>
      <c r="E925" s="744"/>
      <c r="F925" s="744" t="s">
        <v>498</v>
      </c>
      <c r="G925" s="745">
        <v>0.31</v>
      </c>
      <c r="H925" s="744" t="s">
        <v>499</v>
      </c>
      <c r="I925" s="787">
        <v>0</v>
      </c>
      <c r="J925" s="823" t="s">
        <v>500</v>
      </c>
      <c r="K925" s="787">
        <v>0.31</v>
      </c>
      <c r="L925" s="744" t="s">
        <v>500</v>
      </c>
      <c r="M925" s="745">
        <v>0.28999999999999998</v>
      </c>
    </row>
    <row r="926" spans="2:13" ht="14.25" customHeight="1" x14ac:dyDescent="0.25">
      <c r="B926" s="823"/>
      <c r="C926" s="744"/>
      <c r="D926" s="744"/>
      <c r="E926" s="744"/>
      <c r="F926" s="744" t="s">
        <v>501</v>
      </c>
      <c r="G926" s="745">
        <v>0.24</v>
      </c>
      <c r="H926" s="744"/>
      <c r="I926" s="812" t="s">
        <v>502</v>
      </c>
      <c r="J926" s="793"/>
      <c r="K926" s="787">
        <v>1.22</v>
      </c>
      <c r="L926" s="746"/>
      <c r="M926" s="745">
        <v>1.24</v>
      </c>
    </row>
    <row r="927" spans="2:13" ht="50.1" customHeight="1" thickBot="1" x14ac:dyDescent="0.3">
      <c r="B927" s="776"/>
      <c r="C927" s="747"/>
      <c r="D927" s="747"/>
      <c r="E927" s="747"/>
      <c r="F927" s="747"/>
      <c r="G927" s="747"/>
      <c r="H927" s="747" t="s">
        <v>503</v>
      </c>
      <c r="I927" s="806" t="s">
        <v>1542</v>
      </c>
      <c r="J927" s="776" t="s">
        <v>504</v>
      </c>
      <c r="K927" s="807">
        <v>33192.629999999997</v>
      </c>
      <c r="L927" s="747" t="s">
        <v>504</v>
      </c>
      <c r="M927" s="748">
        <v>33736.769999999997</v>
      </c>
    </row>
    <row r="928" spans="2:13" ht="16.5" thickTop="1" x14ac:dyDescent="0.25">
      <c r="B928" s="768"/>
      <c r="C928" s="757"/>
      <c r="D928" s="757"/>
      <c r="E928" s="757"/>
      <c r="F928" s="757"/>
      <c r="G928" s="757"/>
      <c r="H928" s="757"/>
      <c r="I928" s="766"/>
      <c r="J928" s="768"/>
      <c r="K928" s="766"/>
      <c r="L928" s="757"/>
      <c r="M928" s="757"/>
    </row>
    <row r="929" spans="2:13" ht="18" customHeight="1" x14ac:dyDescent="0.25">
      <c r="B929" s="805" t="s">
        <v>1458</v>
      </c>
      <c r="C929" s="736" t="s">
        <v>391</v>
      </c>
      <c r="D929" s="735" t="s">
        <v>392</v>
      </c>
      <c r="E929" s="735" t="s">
        <v>42</v>
      </c>
      <c r="F929" s="1004" t="s">
        <v>39</v>
      </c>
      <c r="G929" s="1005"/>
      <c r="H929" s="738" t="s">
        <v>394</v>
      </c>
      <c r="I929" s="767" t="s">
        <v>395</v>
      </c>
      <c r="J929" s="808" t="s">
        <v>396</v>
      </c>
      <c r="K929" s="767" t="s">
        <v>0</v>
      </c>
      <c r="L929" s="782" t="s">
        <v>396</v>
      </c>
      <c r="M929" s="736" t="s">
        <v>0</v>
      </c>
    </row>
    <row r="930" spans="2:13" ht="31.5" x14ac:dyDescent="0.25">
      <c r="B930" s="797" t="s">
        <v>487</v>
      </c>
      <c r="C930" s="758" t="s">
        <v>1572</v>
      </c>
      <c r="D930" s="619" t="s">
        <v>509</v>
      </c>
      <c r="E930" s="619" t="s">
        <v>1441</v>
      </c>
      <c r="F930" s="1006" t="s">
        <v>490</v>
      </c>
      <c r="G930" s="1007"/>
      <c r="H930" s="718" t="s">
        <v>116</v>
      </c>
      <c r="I930" s="786">
        <v>1</v>
      </c>
      <c r="J930" s="770">
        <v>3700</v>
      </c>
      <c r="K930" s="774">
        <v>3700</v>
      </c>
      <c r="L930" s="811">
        <v>3700</v>
      </c>
      <c r="M930" s="760">
        <v>3700</v>
      </c>
    </row>
    <row r="931" spans="2:13" x14ac:dyDescent="0.25">
      <c r="B931" s="823"/>
      <c r="C931" s="744"/>
      <c r="D931" s="744"/>
      <c r="E931" s="744"/>
      <c r="F931" s="744" t="s">
        <v>498</v>
      </c>
      <c r="G931" s="745">
        <v>0</v>
      </c>
      <c r="H931" s="744" t="s">
        <v>499</v>
      </c>
      <c r="I931" s="787">
        <v>0</v>
      </c>
      <c r="J931" s="823" t="s">
        <v>500</v>
      </c>
      <c r="K931" s="787">
        <v>0</v>
      </c>
      <c r="L931" s="744" t="s">
        <v>500</v>
      </c>
      <c r="M931" s="745">
        <v>0</v>
      </c>
    </row>
    <row r="932" spans="2:13" ht="14.25" customHeight="1" x14ac:dyDescent="0.25">
      <c r="B932" s="823"/>
      <c r="C932" s="744"/>
      <c r="D932" s="744"/>
      <c r="E932" s="744"/>
      <c r="F932" s="744" t="s">
        <v>501</v>
      </c>
      <c r="G932" s="745"/>
      <c r="H932" s="744"/>
      <c r="I932" s="812" t="s">
        <v>502</v>
      </c>
      <c r="J932" s="793"/>
      <c r="K932" s="787">
        <v>4596.51</v>
      </c>
      <c r="L932" s="746"/>
      <c r="M932" s="745">
        <v>4474.04</v>
      </c>
    </row>
    <row r="933" spans="2:13" ht="50.1" customHeight="1" thickBot="1" x14ac:dyDescent="0.3">
      <c r="B933" s="776"/>
      <c r="C933" s="747"/>
      <c r="D933" s="747"/>
      <c r="E933" s="747"/>
      <c r="F933" s="747"/>
      <c r="G933" s="747"/>
      <c r="H933" s="747" t="s">
        <v>503</v>
      </c>
      <c r="I933" s="806" t="s">
        <v>1546</v>
      </c>
      <c r="J933" s="776" t="s">
        <v>504</v>
      </c>
      <c r="K933" s="807">
        <v>56261.279999999999</v>
      </c>
      <c r="L933" s="747" t="s">
        <v>504</v>
      </c>
      <c r="M933" s="748">
        <v>54762.239999999998</v>
      </c>
    </row>
    <row r="934" spans="2:13" ht="16.5" thickTop="1" x14ac:dyDescent="0.25">
      <c r="B934" s="768"/>
      <c r="C934" s="757"/>
      <c r="D934" s="757"/>
      <c r="E934" s="757"/>
      <c r="F934" s="757"/>
      <c r="G934" s="757"/>
      <c r="H934" s="757"/>
      <c r="I934" s="766"/>
      <c r="J934" s="768"/>
      <c r="K934" s="766"/>
      <c r="L934" s="757"/>
      <c r="M934" s="757"/>
    </row>
    <row r="935" spans="2:13" ht="18" customHeight="1" x14ac:dyDescent="0.25">
      <c r="B935" s="805" t="s">
        <v>447</v>
      </c>
      <c r="C935" s="736" t="s">
        <v>391</v>
      </c>
      <c r="D935" s="735" t="s">
        <v>392</v>
      </c>
      <c r="E935" s="735" t="s">
        <v>42</v>
      </c>
      <c r="F935" s="1004" t="s">
        <v>39</v>
      </c>
      <c r="G935" s="1005"/>
      <c r="H935" s="738" t="s">
        <v>394</v>
      </c>
      <c r="I935" s="767" t="s">
        <v>395</v>
      </c>
      <c r="J935" s="808" t="s">
        <v>396</v>
      </c>
      <c r="K935" s="767" t="s">
        <v>0</v>
      </c>
      <c r="L935" s="782" t="s">
        <v>396</v>
      </c>
      <c r="M935" s="736" t="s">
        <v>0</v>
      </c>
    </row>
    <row r="936" spans="2:13" ht="47.25" x14ac:dyDescent="0.25">
      <c r="B936" s="789" t="s">
        <v>473</v>
      </c>
      <c r="C936" s="740" t="s">
        <v>753</v>
      </c>
      <c r="D936" s="739" t="s">
        <v>475</v>
      </c>
      <c r="E936" s="739" t="s">
        <v>754</v>
      </c>
      <c r="F936" s="1010" t="s">
        <v>1289</v>
      </c>
      <c r="G936" s="1011"/>
      <c r="H936" s="742" t="s">
        <v>651</v>
      </c>
      <c r="I936" s="803">
        <v>1</v>
      </c>
      <c r="J936" s="799">
        <v>1.41</v>
      </c>
      <c r="K936" s="814">
        <v>1.41</v>
      </c>
      <c r="L936" s="778">
        <v>1.4</v>
      </c>
      <c r="M936" s="743">
        <v>1.4</v>
      </c>
    </row>
    <row r="937" spans="2:13" ht="65.099999999999994" customHeight="1" x14ac:dyDescent="0.25">
      <c r="B937" s="765" t="s">
        <v>478</v>
      </c>
      <c r="C937" s="750" t="s">
        <v>755</v>
      </c>
      <c r="D937" s="749" t="s">
        <v>475</v>
      </c>
      <c r="E937" s="749" t="s">
        <v>756</v>
      </c>
      <c r="F937" s="1008" t="s">
        <v>1285</v>
      </c>
      <c r="G937" s="1009"/>
      <c r="H937" s="751" t="s">
        <v>564</v>
      </c>
      <c r="I937" s="791">
        <v>2.8E-3</v>
      </c>
      <c r="J937" s="802">
        <v>464.34</v>
      </c>
      <c r="K937" s="779">
        <v>1.3</v>
      </c>
      <c r="L937" s="822">
        <v>462.35</v>
      </c>
      <c r="M937" s="753">
        <v>1.29</v>
      </c>
    </row>
    <row r="938" spans="2:13" ht="65.099999999999994" customHeight="1" x14ac:dyDescent="0.25">
      <c r="B938" s="765" t="s">
        <v>478</v>
      </c>
      <c r="C938" s="750" t="s">
        <v>757</v>
      </c>
      <c r="D938" s="749" t="s">
        <v>475</v>
      </c>
      <c r="E938" s="749" t="s">
        <v>758</v>
      </c>
      <c r="F938" s="1008" t="s">
        <v>1285</v>
      </c>
      <c r="G938" s="1009"/>
      <c r="H938" s="751" t="s">
        <v>592</v>
      </c>
      <c r="I938" s="791">
        <v>1.1999999999999999E-3</v>
      </c>
      <c r="J938" s="802">
        <v>93.9</v>
      </c>
      <c r="K938" s="779">
        <v>0.11</v>
      </c>
      <c r="L938" s="822">
        <v>91.91</v>
      </c>
      <c r="M938" s="753">
        <v>0.11</v>
      </c>
    </row>
    <row r="939" spans="2:13" x14ac:dyDescent="0.25">
      <c r="B939" s="823"/>
      <c r="C939" s="744"/>
      <c r="D939" s="744"/>
      <c r="E939" s="744"/>
      <c r="F939" s="744" t="s">
        <v>498</v>
      </c>
      <c r="G939" s="745">
        <v>0.1</v>
      </c>
      <c r="H939" s="744" t="s">
        <v>499</v>
      </c>
      <c r="I939" s="787">
        <v>0</v>
      </c>
      <c r="J939" s="823" t="s">
        <v>500</v>
      </c>
      <c r="K939" s="787">
        <v>0.1</v>
      </c>
      <c r="L939" s="744" t="s">
        <v>500</v>
      </c>
      <c r="M939" s="745">
        <v>0.08</v>
      </c>
    </row>
    <row r="940" spans="2:13" ht="14.25" customHeight="1" x14ac:dyDescent="0.25">
      <c r="B940" s="823"/>
      <c r="C940" s="744"/>
      <c r="D940" s="744"/>
      <c r="E940" s="744"/>
      <c r="F940" s="744" t="s">
        <v>501</v>
      </c>
      <c r="G940" s="745">
        <v>0.35</v>
      </c>
      <c r="H940" s="744"/>
      <c r="I940" s="812" t="s">
        <v>502</v>
      </c>
      <c r="J940" s="793"/>
      <c r="K940" s="787">
        <v>1.76</v>
      </c>
      <c r="L940" s="746"/>
      <c r="M940" s="745">
        <v>1.82</v>
      </c>
    </row>
    <row r="941" spans="2:13" ht="50.1" customHeight="1" thickBot="1" x14ac:dyDescent="0.3">
      <c r="B941" s="776"/>
      <c r="C941" s="747"/>
      <c r="D941" s="747"/>
      <c r="E941" s="747"/>
      <c r="F941" s="747"/>
      <c r="G941" s="747"/>
      <c r="H941" s="747" t="s">
        <v>503</v>
      </c>
      <c r="I941" s="806" t="s">
        <v>1547</v>
      </c>
      <c r="J941" s="776" t="s">
        <v>504</v>
      </c>
      <c r="K941" s="807">
        <v>646.27</v>
      </c>
      <c r="L941" s="747" t="s">
        <v>504</v>
      </c>
      <c r="M941" s="748">
        <v>668.3</v>
      </c>
    </row>
    <row r="942" spans="2:13" ht="16.5" thickTop="1" x14ac:dyDescent="0.25">
      <c r="B942" s="768"/>
      <c r="C942" s="757"/>
      <c r="D942" s="757"/>
      <c r="E942" s="757"/>
      <c r="F942" s="757"/>
      <c r="G942" s="757"/>
      <c r="H942" s="757"/>
      <c r="I942" s="766"/>
      <c r="J942" s="768"/>
      <c r="K942" s="766"/>
      <c r="L942" s="757"/>
      <c r="M942" s="757"/>
    </row>
    <row r="943" spans="2:13" ht="18" customHeight="1" x14ac:dyDescent="0.25">
      <c r="B943" s="805" t="s">
        <v>448</v>
      </c>
      <c r="C943" s="736" t="s">
        <v>391</v>
      </c>
      <c r="D943" s="735" t="s">
        <v>392</v>
      </c>
      <c r="E943" s="735" t="s">
        <v>42</v>
      </c>
      <c r="F943" s="1004" t="s">
        <v>39</v>
      </c>
      <c r="G943" s="1005"/>
      <c r="H943" s="738" t="s">
        <v>394</v>
      </c>
      <c r="I943" s="767" t="s">
        <v>395</v>
      </c>
      <c r="J943" s="808" t="s">
        <v>396</v>
      </c>
      <c r="K943" s="767" t="s">
        <v>0</v>
      </c>
      <c r="L943" s="782" t="s">
        <v>396</v>
      </c>
      <c r="M943" s="736" t="s">
        <v>0</v>
      </c>
    </row>
    <row r="944" spans="2:13" ht="51.95" customHeight="1" x14ac:dyDescent="0.25">
      <c r="B944" s="789" t="s">
        <v>473</v>
      </c>
      <c r="C944" s="740" t="s">
        <v>759</v>
      </c>
      <c r="D944" s="739" t="s">
        <v>475</v>
      </c>
      <c r="E944" s="739" t="s">
        <v>760</v>
      </c>
      <c r="F944" s="1010" t="s">
        <v>1289</v>
      </c>
      <c r="G944" s="1011"/>
      <c r="H944" s="742" t="s">
        <v>651</v>
      </c>
      <c r="I944" s="803">
        <v>1</v>
      </c>
      <c r="J944" s="799">
        <v>0.55000000000000004</v>
      </c>
      <c r="K944" s="814">
        <v>0.55000000000000004</v>
      </c>
      <c r="L944" s="778">
        <v>0.54</v>
      </c>
      <c r="M944" s="743">
        <v>0.54</v>
      </c>
    </row>
    <row r="945" spans="2:13" ht="65.099999999999994" customHeight="1" x14ac:dyDescent="0.25">
      <c r="B945" s="765" t="s">
        <v>478</v>
      </c>
      <c r="C945" s="750" t="s">
        <v>757</v>
      </c>
      <c r="D945" s="749" t="s">
        <v>475</v>
      </c>
      <c r="E945" s="749" t="s">
        <v>758</v>
      </c>
      <c r="F945" s="1008" t="s">
        <v>1285</v>
      </c>
      <c r="G945" s="1009"/>
      <c r="H945" s="751" t="s">
        <v>592</v>
      </c>
      <c r="I945" s="791">
        <v>5.0000000000000001E-4</v>
      </c>
      <c r="J945" s="802">
        <v>93.9</v>
      </c>
      <c r="K945" s="779">
        <v>0.04</v>
      </c>
      <c r="L945" s="822">
        <v>91.91</v>
      </c>
      <c r="M945" s="753">
        <v>0.04</v>
      </c>
    </row>
    <row r="946" spans="2:13" ht="65.099999999999994" customHeight="1" x14ac:dyDescent="0.25">
      <c r="B946" s="765" t="s">
        <v>478</v>
      </c>
      <c r="C946" s="750" t="s">
        <v>755</v>
      </c>
      <c r="D946" s="749" t="s">
        <v>475</v>
      </c>
      <c r="E946" s="749" t="s">
        <v>756</v>
      </c>
      <c r="F946" s="1008" t="s">
        <v>1285</v>
      </c>
      <c r="G946" s="1009"/>
      <c r="H946" s="751" t="s">
        <v>564</v>
      </c>
      <c r="I946" s="791">
        <v>1.1000000000000001E-3</v>
      </c>
      <c r="J946" s="802">
        <v>464.34</v>
      </c>
      <c r="K946" s="779">
        <v>0.51</v>
      </c>
      <c r="L946" s="822">
        <v>462.35</v>
      </c>
      <c r="M946" s="753">
        <v>0.5</v>
      </c>
    </row>
    <row r="947" spans="2:13" x14ac:dyDescent="0.25">
      <c r="B947" s="823"/>
      <c r="C947" s="744"/>
      <c r="D947" s="744"/>
      <c r="E947" s="744"/>
      <c r="F947" s="744" t="s">
        <v>498</v>
      </c>
      <c r="G947" s="745">
        <v>0.03</v>
      </c>
      <c r="H947" s="744" t="s">
        <v>499</v>
      </c>
      <c r="I947" s="787">
        <v>0</v>
      </c>
      <c r="J947" s="823" t="s">
        <v>500</v>
      </c>
      <c r="K947" s="787">
        <v>0.03</v>
      </c>
      <c r="L947" s="744" t="s">
        <v>500</v>
      </c>
      <c r="M947" s="745">
        <v>0.03</v>
      </c>
    </row>
    <row r="948" spans="2:13" ht="14.25" customHeight="1" x14ac:dyDescent="0.25">
      <c r="B948" s="823"/>
      <c r="C948" s="744"/>
      <c r="D948" s="744"/>
      <c r="E948" s="744"/>
      <c r="F948" s="744" t="s">
        <v>501</v>
      </c>
      <c r="G948" s="745">
        <v>0.13</v>
      </c>
      <c r="H948" s="744"/>
      <c r="I948" s="812" t="s">
        <v>502</v>
      </c>
      <c r="J948" s="793"/>
      <c r="K948" s="787">
        <v>0.68</v>
      </c>
      <c r="L948" s="746"/>
      <c r="M948" s="745">
        <v>0.7</v>
      </c>
    </row>
    <row r="949" spans="2:13" ht="50.1" customHeight="1" thickBot="1" x14ac:dyDescent="0.3">
      <c r="B949" s="776"/>
      <c r="C949" s="747"/>
      <c r="D949" s="747"/>
      <c r="E949" s="747"/>
      <c r="F949" s="747"/>
      <c r="G949" s="747"/>
      <c r="H949" s="747" t="s">
        <v>503</v>
      </c>
      <c r="I949" s="806" t="s">
        <v>1548</v>
      </c>
      <c r="J949" s="776" t="s">
        <v>504</v>
      </c>
      <c r="K949" s="807">
        <v>2563.54</v>
      </c>
      <c r="L949" s="747" t="s">
        <v>504</v>
      </c>
      <c r="M949" s="748">
        <v>2638.94</v>
      </c>
    </row>
    <row r="950" spans="2:13" ht="16.5" thickTop="1" x14ac:dyDescent="0.25">
      <c r="B950" s="768"/>
      <c r="C950" s="757"/>
      <c r="D950" s="757"/>
      <c r="E950" s="757"/>
      <c r="F950" s="757"/>
      <c r="G950" s="757"/>
      <c r="H950" s="757"/>
      <c r="I950" s="766"/>
      <c r="J950" s="768"/>
      <c r="K950" s="766"/>
      <c r="L950" s="757"/>
      <c r="M950" s="757"/>
    </row>
    <row r="951" spans="2:13" ht="18" customHeight="1" x14ac:dyDescent="0.25">
      <c r="B951" s="805" t="s">
        <v>449</v>
      </c>
      <c r="C951" s="736" t="s">
        <v>391</v>
      </c>
      <c r="D951" s="735" t="s">
        <v>392</v>
      </c>
      <c r="E951" s="735" t="s">
        <v>42</v>
      </c>
      <c r="F951" s="1004" t="s">
        <v>39</v>
      </c>
      <c r="G951" s="1005"/>
      <c r="H951" s="738" t="s">
        <v>394</v>
      </c>
      <c r="I951" s="767" t="s">
        <v>395</v>
      </c>
      <c r="J951" s="808" t="s">
        <v>396</v>
      </c>
      <c r="K951" s="767" t="s">
        <v>0</v>
      </c>
      <c r="L951" s="782" t="s">
        <v>396</v>
      </c>
      <c r="M951" s="736" t="s">
        <v>0</v>
      </c>
    </row>
    <row r="952" spans="2:13" ht="47.25" x14ac:dyDescent="0.25">
      <c r="B952" s="789" t="s">
        <v>473</v>
      </c>
      <c r="C952" s="740" t="s">
        <v>763</v>
      </c>
      <c r="D952" s="739" t="s">
        <v>509</v>
      </c>
      <c r="E952" s="739" t="s">
        <v>764</v>
      </c>
      <c r="F952" s="1010" t="s">
        <v>477</v>
      </c>
      <c r="G952" s="1011"/>
      <c r="H952" s="742" t="s">
        <v>2</v>
      </c>
      <c r="I952" s="803">
        <v>1</v>
      </c>
      <c r="J952" s="799">
        <v>1737.71</v>
      </c>
      <c r="K952" s="814">
        <v>1737.71</v>
      </c>
      <c r="L952" s="778">
        <v>1735.02</v>
      </c>
      <c r="M952" s="743">
        <v>1735.02</v>
      </c>
    </row>
    <row r="953" spans="2:13" ht="51.95" customHeight="1" x14ac:dyDescent="0.25">
      <c r="B953" s="765" t="s">
        <v>478</v>
      </c>
      <c r="C953" s="750" t="s">
        <v>729</v>
      </c>
      <c r="D953" s="749" t="s">
        <v>475</v>
      </c>
      <c r="E953" s="749" t="s">
        <v>1201</v>
      </c>
      <c r="F953" s="1008" t="s">
        <v>1285</v>
      </c>
      <c r="G953" s="1009"/>
      <c r="H953" s="751" t="s">
        <v>564</v>
      </c>
      <c r="I953" s="791">
        <v>4.19E-2</v>
      </c>
      <c r="J953" s="802">
        <v>218.59</v>
      </c>
      <c r="K953" s="779">
        <v>9.15</v>
      </c>
      <c r="L953" s="822">
        <v>216.89</v>
      </c>
      <c r="M953" s="753">
        <v>9.08</v>
      </c>
    </row>
    <row r="954" spans="2:13" ht="47.25" x14ac:dyDescent="0.25">
      <c r="B954" s="765" t="s">
        <v>478</v>
      </c>
      <c r="C954" s="750" t="s">
        <v>773</v>
      </c>
      <c r="D954" s="749" t="s">
        <v>475</v>
      </c>
      <c r="E954" s="749" t="s">
        <v>774</v>
      </c>
      <c r="F954" s="1008" t="s">
        <v>1285</v>
      </c>
      <c r="G954" s="1009"/>
      <c r="H954" s="751" t="s">
        <v>592</v>
      </c>
      <c r="I954" s="791">
        <v>6.0699999999999997E-2</v>
      </c>
      <c r="J954" s="802">
        <v>85.83</v>
      </c>
      <c r="K954" s="779">
        <v>5.2</v>
      </c>
      <c r="L954" s="822">
        <v>84.13</v>
      </c>
      <c r="M954" s="753">
        <v>5.0999999999999996</v>
      </c>
    </row>
    <row r="955" spans="2:13" ht="51.95" customHeight="1" x14ac:dyDescent="0.25">
      <c r="B955" s="765" t="s">
        <v>478</v>
      </c>
      <c r="C955" s="750" t="s">
        <v>730</v>
      </c>
      <c r="D955" s="749" t="s">
        <v>475</v>
      </c>
      <c r="E955" s="749" t="s">
        <v>1200</v>
      </c>
      <c r="F955" s="1008" t="s">
        <v>1285</v>
      </c>
      <c r="G955" s="1009"/>
      <c r="H955" s="751" t="s">
        <v>592</v>
      </c>
      <c r="I955" s="791">
        <v>9.9000000000000005E-2</v>
      </c>
      <c r="J955" s="802">
        <v>92.1</v>
      </c>
      <c r="K955" s="779">
        <v>9.11</v>
      </c>
      <c r="L955" s="822">
        <v>90.4</v>
      </c>
      <c r="M955" s="753">
        <v>8.94</v>
      </c>
    </row>
    <row r="956" spans="2:13" ht="47.25" x14ac:dyDescent="0.25">
      <c r="B956" s="765" t="s">
        <v>478</v>
      </c>
      <c r="C956" s="750" t="s">
        <v>765</v>
      </c>
      <c r="D956" s="749" t="s">
        <v>475</v>
      </c>
      <c r="E956" s="749" t="s">
        <v>766</v>
      </c>
      <c r="F956" s="1008" t="s">
        <v>1285</v>
      </c>
      <c r="G956" s="1009"/>
      <c r="H956" s="751" t="s">
        <v>564</v>
      </c>
      <c r="I956" s="791">
        <v>4.6399999999999997E-2</v>
      </c>
      <c r="J956" s="802">
        <v>384.51</v>
      </c>
      <c r="K956" s="779">
        <v>17.84</v>
      </c>
      <c r="L956" s="822">
        <v>382.62</v>
      </c>
      <c r="M956" s="753">
        <v>17.75</v>
      </c>
    </row>
    <row r="957" spans="2:13" ht="24" customHeight="1" x14ac:dyDescent="0.25">
      <c r="B957" s="765" t="s">
        <v>478</v>
      </c>
      <c r="C957" s="750" t="s">
        <v>769</v>
      </c>
      <c r="D957" s="749" t="s">
        <v>475</v>
      </c>
      <c r="E957" s="749" t="s">
        <v>770</v>
      </c>
      <c r="F957" s="1008" t="s">
        <v>1268</v>
      </c>
      <c r="G957" s="1009"/>
      <c r="H957" s="751" t="s">
        <v>484</v>
      </c>
      <c r="I957" s="791">
        <v>1.1301000000000001</v>
      </c>
      <c r="J957" s="802">
        <v>24.82</v>
      </c>
      <c r="K957" s="779">
        <v>28.04</v>
      </c>
      <c r="L957" s="822">
        <v>23.38</v>
      </c>
      <c r="M957" s="753">
        <v>26.42</v>
      </c>
    </row>
    <row r="958" spans="2:13" ht="39" customHeight="1" x14ac:dyDescent="0.25">
      <c r="B958" s="765" t="s">
        <v>478</v>
      </c>
      <c r="C958" s="750" t="s">
        <v>777</v>
      </c>
      <c r="D958" s="749" t="s">
        <v>475</v>
      </c>
      <c r="E958" s="749" t="s">
        <v>778</v>
      </c>
      <c r="F958" s="1008" t="s">
        <v>1285</v>
      </c>
      <c r="G958" s="1009"/>
      <c r="H958" s="751" t="s">
        <v>564</v>
      </c>
      <c r="I958" s="791">
        <v>3.4099999999999998E-2</v>
      </c>
      <c r="J958" s="802">
        <v>137.18</v>
      </c>
      <c r="K958" s="779">
        <v>4.67</v>
      </c>
      <c r="L958" s="822">
        <v>135.28</v>
      </c>
      <c r="M958" s="753">
        <v>4.6100000000000003</v>
      </c>
    </row>
    <row r="959" spans="2:13" ht="65.099999999999994" customHeight="1" x14ac:dyDescent="0.25">
      <c r="B959" s="765" t="s">
        <v>478</v>
      </c>
      <c r="C959" s="750" t="s">
        <v>601</v>
      </c>
      <c r="D959" s="749" t="s">
        <v>475</v>
      </c>
      <c r="E959" s="749" t="s">
        <v>602</v>
      </c>
      <c r="F959" s="1008" t="s">
        <v>1285</v>
      </c>
      <c r="G959" s="1009"/>
      <c r="H959" s="751" t="s">
        <v>564</v>
      </c>
      <c r="I959" s="791">
        <v>4.6399999999999997E-2</v>
      </c>
      <c r="J959" s="802">
        <v>270.25</v>
      </c>
      <c r="K959" s="779">
        <v>12.53</v>
      </c>
      <c r="L959" s="822">
        <v>268.58</v>
      </c>
      <c r="M959" s="753">
        <v>12.46</v>
      </c>
    </row>
    <row r="960" spans="2:13" ht="47.25" x14ac:dyDescent="0.25">
      <c r="B960" s="765" t="s">
        <v>478</v>
      </c>
      <c r="C960" s="750" t="s">
        <v>767</v>
      </c>
      <c r="D960" s="749" t="s">
        <v>475</v>
      </c>
      <c r="E960" s="749" t="s">
        <v>768</v>
      </c>
      <c r="F960" s="1008" t="s">
        <v>1285</v>
      </c>
      <c r="G960" s="1009"/>
      <c r="H960" s="751" t="s">
        <v>592</v>
      </c>
      <c r="I960" s="791">
        <v>9.4899999999999998E-2</v>
      </c>
      <c r="J960" s="802">
        <v>151.91999999999999</v>
      </c>
      <c r="K960" s="779">
        <v>14.41</v>
      </c>
      <c r="L960" s="822">
        <v>150.03</v>
      </c>
      <c r="M960" s="753">
        <v>14.23</v>
      </c>
    </row>
    <row r="961" spans="2:13" ht="39" customHeight="1" x14ac:dyDescent="0.25">
      <c r="B961" s="765" t="s">
        <v>478</v>
      </c>
      <c r="C961" s="750" t="s">
        <v>775</v>
      </c>
      <c r="D961" s="749" t="s">
        <v>475</v>
      </c>
      <c r="E961" s="749" t="s">
        <v>776</v>
      </c>
      <c r="F961" s="1008" t="s">
        <v>1285</v>
      </c>
      <c r="G961" s="1009"/>
      <c r="H961" s="751" t="s">
        <v>592</v>
      </c>
      <c r="I961" s="791">
        <v>0.1071</v>
      </c>
      <c r="J961" s="802">
        <v>51.97</v>
      </c>
      <c r="K961" s="779">
        <v>5.56</v>
      </c>
      <c r="L961" s="822">
        <v>50.07</v>
      </c>
      <c r="M961" s="753">
        <v>5.36</v>
      </c>
    </row>
    <row r="962" spans="2:13" ht="47.25" x14ac:dyDescent="0.25">
      <c r="B962" s="765" t="s">
        <v>478</v>
      </c>
      <c r="C962" s="750" t="s">
        <v>771</v>
      </c>
      <c r="D962" s="749" t="s">
        <v>475</v>
      </c>
      <c r="E962" s="749" t="s">
        <v>772</v>
      </c>
      <c r="F962" s="1008" t="s">
        <v>1285</v>
      </c>
      <c r="G962" s="1009"/>
      <c r="H962" s="751" t="s">
        <v>564</v>
      </c>
      <c r="I962" s="791">
        <v>8.0500000000000002E-2</v>
      </c>
      <c r="J962" s="802">
        <v>231.41</v>
      </c>
      <c r="K962" s="779">
        <v>18.62</v>
      </c>
      <c r="L962" s="822">
        <v>229.71</v>
      </c>
      <c r="M962" s="753">
        <v>18.489999999999998</v>
      </c>
    </row>
    <row r="963" spans="2:13" ht="47.25" x14ac:dyDescent="0.25">
      <c r="B963" s="765" t="s">
        <v>487</v>
      </c>
      <c r="C963" s="750" t="s">
        <v>779</v>
      </c>
      <c r="D963" s="749" t="s">
        <v>475</v>
      </c>
      <c r="E963" s="749" t="s">
        <v>780</v>
      </c>
      <c r="F963" s="1008" t="s">
        <v>490</v>
      </c>
      <c r="G963" s="1009"/>
      <c r="H963" s="751" t="s">
        <v>116</v>
      </c>
      <c r="I963" s="791">
        <v>2.5548000000000002</v>
      </c>
      <c r="J963" s="802">
        <v>631.20000000000005</v>
      </c>
      <c r="K963" s="779">
        <v>1612.58</v>
      </c>
      <c r="L963" s="822">
        <v>631.20000000000005</v>
      </c>
      <c r="M963" s="753">
        <v>1612.58</v>
      </c>
    </row>
    <row r="964" spans="2:13" x14ac:dyDescent="0.25">
      <c r="B964" s="823"/>
      <c r="C964" s="744"/>
      <c r="D964" s="744"/>
      <c r="E964" s="744"/>
      <c r="F964" s="744" t="s">
        <v>498</v>
      </c>
      <c r="G964" s="745">
        <v>36.43</v>
      </c>
      <c r="H964" s="744" t="s">
        <v>499</v>
      </c>
      <c r="I964" s="787">
        <v>0</v>
      </c>
      <c r="J964" s="823" t="s">
        <v>500</v>
      </c>
      <c r="K964" s="787">
        <v>36.43</v>
      </c>
      <c r="L964" s="744" t="s">
        <v>500</v>
      </c>
      <c r="M964" s="745">
        <v>33.71</v>
      </c>
    </row>
    <row r="965" spans="2:13" ht="14.25" customHeight="1" x14ac:dyDescent="0.25">
      <c r="B965" s="823"/>
      <c r="C965" s="744"/>
      <c r="D965" s="744"/>
      <c r="E965" s="744"/>
      <c r="F965" s="744" t="s">
        <v>501</v>
      </c>
      <c r="G965" s="745">
        <v>438.42</v>
      </c>
      <c r="H965" s="744"/>
      <c r="I965" s="812" t="s">
        <v>502</v>
      </c>
      <c r="J965" s="793"/>
      <c r="K965" s="787">
        <v>2176.13</v>
      </c>
      <c r="L965" s="746"/>
      <c r="M965" s="745">
        <v>2266.9699999999998</v>
      </c>
    </row>
    <row r="966" spans="2:13" ht="50.1" customHeight="1" thickBot="1" x14ac:dyDescent="0.3">
      <c r="B966" s="776"/>
      <c r="C966" s="747"/>
      <c r="D966" s="747"/>
      <c r="E966" s="747"/>
      <c r="F966" s="747"/>
      <c r="G966" s="747"/>
      <c r="H966" s="747" t="s">
        <v>503</v>
      </c>
      <c r="I966" s="806" t="s">
        <v>1549</v>
      </c>
      <c r="J966" s="776" t="s">
        <v>504</v>
      </c>
      <c r="K966" s="807">
        <v>1776179.06</v>
      </c>
      <c r="L966" s="747" t="s">
        <v>504</v>
      </c>
      <c r="M966" s="748">
        <v>1850323.58</v>
      </c>
    </row>
    <row r="967" spans="2:13" ht="16.5" thickTop="1" x14ac:dyDescent="0.25">
      <c r="B967" s="768"/>
      <c r="C967" s="757"/>
      <c r="D967" s="757"/>
      <c r="E967" s="757"/>
      <c r="F967" s="757"/>
      <c r="G967" s="757"/>
      <c r="H967" s="757"/>
      <c r="I967" s="766"/>
      <c r="J967" s="768"/>
      <c r="K967" s="766"/>
      <c r="L967" s="757"/>
      <c r="M967" s="757"/>
    </row>
    <row r="968" spans="2:13" ht="18" customHeight="1" x14ac:dyDescent="0.25">
      <c r="B968" s="805" t="s">
        <v>450</v>
      </c>
      <c r="C968" s="736" t="s">
        <v>391</v>
      </c>
      <c r="D968" s="735" t="s">
        <v>392</v>
      </c>
      <c r="E968" s="735" t="s">
        <v>42</v>
      </c>
      <c r="F968" s="1004" t="s">
        <v>39</v>
      </c>
      <c r="G968" s="1005"/>
      <c r="H968" s="738" t="s">
        <v>394</v>
      </c>
      <c r="I968" s="767" t="s">
        <v>395</v>
      </c>
      <c r="J968" s="808" t="s">
        <v>396</v>
      </c>
      <c r="K968" s="767" t="s">
        <v>0</v>
      </c>
      <c r="L968" s="782" t="s">
        <v>396</v>
      </c>
      <c r="M968" s="736" t="s">
        <v>0</v>
      </c>
    </row>
    <row r="969" spans="2:13" ht="39" customHeight="1" x14ac:dyDescent="0.25">
      <c r="B969" s="789" t="s">
        <v>473</v>
      </c>
      <c r="C969" s="740" t="s">
        <v>605</v>
      </c>
      <c r="D969" s="739" t="s">
        <v>475</v>
      </c>
      <c r="E969" s="739" t="s">
        <v>731</v>
      </c>
      <c r="F969" s="1010" t="s">
        <v>1289</v>
      </c>
      <c r="G969" s="1011"/>
      <c r="H969" s="742" t="s">
        <v>606</v>
      </c>
      <c r="I969" s="803">
        <v>1</v>
      </c>
      <c r="J969" s="799">
        <v>2.5</v>
      </c>
      <c r="K969" s="814">
        <v>2.5</v>
      </c>
      <c r="L969" s="778">
        <v>2.48</v>
      </c>
      <c r="M969" s="743">
        <v>2.48</v>
      </c>
    </row>
    <row r="970" spans="2:13" ht="65.099999999999994" customHeight="1" x14ac:dyDescent="0.25">
      <c r="B970" s="765" t="s">
        <v>478</v>
      </c>
      <c r="C970" s="750" t="s">
        <v>603</v>
      </c>
      <c r="D970" s="749" t="s">
        <v>475</v>
      </c>
      <c r="E970" s="749" t="s">
        <v>604</v>
      </c>
      <c r="F970" s="1008" t="s">
        <v>1285</v>
      </c>
      <c r="G970" s="1009"/>
      <c r="H970" s="751" t="s">
        <v>592</v>
      </c>
      <c r="I970" s="791">
        <v>3.5999999999999999E-3</v>
      </c>
      <c r="J970" s="802">
        <v>74.48</v>
      </c>
      <c r="K970" s="779">
        <v>0.26</v>
      </c>
      <c r="L970" s="822">
        <v>72.81</v>
      </c>
      <c r="M970" s="753">
        <v>0.26</v>
      </c>
    </row>
    <row r="971" spans="2:13" ht="65.099999999999994" customHeight="1" x14ac:dyDescent="0.25">
      <c r="B971" s="765" t="s">
        <v>478</v>
      </c>
      <c r="C971" s="750" t="s">
        <v>601</v>
      </c>
      <c r="D971" s="749" t="s">
        <v>475</v>
      </c>
      <c r="E971" s="749" t="s">
        <v>602</v>
      </c>
      <c r="F971" s="1008" t="s">
        <v>1285</v>
      </c>
      <c r="G971" s="1009"/>
      <c r="H971" s="751" t="s">
        <v>564</v>
      </c>
      <c r="I971" s="791">
        <v>8.3000000000000001E-3</v>
      </c>
      <c r="J971" s="802">
        <v>270.25</v>
      </c>
      <c r="K971" s="779">
        <v>2.2400000000000002</v>
      </c>
      <c r="L971" s="822">
        <v>268.58</v>
      </c>
      <c r="M971" s="753">
        <v>2.2200000000000002</v>
      </c>
    </row>
    <row r="972" spans="2:13" x14ac:dyDescent="0.25">
      <c r="B972" s="823"/>
      <c r="C972" s="744"/>
      <c r="D972" s="744"/>
      <c r="E972" s="744"/>
      <c r="F972" s="744" t="s">
        <v>498</v>
      </c>
      <c r="G972" s="745">
        <v>0.25</v>
      </c>
      <c r="H972" s="744" t="s">
        <v>499</v>
      </c>
      <c r="I972" s="787">
        <v>0</v>
      </c>
      <c r="J972" s="823" t="s">
        <v>500</v>
      </c>
      <c r="K972" s="787">
        <v>0.25</v>
      </c>
      <c r="L972" s="744" t="s">
        <v>500</v>
      </c>
      <c r="M972" s="745">
        <v>0.24</v>
      </c>
    </row>
    <row r="973" spans="2:13" ht="14.25" customHeight="1" x14ac:dyDescent="0.25">
      <c r="B973" s="823"/>
      <c r="C973" s="744"/>
      <c r="D973" s="744"/>
      <c r="E973" s="744"/>
      <c r="F973" s="744" t="s">
        <v>501</v>
      </c>
      <c r="G973" s="745">
        <v>0.63</v>
      </c>
      <c r="H973" s="744"/>
      <c r="I973" s="812" t="s">
        <v>502</v>
      </c>
      <c r="J973" s="793"/>
      <c r="K973" s="787">
        <v>3.13</v>
      </c>
      <c r="L973" s="746"/>
      <c r="M973" s="745">
        <v>3.24</v>
      </c>
    </row>
    <row r="974" spans="2:13" ht="50.1" customHeight="1" thickBot="1" x14ac:dyDescent="0.3">
      <c r="B974" s="776"/>
      <c r="C974" s="747"/>
      <c r="D974" s="747"/>
      <c r="E974" s="747"/>
      <c r="F974" s="747"/>
      <c r="G974" s="747"/>
      <c r="H974" s="747" t="s">
        <v>503</v>
      </c>
      <c r="I974" s="806" t="s">
        <v>1550</v>
      </c>
      <c r="J974" s="776" t="s">
        <v>504</v>
      </c>
      <c r="K974" s="807">
        <v>27846.6</v>
      </c>
      <c r="L974" s="747" t="s">
        <v>504</v>
      </c>
      <c r="M974" s="748">
        <v>28825.24</v>
      </c>
    </row>
    <row r="975" spans="2:13" ht="16.5" thickTop="1" x14ac:dyDescent="0.25">
      <c r="B975" s="768"/>
      <c r="C975" s="757"/>
      <c r="D975" s="757"/>
      <c r="E975" s="757"/>
      <c r="F975" s="757"/>
      <c r="G975" s="757"/>
      <c r="H975" s="757"/>
      <c r="I975" s="766"/>
      <c r="J975" s="768"/>
      <c r="K975" s="766"/>
      <c r="L975" s="757"/>
      <c r="M975" s="757"/>
    </row>
    <row r="976" spans="2:13" ht="24" customHeight="1" x14ac:dyDescent="0.25">
      <c r="B976" s="771" t="s">
        <v>451</v>
      </c>
      <c r="C976" s="617"/>
      <c r="D976" s="617"/>
      <c r="E976" s="617" t="s">
        <v>976</v>
      </c>
      <c r="F976" s="617"/>
      <c r="G976" s="755"/>
      <c r="H976" s="755"/>
      <c r="I976" s="792"/>
      <c r="J976" s="771"/>
      <c r="K976" s="796">
        <v>635054.63</v>
      </c>
      <c r="L976" s="815"/>
      <c r="M976" s="756">
        <v>648264.4</v>
      </c>
    </row>
    <row r="977" spans="2:13" ht="18" customHeight="1" x14ac:dyDescent="0.25">
      <c r="B977" s="805" t="s">
        <v>452</v>
      </c>
      <c r="C977" s="736" t="s">
        <v>391</v>
      </c>
      <c r="D977" s="735" t="s">
        <v>392</v>
      </c>
      <c r="E977" s="735" t="s">
        <v>42</v>
      </c>
      <c r="F977" s="1004" t="s">
        <v>39</v>
      </c>
      <c r="G977" s="1005"/>
      <c r="H977" s="738" t="s">
        <v>394</v>
      </c>
      <c r="I977" s="767" t="s">
        <v>395</v>
      </c>
      <c r="J977" s="808" t="s">
        <v>396</v>
      </c>
      <c r="K977" s="767" t="s">
        <v>0</v>
      </c>
      <c r="L977" s="782" t="s">
        <v>396</v>
      </c>
      <c r="M977" s="736" t="s">
        <v>0</v>
      </c>
    </row>
    <row r="978" spans="2:13" ht="47.25" x14ac:dyDescent="0.25">
      <c r="B978" s="789" t="s">
        <v>473</v>
      </c>
      <c r="C978" s="740" t="s">
        <v>1202</v>
      </c>
      <c r="D978" s="739" t="s">
        <v>509</v>
      </c>
      <c r="E978" s="739" t="s">
        <v>781</v>
      </c>
      <c r="F978" s="1010" t="s">
        <v>483</v>
      </c>
      <c r="G978" s="1011"/>
      <c r="H978" s="742" t="s">
        <v>3</v>
      </c>
      <c r="I978" s="803">
        <v>1</v>
      </c>
      <c r="J978" s="799">
        <v>69.98</v>
      </c>
      <c r="K978" s="814">
        <v>69.98</v>
      </c>
      <c r="L978" s="778">
        <v>68.430000000000007</v>
      </c>
      <c r="M978" s="743">
        <v>68.430000000000007</v>
      </c>
    </row>
    <row r="979" spans="2:13" ht="24" customHeight="1" x14ac:dyDescent="0.25">
      <c r="B979" s="765" t="s">
        <v>478</v>
      </c>
      <c r="C979" s="750" t="s">
        <v>485</v>
      </c>
      <c r="D979" s="749" t="s">
        <v>475</v>
      </c>
      <c r="E979" s="749" t="s">
        <v>486</v>
      </c>
      <c r="F979" s="1008" t="s">
        <v>1268</v>
      </c>
      <c r="G979" s="1009"/>
      <c r="H979" s="751" t="s">
        <v>484</v>
      </c>
      <c r="I979" s="791">
        <v>0.48699999999999999</v>
      </c>
      <c r="J979" s="802">
        <v>22.76</v>
      </c>
      <c r="K979" s="779">
        <v>11.08</v>
      </c>
      <c r="L979" s="822">
        <v>21.55</v>
      </c>
      <c r="M979" s="753">
        <v>10.49</v>
      </c>
    </row>
    <row r="980" spans="2:13" ht="31.5" x14ac:dyDescent="0.25">
      <c r="B980" s="765" t="s">
        <v>478</v>
      </c>
      <c r="C980" s="750" t="s">
        <v>790</v>
      </c>
      <c r="D980" s="749" t="s">
        <v>475</v>
      </c>
      <c r="E980" s="749" t="s">
        <v>791</v>
      </c>
      <c r="F980" s="1008" t="s">
        <v>1313</v>
      </c>
      <c r="G980" s="1009"/>
      <c r="H980" s="751" t="s">
        <v>491</v>
      </c>
      <c r="I980" s="791">
        <v>0.25</v>
      </c>
      <c r="J980" s="802">
        <v>1.69</v>
      </c>
      <c r="K980" s="779">
        <v>0.42</v>
      </c>
      <c r="L980" s="822">
        <v>1.61</v>
      </c>
      <c r="M980" s="753">
        <v>0.4</v>
      </c>
    </row>
    <row r="981" spans="2:13" ht="24" customHeight="1" x14ac:dyDescent="0.25">
      <c r="B981" s="765" t="s">
        <v>478</v>
      </c>
      <c r="C981" s="750" t="s">
        <v>662</v>
      </c>
      <c r="D981" s="749" t="s">
        <v>475</v>
      </c>
      <c r="E981" s="749" t="s">
        <v>1189</v>
      </c>
      <c r="F981" s="1008" t="s">
        <v>1291</v>
      </c>
      <c r="G981" s="1009"/>
      <c r="H981" s="751" t="s">
        <v>2</v>
      </c>
      <c r="I981" s="791">
        <v>5.04E-2</v>
      </c>
      <c r="J981" s="802">
        <v>90.03</v>
      </c>
      <c r="K981" s="779">
        <v>4.53</v>
      </c>
      <c r="L981" s="822">
        <v>85.24</v>
      </c>
      <c r="M981" s="753">
        <v>4.29</v>
      </c>
    </row>
    <row r="982" spans="2:13" ht="26.1" customHeight="1" x14ac:dyDescent="0.25">
      <c r="B982" s="765" t="s">
        <v>478</v>
      </c>
      <c r="C982" s="750" t="s">
        <v>786</v>
      </c>
      <c r="D982" s="749" t="s">
        <v>475</v>
      </c>
      <c r="E982" s="749" t="s">
        <v>787</v>
      </c>
      <c r="F982" s="1008" t="s">
        <v>1268</v>
      </c>
      <c r="G982" s="1009"/>
      <c r="H982" s="751" t="s">
        <v>484</v>
      </c>
      <c r="I982" s="791">
        <v>0.109</v>
      </c>
      <c r="J982" s="802">
        <v>23.74</v>
      </c>
      <c r="K982" s="779">
        <v>2.58</v>
      </c>
      <c r="L982" s="822">
        <v>22.46</v>
      </c>
      <c r="M982" s="753">
        <v>2.44</v>
      </c>
    </row>
    <row r="983" spans="2:13" ht="31.5" x14ac:dyDescent="0.25">
      <c r="B983" s="765" t="s">
        <v>478</v>
      </c>
      <c r="C983" s="750" t="s">
        <v>788</v>
      </c>
      <c r="D983" s="749" t="s">
        <v>475</v>
      </c>
      <c r="E983" s="749" t="s">
        <v>789</v>
      </c>
      <c r="F983" s="1008" t="s">
        <v>1294</v>
      </c>
      <c r="G983" s="1009"/>
      <c r="H983" s="751" t="s">
        <v>2</v>
      </c>
      <c r="I983" s="791">
        <v>3.0000000000000001E-3</v>
      </c>
      <c r="J983" s="802">
        <v>606.29</v>
      </c>
      <c r="K983" s="779">
        <v>1.81</v>
      </c>
      <c r="L983" s="822">
        <v>596.25</v>
      </c>
      <c r="M983" s="753">
        <v>1.78</v>
      </c>
    </row>
    <row r="984" spans="2:13" ht="39" customHeight="1" x14ac:dyDescent="0.25">
      <c r="B984" s="765" t="s">
        <v>478</v>
      </c>
      <c r="C984" s="750" t="s">
        <v>784</v>
      </c>
      <c r="D984" s="749" t="s">
        <v>475</v>
      </c>
      <c r="E984" s="749" t="s">
        <v>785</v>
      </c>
      <c r="F984" s="1008" t="s">
        <v>1285</v>
      </c>
      <c r="G984" s="1009"/>
      <c r="H984" s="751" t="s">
        <v>592</v>
      </c>
      <c r="I984" s="791">
        <v>0</v>
      </c>
      <c r="J984" s="802">
        <v>5.22</v>
      </c>
      <c r="K984" s="779">
        <v>0</v>
      </c>
      <c r="L984" s="822">
        <v>5.22</v>
      </c>
      <c r="M984" s="753">
        <v>0</v>
      </c>
    </row>
    <row r="985" spans="2:13" ht="31.5" x14ac:dyDescent="0.25">
      <c r="B985" s="765" t="s">
        <v>478</v>
      </c>
      <c r="C985" s="750" t="s">
        <v>1203</v>
      </c>
      <c r="D985" s="749" t="s">
        <v>509</v>
      </c>
      <c r="E985" s="749" t="s">
        <v>792</v>
      </c>
      <c r="F985" s="1008" t="s">
        <v>665</v>
      </c>
      <c r="G985" s="1009"/>
      <c r="H985" s="751" t="s">
        <v>2</v>
      </c>
      <c r="I985" s="791">
        <v>3.1199999999999999E-2</v>
      </c>
      <c r="J985" s="802">
        <v>211.61</v>
      </c>
      <c r="K985" s="779">
        <v>6.6</v>
      </c>
      <c r="L985" s="822">
        <v>207.52</v>
      </c>
      <c r="M985" s="753">
        <v>6.47</v>
      </c>
    </row>
    <row r="986" spans="2:13" ht="39" customHeight="1" x14ac:dyDescent="0.25">
      <c r="B986" s="765" t="s">
        <v>478</v>
      </c>
      <c r="C986" s="750" t="s">
        <v>782</v>
      </c>
      <c r="D986" s="749" t="s">
        <v>475</v>
      </c>
      <c r="E986" s="749" t="s">
        <v>783</v>
      </c>
      <c r="F986" s="1008" t="s">
        <v>1285</v>
      </c>
      <c r="G986" s="1009"/>
      <c r="H986" s="751" t="s">
        <v>564</v>
      </c>
      <c r="I986" s="791">
        <v>1.7999999999999999E-2</v>
      </c>
      <c r="J986" s="802">
        <v>19.079999999999998</v>
      </c>
      <c r="K986" s="779">
        <v>0.34</v>
      </c>
      <c r="L986" s="822">
        <v>19.079999999999998</v>
      </c>
      <c r="M986" s="753">
        <v>0.34</v>
      </c>
    </row>
    <row r="987" spans="2:13" ht="24" customHeight="1" x14ac:dyDescent="0.25">
      <c r="B987" s="765" t="s">
        <v>478</v>
      </c>
      <c r="C987" s="750" t="s">
        <v>620</v>
      </c>
      <c r="D987" s="749" t="s">
        <v>475</v>
      </c>
      <c r="E987" s="749" t="s">
        <v>621</v>
      </c>
      <c r="F987" s="1008" t="s">
        <v>1268</v>
      </c>
      <c r="G987" s="1009"/>
      <c r="H987" s="751" t="s">
        <v>484</v>
      </c>
      <c r="I987" s="791">
        <v>0.24399999999999999</v>
      </c>
      <c r="J987" s="802">
        <v>28.5</v>
      </c>
      <c r="K987" s="779">
        <v>6.95</v>
      </c>
      <c r="L987" s="822">
        <v>26.87</v>
      </c>
      <c r="M987" s="753">
        <v>6.55</v>
      </c>
    </row>
    <row r="988" spans="2:13" ht="47.25" x14ac:dyDescent="0.25">
      <c r="B988" s="765" t="s">
        <v>487</v>
      </c>
      <c r="C988" s="750" t="s">
        <v>709</v>
      </c>
      <c r="D988" s="749" t="s">
        <v>475</v>
      </c>
      <c r="E988" s="749" t="s">
        <v>710</v>
      </c>
      <c r="F988" s="1008" t="s">
        <v>490</v>
      </c>
      <c r="G988" s="1009"/>
      <c r="H988" s="751" t="s">
        <v>2</v>
      </c>
      <c r="I988" s="791">
        <v>6.1499999999999999E-2</v>
      </c>
      <c r="J988" s="802">
        <v>580</v>
      </c>
      <c r="K988" s="779">
        <v>35.67</v>
      </c>
      <c r="L988" s="822">
        <v>580</v>
      </c>
      <c r="M988" s="753">
        <v>35.67</v>
      </c>
    </row>
    <row r="989" spans="2:13" x14ac:dyDescent="0.25">
      <c r="B989" s="823"/>
      <c r="C989" s="744"/>
      <c r="D989" s="744"/>
      <c r="E989" s="744"/>
      <c r="F989" s="744" t="s">
        <v>498</v>
      </c>
      <c r="G989" s="745">
        <v>20.64</v>
      </c>
      <c r="H989" s="744" t="s">
        <v>499</v>
      </c>
      <c r="I989" s="787">
        <v>0</v>
      </c>
      <c r="J989" s="823" t="s">
        <v>500</v>
      </c>
      <c r="K989" s="787">
        <v>20.64</v>
      </c>
      <c r="L989" s="744" t="s">
        <v>500</v>
      </c>
      <c r="M989" s="745">
        <v>19.09</v>
      </c>
    </row>
    <row r="990" spans="2:13" ht="14.25" customHeight="1" x14ac:dyDescent="0.25">
      <c r="B990" s="823"/>
      <c r="C990" s="744"/>
      <c r="D990" s="744"/>
      <c r="E990" s="744"/>
      <c r="F990" s="744" t="s">
        <v>501</v>
      </c>
      <c r="G990" s="745">
        <v>17.649999999999999</v>
      </c>
      <c r="H990" s="744"/>
      <c r="I990" s="812" t="s">
        <v>502</v>
      </c>
      <c r="J990" s="793"/>
      <c r="K990" s="787">
        <v>87.63</v>
      </c>
      <c r="L990" s="746"/>
      <c r="M990" s="745">
        <v>89.41</v>
      </c>
    </row>
    <row r="991" spans="2:13" ht="50.1" customHeight="1" thickBot="1" x14ac:dyDescent="0.3">
      <c r="B991" s="776"/>
      <c r="C991" s="747"/>
      <c r="D991" s="747"/>
      <c r="E991" s="747"/>
      <c r="F991" s="747"/>
      <c r="G991" s="747"/>
      <c r="H991" s="747" t="s">
        <v>503</v>
      </c>
      <c r="I991" s="806" t="s">
        <v>1204</v>
      </c>
      <c r="J991" s="776" t="s">
        <v>504</v>
      </c>
      <c r="K991" s="807">
        <v>613179.53</v>
      </c>
      <c r="L991" s="747" t="s">
        <v>504</v>
      </c>
      <c r="M991" s="748">
        <v>625634.85</v>
      </c>
    </row>
    <row r="992" spans="2:13" ht="16.5" thickTop="1" x14ac:dyDescent="0.25">
      <c r="B992" s="768"/>
      <c r="C992" s="757"/>
      <c r="D992" s="757"/>
      <c r="E992" s="757"/>
      <c r="F992" s="757"/>
      <c r="G992" s="757"/>
      <c r="H992" s="757"/>
      <c r="I992" s="766"/>
      <c r="J992" s="768"/>
      <c r="K992" s="766"/>
      <c r="L992" s="757"/>
      <c r="M992" s="757"/>
    </row>
    <row r="993" spans="2:13" ht="18" customHeight="1" x14ac:dyDescent="0.25">
      <c r="B993" s="805" t="s">
        <v>453</v>
      </c>
      <c r="C993" s="736" t="s">
        <v>391</v>
      </c>
      <c r="D993" s="735" t="s">
        <v>392</v>
      </c>
      <c r="E993" s="735" t="s">
        <v>42</v>
      </c>
      <c r="F993" s="1004" t="s">
        <v>39</v>
      </c>
      <c r="G993" s="1005"/>
      <c r="H993" s="738" t="s">
        <v>394</v>
      </c>
      <c r="I993" s="767" t="s">
        <v>395</v>
      </c>
      <c r="J993" s="808" t="s">
        <v>396</v>
      </c>
      <c r="K993" s="767" t="s">
        <v>0</v>
      </c>
      <c r="L993" s="782" t="s">
        <v>396</v>
      </c>
      <c r="M993" s="736" t="s">
        <v>0</v>
      </c>
    </row>
    <row r="994" spans="2:13" ht="51.95" customHeight="1" x14ac:dyDescent="0.25">
      <c r="B994" s="789" t="s">
        <v>473</v>
      </c>
      <c r="C994" s="740" t="s">
        <v>599</v>
      </c>
      <c r="D994" s="739" t="s">
        <v>475</v>
      </c>
      <c r="E994" s="739" t="s">
        <v>600</v>
      </c>
      <c r="F994" s="1010" t="s">
        <v>1289</v>
      </c>
      <c r="G994" s="1011"/>
      <c r="H994" s="742" t="s">
        <v>2</v>
      </c>
      <c r="I994" s="803">
        <v>1</v>
      </c>
      <c r="J994" s="799">
        <v>7.03</v>
      </c>
      <c r="K994" s="814">
        <v>7.03</v>
      </c>
      <c r="L994" s="778">
        <v>6.95</v>
      </c>
      <c r="M994" s="743">
        <v>6.95</v>
      </c>
    </row>
    <row r="995" spans="2:13" ht="39" customHeight="1" x14ac:dyDescent="0.25">
      <c r="B995" s="765" t="s">
        <v>478</v>
      </c>
      <c r="C995" s="750" t="s">
        <v>595</v>
      </c>
      <c r="D995" s="749" t="s">
        <v>475</v>
      </c>
      <c r="E995" s="749" t="s">
        <v>596</v>
      </c>
      <c r="F995" s="1008" t="s">
        <v>1285</v>
      </c>
      <c r="G995" s="1009"/>
      <c r="H995" s="751" t="s">
        <v>564</v>
      </c>
      <c r="I995" s="791">
        <v>4.1999999999999997E-3</v>
      </c>
      <c r="J995" s="802">
        <v>251.7</v>
      </c>
      <c r="K995" s="779">
        <v>1.05</v>
      </c>
      <c r="L995" s="822">
        <v>249.57</v>
      </c>
      <c r="M995" s="753">
        <v>1.04</v>
      </c>
    </row>
    <row r="996" spans="2:13" ht="65.099999999999994" customHeight="1" x14ac:dyDescent="0.25">
      <c r="B996" s="765" t="s">
        <v>478</v>
      </c>
      <c r="C996" s="750" t="s">
        <v>603</v>
      </c>
      <c r="D996" s="749" t="s">
        <v>475</v>
      </c>
      <c r="E996" s="749" t="s">
        <v>604</v>
      </c>
      <c r="F996" s="1008" t="s">
        <v>1285</v>
      </c>
      <c r="G996" s="1009"/>
      <c r="H996" s="751" t="s">
        <v>592</v>
      </c>
      <c r="I996" s="791">
        <v>1.2E-2</v>
      </c>
      <c r="J996" s="802">
        <v>74.48</v>
      </c>
      <c r="K996" s="779">
        <v>0.89</v>
      </c>
      <c r="L996" s="822">
        <v>72.81</v>
      </c>
      <c r="M996" s="753">
        <v>0.87</v>
      </c>
    </row>
    <row r="997" spans="2:13" ht="65.099999999999994" customHeight="1" x14ac:dyDescent="0.25">
      <c r="B997" s="765" t="s">
        <v>478</v>
      </c>
      <c r="C997" s="750" t="s">
        <v>601</v>
      </c>
      <c r="D997" s="749" t="s">
        <v>475</v>
      </c>
      <c r="E997" s="749" t="s">
        <v>602</v>
      </c>
      <c r="F997" s="1008" t="s">
        <v>1285</v>
      </c>
      <c r="G997" s="1009"/>
      <c r="H997" s="751" t="s">
        <v>564</v>
      </c>
      <c r="I997" s="791">
        <v>1.5699999999999999E-2</v>
      </c>
      <c r="J997" s="802">
        <v>270.25</v>
      </c>
      <c r="K997" s="779">
        <v>4.24</v>
      </c>
      <c r="L997" s="822">
        <v>268.58</v>
      </c>
      <c r="M997" s="753">
        <v>4.21</v>
      </c>
    </row>
    <row r="998" spans="2:13" ht="39" customHeight="1" x14ac:dyDescent="0.25">
      <c r="B998" s="765" t="s">
        <v>478</v>
      </c>
      <c r="C998" s="750" t="s">
        <v>597</v>
      </c>
      <c r="D998" s="749" t="s">
        <v>475</v>
      </c>
      <c r="E998" s="749" t="s">
        <v>598</v>
      </c>
      <c r="F998" s="1008" t="s">
        <v>1285</v>
      </c>
      <c r="G998" s="1009"/>
      <c r="H998" s="751" t="s">
        <v>592</v>
      </c>
      <c r="I998" s="791">
        <v>8.6999999999999994E-3</v>
      </c>
      <c r="J998" s="802">
        <v>98.52</v>
      </c>
      <c r="K998" s="779">
        <v>0.85</v>
      </c>
      <c r="L998" s="822">
        <v>96.39</v>
      </c>
      <c r="M998" s="753">
        <v>0.83</v>
      </c>
    </row>
    <row r="999" spans="2:13" x14ac:dyDescent="0.25">
      <c r="B999" s="823"/>
      <c r="C999" s="744"/>
      <c r="D999" s="744"/>
      <c r="E999" s="744"/>
      <c r="F999" s="744" t="s">
        <v>498</v>
      </c>
      <c r="G999" s="745">
        <v>0.95</v>
      </c>
      <c r="H999" s="744" t="s">
        <v>499</v>
      </c>
      <c r="I999" s="787">
        <v>0</v>
      </c>
      <c r="J999" s="823" t="s">
        <v>500</v>
      </c>
      <c r="K999" s="787">
        <v>0.95</v>
      </c>
      <c r="L999" s="744" t="s">
        <v>500</v>
      </c>
      <c r="M999" s="745">
        <v>0.9</v>
      </c>
    </row>
    <row r="1000" spans="2:13" ht="14.25" customHeight="1" x14ac:dyDescent="0.25">
      <c r="B1000" s="823"/>
      <c r="C1000" s="744"/>
      <c r="D1000" s="744"/>
      <c r="E1000" s="744"/>
      <c r="F1000" s="744" t="s">
        <v>501</v>
      </c>
      <c r="G1000" s="745">
        <v>1.77</v>
      </c>
      <c r="H1000" s="744"/>
      <c r="I1000" s="812" t="s">
        <v>502</v>
      </c>
      <c r="J1000" s="793"/>
      <c r="K1000" s="787">
        <v>8.8000000000000007</v>
      </c>
      <c r="L1000" s="746"/>
      <c r="M1000" s="745">
        <v>9.08</v>
      </c>
    </row>
    <row r="1001" spans="2:13" ht="50.1" customHeight="1" thickBot="1" x14ac:dyDescent="0.3">
      <c r="B1001" s="776"/>
      <c r="C1001" s="747"/>
      <c r="D1001" s="747"/>
      <c r="E1001" s="747"/>
      <c r="F1001" s="747"/>
      <c r="G1001" s="747"/>
      <c r="H1001" s="747" t="s">
        <v>503</v>
      </c>
      <c r="I1001" s="806" t="s">
        <v>1205</v>
      </c>
      <c r="J1001" s="776" t="s">
        <v>504</v>
      </c>
      <c r="K1001" s="807">
        <v>2651.17</v>
      </c>
      <c r="L1001" s="747" t="s">
        <v>504</v>
      </c>
      <c r="M1001" s="748">
        <v>2735.53</v>
      </c>
    </row>
    <row r="1002" spans="2:13" ht="16.5" thickTop="1" x14ac:dyDescent="0.25">
      <c r="B1002" s="768"/>
      <c r="C1002" s="757"/>
      <c r="D1002" s="757"/>
      <c r="E1002" s="757"/>
      <c r="F1002" s="757"/>
      <c r="G1002" s="757"/>
      <c r="H1002" s="757"/>
      <c r="I1002" s="766"/>
      <c r="J1002" s="768"/>
      <c r="K1002" s="766"/>
      <c r="L1002" s="757"/>
      <c r="M1002" s="757"/>
    </row>
    <row r="1003" spans="2:13" ht="18" customHeight="1" x14ac:dyDescent="0.25">
      <c r="B1003" s="805" t="s">
        <v>454</v>
      </c>
      <c r="C1003" s="736" t="s">
        <v>391</v>
      </c>
      <c r="D1003" s="735" t="s">
        <v>392</v>
      </c>
      <c r="E1003" s="735" t="s">
        <v>42</v>
      </c>
      <c r="F1003" s="1004" t="s">
        <v>39</v>
      </c>
      <c r="G1003" s="1005"/>
      <c r="H1003" s="738" t="s">
        <v>394</v>
      </c>
      <c r="I1003" s="767" t="s">
        <v>395</v>
      </c>
      <c r="J1003" s="808" t="s">
        <v>396</v>
      </c>
      <c r="K1003" s="767" t="s">
        <v>0</v>
      </c>
      <c r="L1003" s="782" t="s">
        <v>396</v>
      </c>
      <c r="M1003" s="736" t="s">
        <v>0</v>
      </c>
    </row>
    <row r="1004" spans="2:13" ht="39" customHeight="1" x14ac:dyDescent="0.25">
      <c r="B1004" s="789" t="s">
        <v>473</v>
      </c>
      <c r="C1004" s="740" t="s">
        <v>605</v>
      </c>
      <c r="D1004" s="739" t="s">
        <v>475</v>
      </c>
      <c r="E1004" s="739" t="s">
        <v>731</v>
      </c>
      <c r="F1004" s="1010" t="s">
        <v>1289</v>
      </c>
      <c r="G1004" s="1011"/>
      <c r="H1004" s="742" t="s">
        <v>606</v>
      </c>
      <c r="I1004" s="803">
        <v>1</v>
      </c>
      <c r="J1004" s="799">
        <v>2.5</v>
      </c>
      <c r="K1004" s="814">
        <v>2.5</v>
      </c>
      <c r="L1004" s="778">
        <v>2.48</v>
      </c>
      <c r="M1004" s="743">
        <v>2.48</v>
      </c>
    </row>
    <row r="1005" spans="2:13" ht="65.099999999999994" customHeight="1" x14ac:dyDescent="0.25">
      <c r="B1005" s="765" t="s">
        <v>478</v>
      </c>
      <c r="C1005" s="750" t="s">
        <v>603</v>
      </c>
      <c r="D1005" s="749" t="s">
        <v>475</v>
      </c>
      <c r="E1005" s="749" t="s">
        <v>604</v>
      </c>
      <c r="F1005" s="1008" t="s">
        <v>1285</v>
      </c>
      <c r="G1005" s="1009"/>
      <c r="H1005" s="751" t="s">
        <v>592</v>
      </c>
      <c r="I1005" s="791">
        <v>3.5999999999999999E-3</v>
      </c>
      <c r="J1005" s="802">
        <v>74.48</v>
      </c>
      <c r="K1005" s="779">
        <v>0.26</v>
      </c>
      <c r="L1005" s="822">
        <v>72.81</v>
      </c>
      <c r="M1005" s="753">
        <v>0.26</v>
      </c>
    </row>
    <row r="1006" spans="2:13" ht="65.099999999999994" customHeight="1" x14ac:dyDescent="0.25">
      <c r="B1006" s="765" t="s">
        <v>478</v>
      </c>
      <c r="C1006" s="750" t="s">
        <v>601</v>
      </c>
      <c r="D1006" s="749" t="s">
        <v>475</v>
      </c>
      <c r="E1006" s="749" t="s">
        <v>602</v>
      </c>
      <c r="F1006" s="1008" t="s">
        <v>1285</v>
      </c>
      <c r="G1006" s="1009"/>
      <c r="H1006" s="751" t="s">
        <v>564</v>
      </c>
      <c r="I1006" s="791">
        <v>8.3000000000000001E-3</v>
      </c>
      <c r="J1006" s="802">
        <v>270.25</v>
      </c>
      <c r="K1006" s="779">
        <v>2.2400000000000002</v>
      </c>
      <c r="L1006" s="822">
        <v>268.58</v>
      </c>
      <c r="M1006" s="753">
        <v>2.2200000000000002</v>
      </c>
    </row>
    <row r="1007" spans="2:13" x14ac:dyDescent="0.25">
      <c r="B1007" s="823"/>
      <c r="C1007" s="744"/>
      <c r="D1007" s="744"/>
      <c r="E1007" s="744"/>
      <c r="F1007" s="744" t="s">
        <v>498</v>
      </c>
      <c r="G1007" s="745">
        <v>0.25</v>
      </c>
      <c r="H1007" s="744" t="s">
        <v>499</v>
      </c>
      <c r="I1007" s="787">
        <v>0</v>
      </c>
      <c r="J1007" s="823" t="s">
        <v>500</v>
      </c>
      <c r="K1007" s="787">
        <v>0.25</v>
      </c>
      <c r="L1007" s="744" t="s">
        <v>500</v>
      </c>
      <c r="M1007" s="745">
        <v>0.24</v>
      </c>
    </row>
    <row r="1008" spans="2:13" ht="14.25" customHeight="1" x14ac:dyDescent="0.25">
      <c r="B1008" s="823"/>
      <c r="C1008" s="744"/>
      <c r="D1008" s="744"/>
      <c r="E1008" s="744"/>
      <c r="F1008" s="744" t="s">
        <v>501</v>
      </c>
      <c r="G1008" s="745">
        <v>0.63</v>
      </c>
      <c r="H1008" s="744"/>
      <c r="I1008" s="812" t="s">
        <v>502</v>
      </c>
      <c r="J1008" s="793"/>
      <c r="K1008" s="787">
        <v>3.13</v>
      </c>
      <c r="L1008" s="746"/>
      <c r="M1008" s="745">
        <v>3.24</v>
      </c>
    </row>
    <row r="1009" spans="2:13" ht="50.1" customHeight="1" thickBot="1" x14ac:dyDescent="0.3">
      <c r="B1009" s="776"/>
      <c r="C1009" s="747"/>
      <c r="D1009" s="747"/>
      <c r="E1009" s="747"/>
      <c r="F1009" s="747"/>
      <c r="G1009" s="747"/>
      <c r="H1009" s="747" t="s">
        <v>503</v>
      </c>
      <c r="I1009" s="806" t="s">
        <v>1551</v>
      </c>
      <c r="J1009" s="776" t="s">
        <v>504</v>
      </c>
      <c r="K1009" s="807">
        <v>17162.13</v>
      </c>
      <c r="L1009" s="747" t="s">
        <v>504</v>
      </c>
      <c r="M1009" s="748">
        <v>17765.27</v>
      </c>
    </row>
    <row r="1010" spans="2:13" ht="16.5" thickTop="1" x14ac:dyDescent="0.25">
      <c r="B1010" s="768"/>
      <c r="C1010" s="757"/>
      <c r="D1010" s="757"/>
      <c r="E1010" s="757"/>
      <c r="F1010" s="757"/>
      <c r="G1010" s="757"/>
      <c r="H1010" s="757"/>
      <c r="I1010" s="766"/>
      <c r="J1010" s="768"/>
      <c r="K1010" s="766"/>
      <c r="L1010" s="757"/>
      <c r="M1010" s="757"/>
    </row>
    <row r="1011" spans="2:13" ht="18" customHeight="1" x14ac:dyDescent="0.25">
      <c r="B1011" s="805" t="s">
        <v>455</v>
      </c>
      <c r="C1011" s="736" t="s">
        <v>391</v>
      </c>
      <c r="D1011" s="735" t="s">
        <v>392</v>
      </c>
      <c r="E1011" s="735" t="s">
        <v>42</v>
      </c>
      <c r="F1011" s="1004" t="s">
        <v>39</v>
      </c>
      <c r="G1011" s="1005"/>
      <c r="H1011" s="738" t="s">
        <v>394</v>
      </c>
      <c r="I1011" s="767" t="s">
        <v>395</v>
      </c>
      <c r="J1011" s="808" t="s">
        <v>396</v>
      </c>
      <c r="K1011" s="767" t="s">
        <v>0</v>
      </c>
      <c r="L1011" s="782" t="s">
        <v>396</v>
      </c>
      <c r="M1011" s="736" t="s">
        <v>0</v>
      </c>
    </row>
    <row r="1012" spans="2:13" ht="39" customHeight="1" x14ac:dyDescent="0.25">
      <c r="B1012" s="789" t="s">
        <v>473</v>
      </c>
      <c r="C1012" s="740" t="s">
        <v>1206</v>
      </c>
      <c r="D1012" s="739" t="s">
        <v>509</v>
      </c>
      <c r="E1012" s="739" t="s">
        <v>793</v>
      </c>
      <c r="F1012" s="1010" t="s">
        <v>483</v>
      </c>
      <c r="G1012" s="1011"/>
      <c r="H1012" s="742" t="s">
        <v>3</v>
      </c>
      <c r="I1012" s="803">
        <v>1</v>
      </c>
      <c r="J1012" s="799">
        <v>25.33</v>
      </c>
      <c r="K1012" s="814">
        <v>25.33</v>
      </c>
      <c r="L1012" s="778">
        <v>25.07</v>
      </c>
      <c r="M1012" s="743">
        <v>25.07</v>
      </c>
    </row>
    <row r="1013" spans="2:13" ht="24" customHeight="1" x14ac:dyDescent="0.25">
      <c r="B1013" s="765" t="s">
        <v>478</v>
      </c>
      <c r="C1013" s="750" t="s">
        <v>662</v>
      </c>
      <c r="D1013" s="749" t="s">
        <v>475</v>
      </c>
      <c r="E1013" s="749" t="s">
        <v>1189</v>
      </c>
      <c r="F1013" s="1008" t="s">
        <v>1291</v>
      </c>
      <c r="G1013" s="1009"/>
      <c r="H1013" s="751" t="s">
        <v>2</v>
      </c>
      <c r="I1013" s="791">
        <v>3.3000000000000002E-2</v>
      </c>
      <c r="J1013" s="802">
        <v>90.03</v>
      </c>
      <c r="K1013" s="779">
        <v>2.97</v>
      </c>
      <c r="L1013" s="822">
        <v>85.24</v>
      </c>
      <c r="M1013" s="753">
        <v>2.81</v>
      </c>
    </row>
    <row r="1014" spans="2:13" ht="39" customHeight="1" x14ac:dyDescent="0.25">
      <c r="B1014" s="765" t="s">
        <v>478</v>
      </c>
      <c r="C1014" s="750" t="s">
        <v>1188</v>
      </c>
      <c r="D1014" s="749" t="s">
        <v>509</v>
      </c>
      <c r="E1014" s="749" t="s">
        <v>661</v>
      </c>
      <c r="F1014" s="1008" t="s">
        <v>477</v>
      </c>
      <c r="G1014" s="1009"/>
      <c r="H1014" s="751" t="s">
        <v>491</v>
      </c>
      <c r="I1014" s="791">
        <v>1</v>
      </c>
      <c r="J1014" s="802">
        <v>3.22</v>
      </c>
      <c r="K1014" s="779">
        <v>3.22</v>
      </c>
      <c r="L1014" s="822">
        <v>3.12</v>
      </c>
      <c r="M1014" s="753">
        <v>3.12</v>
      </c>
    </row>
    <row r="1015" spans="2:13" ht="47.25" x14ac:dyDescent="0.25">
      <c r="B1015" s="765" t="s">
        <v>487</v>
      </c>
      <c r="C1015" s="750" t="s">
        <v>709</v>
      </c>
      <c r="D1015" s="749" t="s">
        <v>475</v>
      </c>
      <c r="E1015" s="749" t="s">
        <v>710</v>
      </c>
      <c r="F1015" s="1008" t="s">
        <v>490</v>
      </c>
      <c r="G1015" s="1009"/>
      <c r="H1015" s="751" t="s">
        <v>2</v>
      </c>
      <c r="I1015" s="791">
        <v>3.3000000000000002E-2</v>
      </c>
      <c r="J1015" s="802">
        <v>580</v>
      </c>
      <c r="K1015" s="779">
        <v>19.14</v>
      </c>
      <c r="L1015" s="822">
        <v>580</v>
      </c>
      <c r="M1015" s="753">
        <v>19.14</v>
      </c>
    </row>
    <row r="1016" spans="2:13" x14ac:dyDescent="0.25">
      <c r="B1016" s="823"/>
      <c r="C1016" s="744"/>
      <c r="D1016" s="744"/>
      <c r="E1016" s="744"/>
      <c r="F1016" s="744" t="s">
        <v>498</v>
      </c>
      <c r="G1016" s="745">
        <v>3.45</v>
      </c>
      <c r="H1016" s="744" t="s">
        <v>499</v>
      </c>
      <c r="I1016" s="787">
        <v>0</v>
      </c>
      <c r="J1016" s="823" t="s">
        <v>500</v>
      </c>
      <c r="K1016" s="787">
        <v>3.45</v>
      </c>
      <c r="L1016" s="744" t="s">
        <v>500</v>
      </c>
      <c r="M1016" s="745">
        <v>3.19</v>
      </c>
    </row>
    <row r="1017" spans="2:13" ht="14.25" customHeight="1" x14ac:dyDescent="0.25">
      <c r="B1017" s="823"/>
      <c r="C1017" s="744"/>
      <c r="D1017" s="744"/>
      <c r="E1017" s="744"/>
      <c r="F1017" s="744" t="s">
        <v>501</v>
      </c>
      <c r="G1017" s="745">
        <v>6.39</v>
      </c>
      <c r="H1017" s="744"/>
      <c r="I1017" s="812" t="s">
        <v>502</v>
      </c>
      <c r="J1017" s="793"/>
      <c r="K1017" s="787">
        <v>31.72</v>
      </c>
      <c r="L1017" s="746"/>
      <c r="M1017" s="745">
        <v>32.75</v>
      </c>
    </row>
    <row r="1018" spans="2:13" ht="50.1" customHeight="1" thickBot="1" x14ac:dyDescent="0.3">
      <c r="B1018" s="776"/>
      <c r="C1018" s="747"/>
      <c r="D1018" s="747"/>
      <c r="E1018" s="747"/>
      <c r="F1018" s="747"/>
      <c r="G1018" s="747"/>
      <c r="H1018" s="747" t="s">
        <v>503</v>
      </c>
      <c r="I1018" s="806" t="s">
        <v>1359</v>
      </c>
      <c r="J1018" s="776" t="s">
        <v>504</v>
      </c>
      <c r="K1018" s="807">
        <v>2061.8000000000002</v>
      </c>
      <c r="L1018" s="747" t="s">
        <v>504</v>
      </c>
      <c r="M1018" s="748">
        <v>2128.75</v>
      </c>
    </row>
    <row r="1019" spans="2:13" ht="16.5" thickTop="1" x14ac:dyDescent="0.25">
      <c r="B1019" s="768"/>
      <c r="C1019" s="757"/>
      <c r="D1019" s="757"/>
      <c r="E1019" s="757"/>
      <c r="F1019" s="757"/>
      <c r="G1019" s="757"/>
      <c r="H1019" s="757"/>
      <c r="I1019" s="766"/>
      <c r="J1019" s="768"/>
      <c r="K1019" s="766"/>
      <c r="L1019" s="757"/>
      <c r="M1019" s="757"/>
    </row>
    <row r="1020" spans="2:13" ht="24" customHeight="1" x14ac:dyDescent="0.25">
      <c r="B1020" s="771" t="s">
        <v>377</v>
      </c>
      <c r="C1020" s="617"/>
      <c r="D1020" s="617"/>
      <c r="E1020" s="617" t="s">
        <v>378</v>
      </c>
      <c r="F1020" s="617"/>
      <c r="G1020" s="755"/>
      <c r="H1020" s="755"/>
      <c r="I1020" s="792"/>
      <c r="J1020" s="771"/>
      <c r="K1020" s="796">
        <v>134903.54999999999</v>
      </c>
      <c r="L1020" s="815"/>
      <c r="M1020" s="756">
        <v>139389.85</v>
      </c>
    </row>
    <row r="1021" spans="2:13" ht="18" customHeight="1" x14ac:dyDescent="0.25">
      <c r="B1021" s="805" t="s">
        <v>456</v>
      </c>
      <c r="C1021" s="736" t="s">
        <v>391</v>
      </c>
      <c r="D1021" s="735" t="s">
        <v>392</v>
      </c>
      <c r="E1021" s="735" t="s">
        <v>42</v>
      </c>
      <c r="F1021" s="1004" t="s">
        <v>39</v>
      </c>
      <c r="G1021" s="1005"/>
      <c r="H1021" s="738" t="s">
        <v>394</v>
      </c>
      <c r="I1021" s="767" t="s">
        <v>395</v>
      </c>
      <c r="J1021" s="808" t="s">
        <v>396</v>
      </c>
      <c r="K1021" s="767" t="s">
        <v>0</v>
      </c>
      <c r="L1021" s="782" t="s">
        <v>396</v>
      </c>
      <c r="M1021" s="736" t="s">
        <v>0</v>
      </c>
    </row>
    <row r="1022" spans="2:13" ht="26.1" customHeight="1" x14ac:dyDescent="0.25">
      <c r="B1022" s="789" t="s">
        <v>473</v>
      </c>
      <c r="C1022" s="740" t="s">
        <v>799</v>
      </c>
      <c r="D1022" s="739" t="s">
        <v>509</v>
      </c>
      <c r="E1022" s="739" t="s">
        <v>800</v>
      </c>
      <c r="F1022" s="1010" t="s">
        <v>587</v>
      </c>
      <c r="G1022" s="1011"/>
      <c r="H1022" s="742" t="s">
        <v>1</v>
      </c>
      <c r="I1022" s="803">
        <v>1</v>
      </c>
      <c r="J1022" s="799">
        <v>1.33</v>
      </c>
      <c r="K1022" s="814">
        <v>1.33</v>
      </c>
      <c r="L1022" s="778">
        <v>1.29</v>
      </c>
      <c r="M1022" s="743">
        <v>1.29</v>
      </c>
    </row>
    <row r="1023" spans="2:13" ht="47.25" x14ac:dyDescent="0.25">
      <c r="B1023" s="765" t="s">
        <v>478</v>
      </c>
      <c r="C1023" s="750" t="s">
        <v>801</v>
      </c>
      <c r="D1023" s="749" t="s">
        <v>475</v>
      </c>
      <c r="E1023" s="749" t="s">
        <v>802</v>
      </c>
      <c r="F1023" s="1008" t="s">
        <v>1285</v>
      </c>
      <c r="G1023" s="1009"/>
      <c r="H1023" s="751" t="s">
        <v>592</v>
      </c>
      <c r="I1023" s="791">
        <v>4.0000000000000001E-3</v>
      </c>
      <c r="J1023" s="802">
        <v>65.67</v>
      </c>
      <c r="K1023" s="779">
        <v>0.26</v>
      </c>
      <c r="L1023" s="822">
        <v>63.78</v>
      </c>
      <c r="M1023" s="753">
        <v>0.25</v>
      </c>
    </row>
    <row r="1024" spans="2:13" ht="24" customHeight="1" x14ac:dyDescent="0.25">
      <c r="B1024" s="765" t="s">
        <v>478</v>
      </c>
      <c r="C1024" s="750" t="s">
        <v>485</v>
      </c>
      <c r="D1024" s="749" t="s">
        <v>475</v>
      </c>
      <c r="E1024" s="749" t="s">
        <v>486</v>
      </c>
      <c r="F1024" s="1008" t="s">
        <v>1268</v>
      </c>
      <c r="G1024" s="1009"/>
      <c r="H1024" s="751" t="s">
        <v>484</v>
      </c>
      <c r="I1024" s="791">
        <v>0.01</v>
      </c>
      <c r="J1024" s="802">
        <v>22.76</v>
      </c>
      <c r="K1024" s="779">
        <v>0.22</v>
      </c>
      <c r="L1024" s="822">
        <v>21.55</v>
      </c>
      <c r="M1024" s="753">
        <v>0.21</v>
      </c>
    </row>
    <row r="1025" spans="2:13" ht="47.25" x14ac:dyDescent="0.25">
      <c r="B1025" s="765" t="s">
        <v>478</v>
      </c>
      <c r="C1025" s="750" t="s">
        <v>803</v>
      </c>
      <c r="D1025" s="749" t="s">
        <v>475</v>
      </c>
      <c r="E1025" s="749" t="s">
        <v>804</v>
      </c>
      <c r="F1025" s="1008" t="s">
        <v>1285</v>
      </c>
      <c r="G1025" s="1009"/>
      <c r="H1025" s="751" t="s">
        <v>564</v>
      </c>
      <c r="I1025" s="791">
        <v>6.0000000000000001E-3</v>
      </c>
      <c r="J1025" s="802">
        <v>141.79</v>
      </c>
      <c r="K1025" s="779">
        <v>0.85</v>
      </c>
      <c r="L1025" s="822">
        <v>139.9</v>
      </c>
      <c r="M1025" s="753">
        <v>0.83</v>
      </c>
    </row>
    <row r="1026" spans="2:13" x14ac:dyDescent="0.25">
      <c r="B1026" s="823"/>
      <c r="C1026" s="744"/>
      <c r="D1026" s="744"/>
      <c r="E1026" s="744"/>
      <c r="F1026" s="744" t="s">
        <v>498</v>
      </c>
      <c r="G1026" s="745">
        <v>0.41</v>
      </c>
      <c r="H1026" s="744" t="s">
        <v>499</v>
      </c>
      <c r="I1026" s="787">
        <v>0</v>
      </c>
      <c r="J1026" s="823" t="s">
        <v>500</v>
      </c>
      <c r="K1026" s="787">
        <v>0.41</v>
      </c>
      <c r="L1026" s="744" t="s">
        <v>500</v>
      </c>
      <c r="M1026" s="745">
        <v>0.38</v>
      </c>
    </row>
    <row r="1027" spans="2:13" ht="14.25" customHeight="1" x14ac:dyDescent="0.25">
      <c r="B1027" s="823"/>
      <c r="C1027" s="744"/>
      <c r="D1027" s="744"/>
      <c r="E1027" s="744"/>
      <c r="F1027" s="744" t="s">
        <v>501</v>
      </c>
      <c r="G1027" s="745">
        <v>0.33</v>
      </c>
      <c r="H1027" s="744"/>
      <c r="I1027" s="812" t="s">
        <v>502</v>
      </c>
      <c r="J1027" s="793"/>
      <c r="K1027" s="787">
        <v>1.66</v>
      </c>
      <c r="L1027" s="746"/>
      <c r="M1027" s="745">
        <v>1.68</v>
      </c>
    </row>
    <row r="1028" spans="2:13" ht="50.1" customHeight="1" thickBot="1" x14ac:dyDescent="0.3">
      <c r="B1028" s="776"/>
      <c r="C1028" s="747"/>
      <c r="D1028" s="747"/>
      <c r="E1028" s="747"/>
      <c r="F1028" s="747"/>
      <c r="G1028" s="747"/>
      <c r="H1028" s="747" t="s">
        <v>503</v>
      </c>
      <c r="I1028" s="806" t="s">
        <v>1360</v>
      </c>
      <c r="J1028" s="776" t="s">
        <v>504</v>
      </c>
      <c r="K1028" s="807">
        <v>2108.61</v>
      </c>
      <c r="L1028" s="747" t="s">
        <v>504</v>
      </c>
      <c r="M1028" s="748">
        <v>2134.02</v>
      </c>
    </row>
    <row r="1029" spans="2:13" ht="16.5" thickTop="1" x14ac:dyDescent="0.25">
      <c r="B1029" s="768"/>
      <c r="C1029" s="757"/>
      <c r="D1029" s="757"/>
      <c r="E1029" s="757"/>
      <c r="F1029" s="757"/>
      <c r="G1029" s="757"/>
      <c r="H1029" s="757"/>
      <c r="I1029" s="766"/>
      <c r="J1029" s="768"/>
      <c r="K1029" s="766"/>
      <c r="L1029" s="757"/>
      <c r="M1029" s="757"/>
    </row>
    <row r="1030" spans="2:13" ht="18" customHeight="1" x14ac:dyDescent="0.25">
      <c r="B1030" s="805" t="s">
        <v>457</v>
      </c>
      <c r="C1030" s="736" t="s">
        <v>391</v>
      </c>
      <c r="D1030" s="735" t="s">
        <v>392</v>
      </c>
      <c r="E1030" s="735" t="s">
        <v>42</v>
      </c>
      <c r="F1030" s="1004" t="s">
        <v>39</v>
      </c>
      <c r="G1030" s="1005"/>
      <c r="H1030" s="738" t="s">
        <v>394</v>
      </c>
      <c r="I1030" s="767" t="s">
        <v>395</v>
      </c>
      <c r="J1030" s="808" t="s">
        <v>396</v>
      </c>
      <c r="K1030" s="767" t="s">
        <v>0</v>
      </c>
      <c r="L1030" s="782" t="s">
        <v>396</v>
      </c>
      <c r="M1030" s="736" t="s">
        <v>0</v>
      </c>
    </row>
    <row r="1031" spans="2:13" ht="47.25" x14ac:dyDescent="0.25">
      <c r="B1031" s="789" t="s">
        <v>473</v>
      </c>
      <c r="C1031" s="740" t="s">
        <v>805</v>
      </c>
      <c r="D1031" s="739" t="s">
        <v>475</v>
      </c>
      <c r="E1031" s="739" t="s">
        <v>806</v>
      </c>
      <c r="F1031" s="1010" t="s">
        <v>1442</v>
      </c>
      <c r="G1031" s="1011"/>
      <c r="H1031" s="742" t="s">
        <v>1</v>
      </c>
      <c r="I1031" s="803">
        <v>1</v>
      </c>
      <c r="J1031" s="799">
        <v>0.73</v>
      </c>
      <c r="K1031" s="814">
        <v>0.73</v>
      </c>
      <c r="L1031" s="778">
        <v>0.69</v>
      </c>
      <c r="M1031" s="743">
        <v>0.69</v>
      </c>
    </row>
    <row r="1032" spans="2:13" ht="47.25" x14ac:dyDescent="0.25">
      <c r="B1032" s="765" t="s">
        <v>478</v>
      </c>
      <c r="C1032" s="750" t="s">
        <v>807</v>
      </c>
      <c r="D1032" s="749" t="s">
        <v>475</v>
      </c>
      <c r="E1032" s="749" t="s">
        <v>808</v>
      </c>
      <c r="F1032" s="1008" t="s">
        <v>1285</v>
      </c>
      <c r="G1032" s="1009"/>
      <c r="H1032" s="751" t="s">
        <v>564</v>
      </c>
      <c r="I1032" s="791">
        <v>5.0000000000000001E-3</v>
      </c>
      <c r="J1032" s="802">
        <v>10.050000000000001</v>
      </c>
      <c r="K1032" s="779">
        <v>0.05</v>
      </c>
      <c r="L1032" s="822">
        <v>10.050000000000001</v>
      </c>
      <c r="M1032" s="753">
        <v>0.05</v>
      </c>
    </row>
    <row r="1033" spans="2:13" ht="24" customHeight="1" x14ac:dyDescent="0.25">
      <c r="B1033" s="765" t="s">
        <v>478</v>
      </c>
      <c r="C1033" s="750" t="s">
        <v>620</v>
      </c>
      <c r="D1033" s="749" t="s">
        <v>475</v>
      </c>
      <c r="E1033" s="749" t="s">
        <v>621</v>
      </c>
      <c r="F1033" s="1008" t="s">
        <v>1268</v>
      </c>
      <c r="G1033" s="1009"/>
      <c r="H1033" s="751" t="s">
        <v>484</v>
      </c>
      <c r="I1033" s="791">
        <v>8.9999999999999993E-3</v>
      </c>
      <c r="J1033" s="802">
        <v>28.5</v>
      </c>
      <c r="K1033" s="779">
        <v>0.25</v>
      </c>
      <c r="L1033" s="822">
        <v>26.87</v>
      </c>
      <c r="M1033" s="753">
        <v>0.24</v>
      </c>
    </row>
    <row r="1034" spans="2:13" ht="24" customHeight="1" x14ac:dyDescent="0.25">
      <c r="B1034" s="765" t="s">
        <v>478</v>
      </c>
      <c r="C1034" s="750" t="s">
        <v>485</v>
      </c>
      <c r="D1034" s="749" t="s">
        <v>475</v>
      </c>
      <c r="E1034" s="749" t="s">
        <v>486</v>
      </c>
      <c r="F1034" s="1008" t="s">
        <v>1268</v>
      </c>
      <c r="G1034" s="1009"/>
      <c r="H1034" s="751" t="s">
        <v>484</v>
      </c>
      <c r="I1034" s="791">
        <v>1.9E-2</v>
      </c>
      <c r="J1034" s="802">
        <v>22.76</v>
      </c>
      <c r="K1034" s="779">
        <v>0.43</v>
      </c>
      <c r="L1034" s="822">
        <v>21.55</v>
      </c>
      <c r="M1034" s="753">
        <v>0.4</v>
      </c>
    </row>
    <row r="1035" spans="2:13" x14ac:dyDescent="0.25">
      <c r="B1035" s="823"/>
      <c r="C1035" s="744"/>
      <c r="D1035" s="744"/>
      <c r="E1035" s="744"/>
      <c r="F1035" s="744" t="s">
        <v>498</v>
      </c>
      <c r="G1035" s="745">
        <v>0.49</v>
      </c>
      <c r="H1035" s="744" t="s">
        <v>499</v>
      </c>
      <c r="I1035" s="787">
        <v>0</v>
      </c>
      <c r="J1035" s="823" t="s">
        <v>500</v>
      </c>
      <c r="K1035" s="787">
        <v>0.49</v>
      </c>
      <c r="L1035" s="744" t="s">
        <v>500</v>
      </c>
      <c r="M1035" s="745">
        <v>0.46</v>
      </c>
    </row>
    <row r="1036" spans="2:13" ht="14.25" customHeight="1" x14ac:dyDescent="0.25">
      <c r="B1036" s="823"/>
      <c r="C1036" s="744"/>
      <c r="D1036" s="744"/>
      <c r="E1036" s="744"/>
      <c r="F1036" s="744" t="s">
        <v>501</v>
      </c>
      <c r="G1036" s="745">
        <v>0.18</v>
      </c>
      <c r="H1036" s="744"/>
      <c r="I1036" s="812" t="s">
        <v>502</v>
      </c>
      <c r="J1036" s="793"/>
      <c r="K1036" s="787">
        <v>0.91</v>
      </c>
      <c r="L1036" s="746"/>
      <c r="M1036" s="745">
        <v>0.9</v>
      </c>
    </row>
    <row r="1037" spans="2:13" ht="50.1" customHeight="1" thickBot="1" x14ac:dyDescent="0.3">
      <c r="B1037" s="776"/>
      <c r="C1037" s="747"/>
      <c r="D1037" s="747"/>
      <c r="E1037" s="747"/>
      <c r="F1037" s="747"/>
      <c r="G1037" s="747"/>
      <c r="H1037" s="747" t="s">
        <v>503</v>
      </c>
      <c r="I1037" s="806" t="s">
        <v>1360</v>
      </c>
      <c r="J1037" s="776" t="s">
        <v>504</v>
      </c>
      <c r="K1037" s="807">
        <v>1155.92</v>
      </c>
      <c r="L1037" s="747" t="s">
        <v>504</v>
      </c>
      <c r="M1037" s="748">
        <v>1143.22</v>
      </c>
    </row>
    <row r="1038" spans="2:13" ht="16.5" thickTop="1" x14ac:dyDescent="0.25">
      <c r="B1038" s="768"/>
      <c r="C1038" s="757"/>
      <c r="D1038" s="757"/>
      <c r="E1038" s="757"/>
      <c r="F1038" s="757"/>
      <c r="G1038" s="757"/>
      <c r="H1038" s="757"/>
      <c r="I1038" s="766"/>
      <c r="J1038" s="768"/>
      <c r="K1038" s="766"/>
      <c r="L1038" s="757"/>
      <c r="M1038" s="757"/>
    </row>
    <row r="1039" spans="2:13" ht="18" customHeight="1" x14ac:dyDescent="0.25">
      <c r="B1039" s="805" t="s">
        <v>458</v>
      </c>
      <c r="C1039" s="736" t="s">
        <v>391</v>
      </c>
      <c r="D1039" s="735" t="s">
        <v>392</v>
      </c>
      <c r="E1039" s="735" t="s">
        <v>42</v>
      </c>
      <c r="F1039" s="1004" t="s">
        <v>39</v>
      </c>
      <c r="G1039" s="1005"/>
      <c r="H1039" s="738" t="s">
        <v>394</v>
      </c>
      <c r="I1039" s="767" t="s">
        <v>395</v>
      </c>
      <c r="J1039" s="808" t="s">
        <v>396</v>
      </c>
      <c r="K1039" s="767" t="s">
        <v>0</v>
      </c>
      <c r="L1039" s="782" t="s">
        <v>396</v>
      </c>
      <c r="M1039" s="736" t="s">
        <v>0</v>
      </c>
    </row>
    <row r="1040" spans="2:13" ht="51.95" customHeight="1" x14ac:dyDescent="0.25">
      <c r="B1040" s="789" t="s">
        <v>473</v>
      </c>
      <c r="C1040" s="740" t="s">
        <v>599</v>
      </c>
      <c r="D1040" s="739" t="s">
        <v>475</v>
      </c>
      <c r="E1040" s="739" t="s">
        <v>600</v>
      </c>
      <c r="F1040" s="1010" t="s">
        <v>1289</v>
      </c>
      <c r="G1040" s="1011"/>
      <c r="H1040" s="742" t="s">
        <v>2</v>
      </c>
      <c r="I1040" s="803">
        <v>1</v>
      </c>
      <c r="J1040" s="799">
        <v>7.03</v>
      </c>
      <c r="K1040" s="814">
        <v>7.03</v>
      </c>
      <c r="L1040" s="778">
        <v>6.95</v>
      </c>
      <c r="M1040" s="743">
        <v>6.95</v>
      </c>
    </row>
    <row r="1041" spans="2:13" ht="39" customHeight="1" x14ac:dyDescent="0.25">
      <c r="B1041" s="765" t="s">
        <v>478</v>
      </c>
      <c r="C1041" s="750" t="s">
        <v>595</v>
      </c>
      <c r="D1041" s="749" t="s">
        <v>475</v>
      </c>
      <c r="E1041" s="749" t="s">
        <v>596</v>
      </c>
      <c r="F1041" s="1008" t="s">
        <v>1285</v>
      </c>
      <c r="G1041" s="1009"/>
      <c r="H1041" s="751" t="s">
        <v>564</v>
      </c>
      <c r="I1041" s="791">
        <v>4.1999999999999997E-3</v>
      </c>
      <c r="J1041" s="802">
        <v>251.7</v>
      </c>
      <c r="K1041" s="779">
        <v>1.05</v>
      </c>
      <c r="L1041" s="822">
        <v>249.57</v>
      </c>
      <c r="M1041" s="753">
        <v>1.04</v>
      </c>
    </row>
    <row r="1042" spans="2:13" ht="65.099999999999994" customHeight="1" x14ac:dyDescent="0.25">
      <c r="B1042" s="765" t="s">
        <v>478</v>
      </c>
      <c r="C1042" s="750" t="s">
        <v>603</v>
      </c>
      <c r="D1042" s="749" t="s">
        <v>475</v>
      </c>
      <c r="E1042" s="749" t="s">
        <v>604</v>
      </c>
      <c r="F1042" s="1008" t="s">
        <v>1285</v>
      </c>
      <c r="G1042" s="1009"/>
      <c r="H1042" s="751" t="s">
        <v>592</v>
      </c>
      <c r="I1042" s="791">
        <v>1.2E-2</v>
      </c>
      <c r="J1042" s="802">
        <v>74.48</v>
      </c>
      <c r="K1042" s="779">
        <v>0.89</v>
      </c>
      <c r="L1042" s="822">
        <v>72.81</v>
      </c>
      <c r="M1042" s="753">
        <v>0.87</v>
      </c>
    </row>
    <row r="1043" spans="2:13" ht="65.099999999999994" customHeight="1" x14ac:dyDescent="0.25">
      <c r="B1043" s="765" t="s">
        <v>478</v>
      </c>
      <c r="C1043" s="750" t="s">
        <v>601</v>
      </c>
      <c r="D1043" s="749" t="s">
        <v>475</v>
      </c>
      <c r="E1043" s="749" t="s">
        <v>602</v>
      </c>
      <c r="F1043" s="1008" t="s">
        <v>1285</v>
      </c>
      <c r="G1043" s="1009"/>
      <c r="H1043" s="751" t="s">
        <v>564</v>
      </c>
      <c r="I1043" s="791">
        <v>1.5699999999999999E-2</v>
      </c>
      <c r="J1043" s="802">
        <v>270.25</v>
      </c>
      <c r="K1043" s="779">
        <v>4.24</v>
      </c>
      <c r="L1043" s="822">
        <v>268.58</v>
      </c>
      <c r="M1043" s="753">
        <v>4.21</v>
      </c>
    </row>
    <row r="1044" spans="2:13" ht="39" customHeight="1" x14ac:dyDescent="0.25">
      <c r="B1044" s="765" t="s">
        <v>478</v>
      </c>
      <c r="C1044" s="750" t="s">
        <v>597</v>
      </c>
      <c r="D1044" s="749" t="s">
        <v>475</v>
      </c>
      <c r="E1044" s="749" t="s">
        <v>598</v>
      </c>
      <c r="F1044" s="1008" t="s">
        <v>1285</v>
      </c>
      <c r="G1044" s="1009"/>
      <c r="H1044" s="751" t="s">
        <v>592</v>
      </c>
      <c r="I1044" s="791">
        <v>8.6999999999999994E-3</v>
      </c>
      <c r="J1044" s="802">
        <v>98.52</v>
      </c>
      <c r="K1044" s="779">
        <v>0.85</v>
      </c>
      <c r="L1044" s="822">
        <v>96.39</v>
      </c>
      <c r="M1044" s="753">
        <v>0.83</v>
      </c>
    </row>
    <row r="1045" spans="2:13" x14ac:dyDescent="0.25">
      <c r="B1045" s="823"/>
      <c r="C1045" s="744"/>
      <c r="D1045" s="744"/>
      <c r="E1045" s="744"/>
      <c r="F1045" s="744" t="s">
        <v>498</v>
      </c>
      <c r="G1045" s="745">
        <v>0.95</v>
      </c>
      <c r="H1045" s="744" t="s">
        <v>499</v>
      </c>
      <c r="I1045" s="787">
        <v>0</v>
      </c>
      <c r="J1045" s="823" t="s">
        <v>500</v>
      </c>
      <c r="K1045" s="787">
        <v>0.95</v>
      </c>
      <c r="L1045" s="744" t="s">
        <v>500</v>
      </c>
      <c r="M1045" s="745">
        <v>0.9</v>
      </c>
    </row>
    <row r="1046" spans="2:13" ht="14.25" customHeight="1" x14ac:dyDescent="0.25">
      <c r="B1046" s="823"/>
      <c r="C1046" s="744"/>
      <c r="D1046" s="744"/>
      <c r="E1046" s="744"/>
      <c r="F1046" s="744" t="s">
        <v>501</v>
      </c>
      <c r="G1046" s="745">
        <v>1.77</v>
      </c>
      <c r="H1046" s="744"/>
      <c r="I1046" s="812" t="s">
        <v>502</v>
      </c>
      <c r="J1046" s="793"/>
      <c r="K1046" s="787">
        <v>8.8000000000000007</v>
      </c>
      <c r="L1046" s="746"/>
      <c r="M1046" s="745">
        <v>9.08</v>
      </c>
    </row>
    <row r="1047" spans="2:13" ht="50.1" customHeight="1" thickBot="1" x14ac:dyDescent="0.3">
      <c r="B1047" s="776"/>
      <c r="C1047" s="747"/>
      <c r="D1047" s="747"/>
      <c r="E1047" s="747"/>
      <c r="F1047" s="747"/>
      <c r="G1047" s="747"/>
      <c r="H1047" s="747" t="s">
        <v>503</v>
      </c>
      <c r="I1047" s="806" t="s">
        <v>1361</v>
      </c>
      <c r="J1047" s="776" t="s">
        <v>504</v>
      </c>
      <c r="K1047" s="807">
        <v>1117.77</v>
      </c>
      <c r="L1047" s="747" t="s">
        <v>504</v>
      </c>
      <c r="M1047" s="748">
        <v>1153.3399999999999</v>
      </c>
    </row>
    <row r="1048" spans="2:13" ht="16.5" thickTop="1" x14ac:dyDescent="0.25">
      <c r="B1048" s="768"/>
      <c r="C1048" s="757"/>
      <c r="D1048" s="757"/>
      <c r="E1048" s="757"/>
      <c r="F1048" s="757"/>
      <c r="G1048" s="757"/>
      <c r="H1048" s="757"/>
      <c r="I1048" s="766"/>
      <c r="J1048" s="768"/>
      <c r="K1048" s="766"/>
      <c r="L1048" s="757"/>
      <c r="M1048" s="757"/>
    </row>
    <row r="1049" spans="2:13" ht="18" customHeight="1" x14ac:dyDescent="0.25">
      <c r="B1049" s="805" t="s">
        <v>459</v>
      </c>
      <c r="C1049" s="736" t="s">
        <v>391</v>
      </c>
      <c r="D1049" s="735" t="s">
        <v>392</v>
      </c>
      <c r="E1049" s="735" t="s">
        <v>42</v>
      </c>
      <c r="F1049" s="1004" t="s">
        <v>39</v>
      </c>
      <c r="G1049" s="1005"/>
      <c r="H1049" s="738" t="s">
        <v>394</v>
      </c>
      <c r="I1049" s="767" t="s">
        <v>395</v>
      </c>
      <c r="J1049" s="808" t="s">
        <v>396</v>
      </c>
      <c r="K1049" s="767" t="s">
        <v>0</v>
      </c>
      <c r="L1049" s="782" t="s">
        <v>396</v>
      </c>
      <c r="M1049" s="736" t="s">
        <v>0</v>
      </c>
    </row>
    <row r="1050" spans="2:13" ht="39" customHeight="1" x14ac:dyDescent="0.25">
      <c r="B1050" s="789" t="s">
        <v>473</v>
      </c>
      <c r="C1050" s="740" t="s">
        <v>605</v>
      </c>
      <c r="D1050" s="739" t="s">
        <v>475</v>
      </c>
      <c r="E1050" s="739" t="s">
        <v>731</v>
      </c>
      <c r="F1050" s="1010" t="s">
        <v>1289</v>
      </c>
      <c r="G1050" s="1011"/>
      <c r="H1050" s="742" t="s">
        <v>606</v>
      </c>
      <c r="I1050" s="803">
        <v>1</v>
      </c>
      <c r="J1050" s="799">
        <v>2.5</v>
      </c>
      <c r="K1050" s="814">
        <v>2.5</v>
      </c>
      <c r="L1050" s="778">
        <v>2.48</v>
      </c>
      <c r="M1050" s="743">
        <v>2.48</v>
      </c>
    </row>
    <row r="1051" spans="2:13" ht="65.099999999999994" customHeight="1" x14ac:dyDescent="0.25">
      <c r="B1051" s="765" t="s">
        <v>478</v>
      </c>
      <c r="C1051" s="750" t="s">
        <v>603</v>
      </c>
      <c r="D1051" s="749" t="s">
        <v>475</v>
      </c>
      <c r="E1051" s="749" t="s">
        <v>604</v>
      </c>
      <c r="F1051" s="1008" t="s">
        <v>1285</v>
      </c>
      <c r="G1051" s="1009"/>
      <c r="H1051" s="751" t="s">
        <v>592</v>
      </c>
      <c r="I1051" s="791">
        <v>3.5999999999999999E-3</v>
      </c>
      <c r="J1051" s="802">
        <v>74.48</v>
      </c>
      <c r="K1051" s="779">
        <v>0.26</v>
      </c>
      <c r="L1051" s="822">
        <v>72.81</v>
      </c>
      <c r="M1051" s="753">
        <v>0.26</v>
      </c>
    </row>
    <row r="1052" spans="2:13" ht="65.099999999999994" customHeight="1" x14ac:dyDescent="0.25">
      <c r="B1052" s="765" t="s">
        <v>478</v>
      </c>
      <c r="C1052" s="750" t="s">
        <v>601</v>
      </c>
      <c r="D1052" s="749" t="s">
        <v>475</v>
      </c>
      <c r="E1052" s="749" t="s">
        <v>602</v>
      </c>
      <c r="F1052" s="1008" t="s">
        <v>1285</v>
      </c>
      <c r="G1052" s="1009"/>
      <c r="H1052" s="751" t="s">
        <v>564</v>
      </c>
      <c r="I1052" s="791">
        <v>8.3000000000000001E-3</v>
      </c>
      <c r="J1052" s="802">
        <v>270.25</v>
      </c>
      <c r="K1052" s="779">
        <v>2.2400000000000002</v>
      </c>
      <c r="L1052" s="822">
        <v>268.58</v>
      </c>
      <c r="M1052" s="753">
        <v>2.2200000000000002</v>
      </c>
    </row>
    <row r="1053" spans="2:13" x14ac:dyDescent="0.25">
      <c r="B1053" s="823"/>
      <c r="C1053" s="744"/>
      <c r="D1053" s="744"/>
      <c r="E1053" s="744"/>
      <c r="F1053" s="744" t="s">
        <v>498</v>
      </c>
      <c r="G1053" s="745">
        <v>0.25</v>
      </c>
      <c r="H1053" s="744" t="s">
        <v>499</v>
      </c>
      <c r="I1053" s="787">
        <v>0</v>
      </c>
      <c r="J1053" s="823" t="s">
        <v>500</v>
      </c>
      <c r="K1053" s="787">
        <v>0.25</v>
      </c>
      <c r="L1053" s="744" t="s">
        <v>500</v>
      </c>
      <c r="M1053" s="745">
        <v>0.24</v>
      </c>
    </row>
    <row r="1054" spans="2:13" ht="14.25" customHeight="1" x14ac:dyDescent="0.25">
      <c r="B1054" s="823"/>
      <c r="C1054" s="744"/>
      <c r="D1054" s="744"/>
      <c r="E1054" s="744"/>
      <c r="F1054" s="744" t="s">
        <v>501</v>
      </c>
      <c r="G1054" s="745">
        <v>0.63</v>
      </c>
      <c r="H1054" s="744"/>
      <c r="I1054" s="812" t="s">
        <v>502</v>
      </c>
      <c r="J1054" s="793"/>
      <c r="K1054" s="787">
        <v>3.13</v>
      </c>
      <c r="L1054" s="746"/>
      <c r="M1054" s="745">
        <v>3.24</v>
      </c>
    </row>
    <row r="1055" spans="2:13" ht="50.1" customHeight="1" thickBot="1" x14ac:dyDescent="0.3">
      <c r="B1055" s="776"/>
      <c r="C1055" s="747"/>
      <c r="D1055" s="747"/>
      <c r="E1055" s="747"/>
      <c r="F1055" s="747"/>
      <c r="G1055" s="747"/>
      <c r="H1055" s="747" t="s">
        <v>503</v>
      </c>
      <c r="I1055" s="806" t="s">
        <v>1552</v>
      </c>
      <c r="J1055" s="776" t="s">
        <v>504</v>
      </c>
      <c r="K1055" s="807">
        <v>1828.82</v>
      </c>
      <c r="L1055" s="747" t="s">
        <v>504</v>
      </c>
      <c r="M1055" s="748">
        <v>1893.09</v>
      </c>
    </row>
    <row r="1056" spans="2:13" ht="16.5" thickTop="1" x14ac:dyDescent="0.25">
      <c r="B1056" s="768"/>
      <c r="C1056" s="757"/>
      <c r="D1056" s="757"/>
      <c r="E1056" s="757"/>
      <c r="F1056" s="757"/>
      <c r="G1056" s="757"/>
      <c r="H1056" s="757"/>
      <c r="I1056" s="766"/>
      <c r="J1056" s="768"/>
      <c r="K1056" s="766"/>
      <c r="L1056" s="757"/>
      <c r="M1056" s="757"/>
    </row>
    <row r="1057" spans="2:13" ht="18" customHeight="1" x14ac:dyDescent="0.25">
      <c r="B1057" s="805" t="s">
        <v>460</v>
      </c>
      <c r="C1057" s="736" t="s">
        <v>391</v>
      </c>
      <c r="D1057" s="735" t="s">
        <v>392</v>
      </c>
      <c r="E1057" s="735" t="s">
        <v>42</v>
      </c>
      <c r="F1057" s="1004" t="s">
        <v>39</v>
      </c>
      <c r="G1057" s="1005"/>
      <c r="H1057" s="738" t="s">
        <v>394</v>
      </c>
      <c r="I1057" s="767" t="s">
        <v>395</v>
      </c>
      <c r="J1057" s="808" t="s">
        <v>396</v>
      </c>
      <c r="K1057" s="767" t="s">
        <v>0</v>
      </c>
      <c r="L1057" s="782" t="s">
        <v>396</v>
      </c>
      <c r="M1057" s="736" t="s">
        <v>0</v>
      </c>
    </row>
    <row r="1058" spans="2:13" ht="47.25" x14ac:dyDescent="0.25">
      <c r="B1058" s="789" t="s">
        <v>473</v>
      </c>
      <c r="C1058" s="740" t="s">
        <v>809</v>
      </c>
      <c r="D1058" s="739" t="s">
        <v>475</v>
      </c>
      <c r="E1058" s="739" t="s">
        <v>810</v>
      </c>
      <c r="F1058" s="1010" t="s">
        <v>1443</v>
      </c>
      <c r="G1058" s="1011"/>
      <c r="H1058" s="742" t="s">
        <v>2</v>
      </c>
      <c r="I1058" s="803">
        <v>1</v>
      </c>
      <c r="J1058" s="799">
        <v>827.33</v>
      </c>
      <c r="K1058" s="814">
        <v>827.33</v>
      </c>
      <c r="L1058" s="778">
        <v>822.3</v>
      </c>
      <c r="M1058" s="743">
        <v>822.3</v>
      </c>
    </row>
    <row r="1059" spans="2:13" ht="24" customHeight="1" x14ac:dyDescent="0.25">
      <c r="B1059" s="765" t="s">
        <v>478</v>
      </c>
      <c r="C1059" s="750" t="s">
        <v>485</v>
      </c>
      <c r="D1059" s="749" t="s">
        <v>475</v>
      </c>
      <c r="E1059" s="749" t="s">
        <v>486</v>
      </c>
      <c r="F1059" s="1008" t="s">
        <v>1268</v>
      </c>
      <c r="G1059" s="1009"/>
      <c r="H1059" s="751" t="s">
        <v>484</v>
      </c>
      <c r="I1059" s="791">
        <v>1.7827999999999999</v>
      </c>
      <c r="J1059" s="802">
        <v>22.76</v>
      </c>
      <c r="K1059" s="779">
        <v>40.57</v>
      </c>
      <c r="L1059" s="822">
        <v>21.55</v>
      </c>
      <c r="M1059" s="753">
        <v>38.409999999999997</v>
      </c>
    </row>
    <row r="1060" spans="2:13" ht="31.5" customHeight="1" x14ac:dyDescent="0.25">
      <c r="B1060" s="765" t="s">
        <v>478</v>
      </c>
      <c r="C1060" s="750" t="s">
        <v>620</v>
      </c>
      <c r="D1060" s="749" t="s">
        <v>475</v>
      </c>
      <c r="E1060" s="749" t="s">
        <v>621</v>
      </c>
      <c r="F1060" s="1008" t="s">
        <v>1268</v>
      </c>
      <c r="G1060" s="1009"/>
      <c r="H1060" s="751" t="s">
        <v>484</v>
      </c>
      <c r="I1060" s="791">
        <v>0.156</v>
      </c>
      <c r="J1060" s="802">
        <v>28.5</v>
      </c>
      <c r="K1060" s="779">
        <v>4.4400000000000004</v>
      </c>
      <c r="L1060" s="822">
        <v>26.87</v>
      </c>
      <c r="M1060" s="753">
        <v>4.1900000000000004</v>
      </c>
    </row>
    <row r="1061" spans="2:13" ht="24" customHeight="1" x14ac:dyDescent="0.25">
      <c r="B1061" s="765" t="s">
        <v>478</v>
      </c>
      <c r="C1061" s="750" t="s">
        <v>481</v>
      </c>
      <c r="D1061" s="749" t="s">
        <v>475</v>
      </c>
      <c r="E1061" s="749" t="s">
        <v>482</v>
      </c>
      <c r="F1061" s="1008" t="s">
        <v>1268</v>
      </c>
      <c r="G1061" s="1009"/>
      <c r="H1061" s="751" t="s">
        <v>484</v>
      </c>
      <c r="I1061" s="791">
        <v>1.6268</v>
      </c>
      <c r="J1061" s="802">
        <v>27.74</v>
      </c>
      <c r="K1061" s="779">
        <v>45.12</v>
      </c>
      <c r="L1061" s="822">
        <v>26.13</v>
      </c>
      <c r="M1061" s="753">
        <v>42.5</v>
      </c>
    </row>
    <row r="1062" spans="2:13" ht="31.5" x14ac:dyDescent="0.25">
      <c r="B1062" s="765" t="s">
        <v>487</v>
      </c>
      <c r="C1062" s="750" t="s">
        <v>488</v>
      </c>
      <c r="D1062" s="749" t="s">
        <v>475</v>
      </c>
      <c r="E1062" s="749" t="s">
        <v>489</v>
      </c>
      <c r="F1062" s="1008" t="s">
        <v>490</v>
      </c>
      <c r="G1062" s="1009"/>
      <c r="H1062" s="751" t="s">
        <v>491</v>
      </c>
      <c r="I1062" s="791">
        <v>3.125</v>
      </c>
      <c r="J1062" s="802">
        <v>3.45</v>
      </c>
      <c r="K1062" s="779">
        <v>10.78</v>
      </c>
      <c r="L1062" s="822">
        <v>3.45</v>
      </c>
      <c r="M1062" s="753">
        <v>10.78</v>
      </c>
    </row>
    <row r="1063" spans="2:13" ht="31.5" x14ac:dyDescent="0.25">
      <c r="B1063" s="765" t="s">
        <v>487</v>
      </c>
      <c r="C1063" s="750" t="s">
        <v>811</v>
      </c>
      <c r="D1063" s="749" t="s">
        <v>475</v>
      </c>
      <c r="E1063" s="749" t="s">
        <v>812</v>
      </c>
      <c r="F1063" s="1008" t="s">
        <v>490</v>
      </c>
      <c r="G1063" s="1009"/>
      <c r="H1063" s="751" t="s">
        <v>813</v>
      </c>
      <c r="I1063" s="791">
        <v>2.1299999999999999E-2</v>
      </c>
      <c r="J1063" s="802">
        <v>5.7</v>
      </c>
      <c r="K1063" s="779">
        <v>0.12</v>
      </c>
      <c r="L1063" s="822">
        <v>5.7</v>
      </c>
      <c r="M1063" s="753">
        <v>0.12</v>
      </c>
    </row>
    <row r="1064" spans="2:13" ht="47.25" x14ac:dyDescent="0.25">
      <c r="B1064" s="765" t="s">
        <v>487</v>
      </c>
      <c r="C1064" s="750" t="s">
        <v>709</v>
      </c>
      <c r="D1064" s="749" t="s">
        <v>475</v>
      </c>
      <c r="E1064" s="749" t="s">
        <v>710</v>
      </c>
      <c r="F1064" s="1008" t="s">
        <v>490</v>
      </c>
      <c r="G1064" s="1009"/>
      <c r="H1064" s="751" t="s">
        <v>2</v>
      </c>
      <c r="I1064" s="791">
        <v>1.2315</v>
      </c>
      <c r="J1064" s="802">
        <v>580</v>
      </c>
      <c r="K1064" s="779">
        <v>714.27</v>
      </c>
      <c r="L1064" s="822">
        <v>580</v>
      </c>
      <c r="M1064" s="753">
        <v>714.27</v>
      </c>
    </row>
    <row r="1065" spans="2:13" ht="31.5" x14ac:dyDescent="0.25">
      <c r="B1065" s="765" t="s">
        <v>487</v>
      </c>
      <c r="C1065" s="750" t="s">
        <v>705</v>
      </c>
      <c r="D1065" s="749" t="s">
        <v>475</v>
      </c>
      <c r="E1065" s="749" t="s">
        <v>706</v>
      </c>
      <c r="F1065" s="1008" t="s">
        <v>490</v>
      </c>
      <c r="G1065" s="1009"/>
      <c r="H1065" s="751" t="s">
        <v>491</v>
      </c>
      <c r="I1065" s="791">
        <v>2.5</v>
      </c>
      <c r="J1065" s="802">
        <v>2.38</v>
      </c>
      <c r="K1065" s="779">
        <v>5.95</v>
      </c>
      <c r="L1065" s="822">
        <v>2.38</v>
      </c>
      <c r="M1065" s="753">
        <v>5.95</v>
      </c>
    </row>
    <row r="1066" spans="2:13" ht="24" customHeight="1" x14ac:dyDescent="0.25">
      <c r="B1066" s="765" t="s">
        <v>487</v>
      </c>
      <c r="C1066" s="750" t="s">
        <v>814</v>
      </c>
      <c r="D1066" s="749" t="s">
        <v>475</v>
      </c>
      <c r="E1066" s="749" t="s">
        <v>815</v>
      </c>
      <c r="F1066" s="1008" t="s">
        <v>490</v>
      </c>
      <c r="G1066" s="1009"/>
      <c r="H1066" s="751" t="s">
        <v>495</v>
      </c>
      <c r="I1066" s="791">
        <v>0.2994</v>
      </c>
      <c r="J1066" s="802">
        <v>20.34</v>
      </c>
      <c r="K1066" s="779">
        <v>6.08</v>
      </c>
      <c r="L1066" s="822">
        <v>20.34</v>
      </c>
      <c r="M1066" s="753">
        <v>6.08</v>
      </c>
    </row>
    <row r="1067" spans="2:13" x14ac:dyDescent="0.25">
      <c r="B1067" s="823"/>
      <c r="C1067" s="744"/>
      <c r="D1067" s="744"/>
      <c r="E1067" s="744"/>
      <c r="F1067" s="744" t="s">
        <v>498</v>
      </c>
      <c r="G1067" s="745">
        <v>67.260000000000005</v>
      </c>
      <c r="H1067" s="744" t="s">
        <v>499</v>
      </c>
      <c r="I1067" s="787">
        <v>0</v>
      </c>
      <c r="J1067" s="823" t="s">
        <v>500</v>
      </c>
      <c r="K1067" s="787">
        <v>67.260000000000005</v>
      </c>
      <c r="L1067" s="744" t="s">
        <v>500</v>
      </c>
      <c r="M1067" s="745">
        <v>62.23</v>
      </c>
    </row>
    <row r="1068" spans="2:13" ht="14.25" customHeight="1" x14ac:dyDescent="0.25">
      <c r="B1068" s="823"/>
      <c r="C1068" s="744"/>
      <c r="D1068" s="744"/>
      <c r="E1068" s="744"/>
      <c r="F1068" s="744" t="s">
        <v>501</v>
      </c>
      <c r="G1068" s="745">
        <v>208.73</v>
      </c>
      <c r="H1068" s="744"/>
      <c r="I1068" s="812" t="s">
        <v>502</v>
      </c>
      <c r="J1068" s="793"/>
      <c r="K1068" s="787">
        <v>1036.06</v>
      </c>
      <c r="L1068" s="746"/>
      <c r="M1068" s="745">
        <v>1074.4100000000001</v>
      </c>
    </row>
    <row r="1069" spans="2:13" ht="50.1" customHeight="1" thickBot="1" x14ac:dyDescent="0.3">
      <c r="B1069" s="776"/>
      <c r="C1069" s="747"/>
      <c r="D1069" s="747"/>
      <c r="E1069" s="747"/>
      <c r="F1069" s="747"/>
      <c r="G1069" s="747"/>
      <c r="H1069" s="747" t="s">
        <v>503</v>
      </c>
      <c r="I1069" s="806" t="s">
        <v>1362</v>
      </c>
      <c r="J1069" s="776" t="s">
        <v>504</v>
      </c>
      <c r="K1069" s="807">
        <v>86096.58</v>
      </c>
      <c r="L1069" s="747" t="s">
        <v>504</v>
      </c>
      <c r="M1069" s="748">
        <v>89283.47</v>
      </c>
    </row>
    <row r="1070" spans="2:13" ht="16.5" thickTop="1" x14ac:dyDescent="0.25">
      <c r="B1070" s="768"/>
      <c r="C1070" s="757"/>
      <c r="D1070" s="757"/>
      <c r="E1070" s="757"/>
      <c r="F1070" s="757"/>
      <c r="G1070" s="757"/>
      <c r="H1070" s="757"/>
      <c r="I1070" s="766"/>
      <c r="J1070" s="768"/>
      <c r="K1070" s="766"/>
      <c r="L1070" s="757"/>
      <c r="M1070" s="757"/>
    </row>
    <row r="1071" spans="2:13" ht="18" customHeight="1" x14ac:dyDescent="0.25">
      <c r="B1071" s="805" t="s">
        <v>461</v>
      </c>
      <c r="C1071" s="736" t="s">
        <v>391</v>
      </c>
      <c r="D1071" s="735" t="s">
        <v>392</v>
      </c>
      <c r="E1071" s="735" t="s">
        <v>42</v>
      </c>
      <c r="F1071" s="1004" t="s">
        <v>39</v>
      </c>
      <c r="G1071" s="1005"/>
      <c r="H1071" s="738" t="s">
        <v>394</v>
      </c>
      <c r="I1071" s="767" t="s">
        <v>395</v>
      </c>
      <c r="J1071" s="808" t="s">
        <v>396</v>
      </c>
      <c r="K1071" s="767" t="s">
        <v>0</v>
      </c>
      <c r="L1071" s="782" t="s">
        <v>396</v>
      </c>
      <c r="M1071" s="736" t="s">
        <v>0</v>
      </c>
    </row>
    <row r="1072" spans="2:13" ht="31.5" x14ac:dyDescent="0.25">
      <c r="B1072" s="789" t="s">
        <v>473</v>
      </c>
      <c r="C1072" s="740" t="s">
        <v>816</v>
      </c>
      <c r="D1072" s="739" t="s">
        <v>475</v>
      </c>
      <c r="E1072" s="739" t="s">
        <v>817</v>
      </c>
      <c r="F1072" s="1010" t="s">
        <v>1444</v>
      </c>
      <c r="G1072" s="1011"/>
      <c r="H1072" s="742" t="s">
        <v>1</v>
      </c>
      <c r="I1072" s="803">
        <v>1</v>
      </c>
      <c r="J1072" s="799">
        <v>175.12</v>
      </c>
      <c r="K1072" s="814">
        <v>175.12</v>
      </c>
      <c r="L1072" s="778">
        <v>172.52</v>
      </c>
      <c r="M1072" s="743">
        <v>172.52</v>
      </c>
    </row>
    <row r="1073" spans="2:13" ht="24" customHeight="1" x14ac:dyDescent="0.25">
      <c r="B1073" s="765" t="s">
        <v>478</v>
      </c>
      <c r="C1073" s="750" t="s">
        <v>620</v>
      </c>
      <c r="D1073" s="749" t="s">
        <v>475</v>
      </c>
      <c r="E1073" s="749" t="s">
        <v>621</v>
      </c>
      <c r="F1073" s="1008" t="s">
        <v>1268</v>
      </c>
      <c r="G1073" s="1009"/>
      <c r="H1073" s="751" t="s">
        <v>484</v>
      </c>
      <c r="I1073" s="791">
        <v>0.63900000000000001</v>
      </c>
      <c r="J1073" s="802">
        <v>28.5</v>
      </c>
      <c r="K1073" s="779">
        <v>18.21</v>
      </c>
      <c r="L1073" s="822">
        <v>26.87</v>
      </c>
      <c r="M1073" s="753">
        <v>17.16</v>
      </c>
    </row>
    <row r="1074" spans="2:13" ht="24" customHeight="1" x14ac:dyDescent="0.25">
      <c r="B1074" s="765" t="s">
        <v>478</v>
      </c>
      <c r="C1074" s="750" t="s">
        <v>485</v>
      </c>
      <c r="D1074" s="749" t="s">
        <v>475</v>
      </c>
      <c r="E1074" s="749" t="s">
        <v>486</v>
      </c>
      <c r="F1074" s="1008" t="s">
        <v>1268</v>
      </c>
      <c r="G1074" s="1009"/>
      <c r="H1074" s="751" t="s">
        <v>484</v>
      </c>
      <c r="I1074" s="791">
        <v>1.2789999999999999</v>
      </c>
      <c r="J1074" s="802">
        <v>22.76</v>
      </c>
      <c r="K1074" s="779">
        <v>29.11</v>
      </c>
      <c r="L1074" s="822">
        <v>21.55</v>
      </c>
      <c r="M1074" s="753">
        <v>27.56</v>
      </c>
    </row>
    <row r="1075" spans="2:13" ht="39" customHeight="1" x14ac:dyDescent="0.25">
      <c r="B1075" s="765" t="s">
        <v>487</v>
      </c>
      <c r="C1075" s="750" t="s">
        <v>822</v>
      </c>
      <c r="D1075" s="749" t="s">
        <v>475</v>
      </c>
      <c r="E1075" s="749" t="s">
        <v>977</v>
      </c>
      <c r="F1075" s="1008" t="s">
        <v>490</v>
      </c>
      <c r="G1075" s="1009"/>
      <c r="H1075" s="751" t="s">
        <v>513</v>
      </c>
      <c r="I1075" s="791">
        <v>6.4375</v>
      </c>
      <c r="J1075" s="802">
        <v>17.29</v>
      </c>
      <c r="K1075" s="779">
        <v>111.3</v>
      </c>
      <c r="L1075" s="822">
        <v>17.29</v>
      </c>
      <c r="M1075" s="753">
        <v>111.3</v>
      </c>
    </row>
    <row r="1076" spans="2:13" ht="24" customHeight="1" x14ac:dyDescent="0.25">
      <c r="B1076" s="765" t="s">
        <v>487</v>
      </c>
      <c r="C1076" s="750" t="s">
        <v>818</v>
      </c>
      <c r="D1076" s="749" t="s">
        <v>475</v>
      </c>
      <c r="E1076" s="749" t="s">
        <v>819</v>
      </c>
      <c r="F1076" s="1008" t="s">
        <v>490</v>
      </c>
      <c r="G1076" s="1009"/>
      <c r="H1076" s="751" t="s">
        <v>495</v>
      </c>
      <c r="I1076" s="791">
        <v>8.6199999999999992</v>
      </c>
      <c r="J1076" s="802">
        <v>1.76</v>
      </c>
      <c r="K1076" s="779">
        <v>15.17</v>
      </c>
      <c r="L1076" s="822">
        <v>1.76</v>
      </c>
      <c r="M1076" s="753">
        <v>15.17</v>
      </c>
    </row>
    <row r="1077" spans="2:13" ht="24" customHeight="1" x14ac:dyDescent="0.25">
      <c r="B1077" s="765" t="s">
        <v>487</v>
      </c>
      <c r="C1077" s="750" t="s">
        <v>820</v>
      </c>
      <c r="D1077" s="749" t="s">
        <v>475</v>
      </c>
      <c r="E1077" s="749" t="s">
        <v>821</v>
      </c>
      <c r="F1077" s="1008" t="s">
        <v>490</v>
      </c>
      <c r="G1077" s="1009"/>
      <c r="H1077" s="751" t="s">
        <v>495</v>
      </c>
      <c r="I1077" s="791">
        <v>0.24</v>
      </c>
      <c r="J1077" s="802">
        <v>5.57</v>
      </c>
      <c r="K1077" s="779">
        <v>1.33</v>
      </c>
      <c r="L1077" s="822">
        <v>5.57</v>
      </c>
      <c r="M1077" s="753">
        <v>1.33</v>
      </c>
    </row>
    <row r="1078" spans="2:13" x14ac:dyDescent="0.25">
      <c r="B1078" s="823"/>
      <c r="C1078" s="744"/>
      <c r="D1078" s="744"/>
      <c r="E1078" s="744"/>
      <c r="F1078" s="744" t="s">
        <v>498</v>
      </c>
      <c r="G1078" s="745">
        <v>34.61</v>
      </c>
      <c r="H1078" s="744" t="s">
        <v>499</v>
      </c>
      <c r="I1078" s="787">
        <v>0</v>
      </c>
      <c r="J1078" s="823" t="s">
        <v>500</v>
      </c>
      <c r="K1078" s="787">
        <v>34.61</v>
      </c>
      <c r="L1078" s="744" t="s">
        <v>500</v>
      </c>
      <c r="M1078" s="745">
        <v>32.020000000000003</v>
      </c>
    </row>
    <row r="1079" spans="2:13" ht="14.25" customHeight="1" x14ac:dyDescent="0.25">
      <c r="B1079" s="823"/>
      <c r="C1079" s="744"/>
      <c r="D1079" s="744"/>
      <c r="E1079" s="744"/>
      <c r="F1079" s="744" t="s">
        <v>501</v>
      </c>
      <c r="G1079" s="745">
        <v>44.18</v>
      </c>
      <c r="H1079" s="744"/>
      <c r="I1079" s="812" t="s">
        <v>502</v>
      </c>
      <c r="J1079" s="793"/>
      <c r="K1079" s="787">
        <v>219.3</v>
      </c>
      <c r="L1079" s="746"/>
      <c r="M1079" s="745">
        <v>225.41</v>
      </c>
    </row>
    <row r="1080" spans="2:13" ht="50.1" customHeight="1" thickBot="1" x14ac:dyDescent="0.3">
      <c r="B1080" s="776"/>
      <c r="C1080" s="747"/>
      <c r="D1080" s="747"/>
      <c r="E1080" s="747"/>
      <c r="F1080" s="747"/>
      <c r="G1080" s="747"/>
      <c r="H1080" s="747" t="s">
        <v>503</v>
      </c>
      <c r="I1080" s="806" t="s">
        <v>1363</v>
      </c>
      <c r="J1080" s="776" t="s">
        <v>504</v>
      </c>
      <c r="K1080" s="807">
        <v>42421.39</v>
      </c>
      <c r="L1080" s="747" t="s">
        <v>504</v>
      </c>
      <c r="M1080" s="748">
        <v>43603.31</v>
      </c>
    </row>
    <row r="1081" spans="2:13" ht="16.5" thickTop="1" x14ac:dyDescent="0.25">
      <c r="B1081" s="768"/>
      <c r="C1081" s="757"/>
      <c r="D1081" s="757"/>
      <c r="E1081" s="757"/>
      <c r="F1081" s="757"/>
      <c r="G1081" s="757"/>
      <c r="H1081" s="757"/>
      <c r="I1081" s="766"/>
      <c r="J1081" s="768"/>
      <c r="K1081" s="766"/>
      <c r="L1081" s="757"/>
      <c r="M1081" s="757"/>
    </row>
    <row r="1082" spans="2:13" ht="18" customHeight="1" x14ac:dyDescent="0.25">
      <c r="B1082" s="805" t="s">
        <v>462</v>
      </c>
      <c r="C1082" s="736" t="s">
        <v>391</v>
      </c>
      <c r="D1082" s="735" t="s">
        <v>392</v>
      </c>
      <c r="E1082" s="735" t="s">
        <v>42</v>
      </c>
      <c r="F1082" s="1004" t="s">
        <v>39</v>
      </c>
      <c r="G1082" s="1005"/>
      <c r="H1082" s="738" t="s">
        <v>394</v>
      </c>
      <c r="I1082" s="767" t="s">
        <v>395</v>
      </c>
      <c r="J1082" s="808" t="s">
        <v>396</v>
      </c>
      <c r="K1082" s="767" t="s">
        <v>0</v>
      </c>
      <c r="L1082" s="782" t="s">
        <v>396</v>
      </c>
      <c r="M1082" s="736" t="s">
        <v>0</v>
      </c>
    </row>
    <row r="1083" spans="2:13" ht="39" customHeight="1" x14ac:dyDescent="0.25">
      <c r="B1083" s="789" t="s">
        <v>473</v>
      </c>
      <c r="C1083" s="740" t="s">
        <v>649</v>
      </c>
      <c r="D1083" s="739" t="s">
        <v>475</v>
      </c>
      <c r="E1083" s="739" t="s">
        <v>650</v>
      </c>
      <c r="F1083" s="1010" t="s">
        <v>1289</v>
      </c>
      <c r="G1083" s="1011"/>
      <c r="H1083" s="742" t="s">
        <v>651</v>
      </c>
      <c r="I1083" s="803">
        <v>1</v>
      </c>
      <c r="J1083" s="799">
        <v>2.2599999999999998</v>
      </c>
      <c r="K1083" s="814">
        <v>2.2599999999999998</v>
      </c>
      <c r="L1083" s="778">
        <v>2.23</v>
      </c>
      <c r="M1083" s="743">
        <v>2.23</v>
      </c>
    </row>
    <row r="1084" spans="2:13" ht="65.099999999999994" customHeight="1" x14ac:dyDescent="0.25">
      <c r="B1084" s="765" t="s">
        <v>478</v>
      </c>
      <c r="C1084" s="750" t="s">
        <v>652</v>
      </c>
      <c r="D1084" s="749" t="s">
        <v>475</v>
      </c>
      <c r="E1084" s="749" t="s">
        <v>653</v>
      </c>
      <c r="F1084" s="1008" t="s">
        <v>1285</v>
      </c>
      <c r="G1084" s="1009"/>
      <c r="H1084" s="751" t="s">
        <v>564</v>
      </c>
      <c r="I1084" s="791">
        <v>9.2999999999999992E-3</v>
      </c>
      <c r="J1084" s="802">
        <v>217.34</v>
      </c>
      <c r="K1084" s="779">
        <v>2.02</v>
      </c>
      <c r="L1084" s="822">
        <v>215.74</v>
      </c>
      <c r="M1084" s="753">
        <v>2</v>
      </c>
    </row>
    <row r="1085" spans="2:13" ht="65.099999999999994" customHeight="1" x14ac:dyDescent="0.25">
      <c r="B1085" s="765" t="s">
        <v>478</v>
      </c>
      <c r="C1085" s="750" t="s">
        <v>654</v>
      </c>
      <c r="D1085" s="749" t="s">
        <v>475</v>
      </c>
      <c r="E1085" s="749" t="s">
        <v>655</v>
      </c>
      <c r="F1085" s="1008" t="s">
        <v>1285</v>
      </c>
      <c r="G1085" s="1009"/>
      <c r="H1085" s="751" t="s">
        <v>592</v>
      </c>
      <c r="I1085" s="791">
        <v>4.0000000000000001E-3</v>
      </c>
      <c r="J1085" s="802">
        <v>61.26</v>
      </c>
      <c r="K1085" s="779">
        <v>0.24</v>
      </c>
      <c r="L1085" s="822">
        <v>59.66</v>
      </c>
      <c r="M1085" s="753">
        <v>0.23</v>
      </c>
    </row>
    <row r="1086" spans="2:13" x14ac:dyDescent="0.25">
      <c r="B1086" s="823"/>
      <c r="C1086" s="744"/>
      <c r="D1086" s="744"/>
      <c r="E1086" s="744"/>
      <c r="F1086" s="744" t="s">
        <v>498</v>
      </c>
      <c r="G1086" s="745">
        <v>0.27</v>
      </c>
      <c r="H1086" s="744" t="s">
        <v>499</v>
      </c>
      <c r="I1086" s="787">
        <v>0</v>
      </c>
      <c r="J1086" s="823" t="s">
        <v>500</v>
      </c>
      <c r="K1086" s="787">
        <v>0.27</v>
      </c>
      <c r="L1086" s="744" t="s">
        <v>500</v>
      </c>
      <c r="M1086" s="745">
        <v>0.25</v>
      </c>
    </row>
    <row r="1087" spans="2:13" ht="14.25" customHeight="1" x14ac:dyDescent="0.25">
      <c r="B1087" s="823"/>
      <c r="C1087" s="744"/>
      <c r="D1087" s="744"/>
      <c r="E1087" s="744"/>
      <c r="F1087" s="744" t="s">
        <v>501</v>
      </c>
      <c r="G1087" s="745">
        <v>0.56999999999999995</v>
      </c>
      <c r="H1087" s="744"/>
      <c r="I1087" s="812" t="s">
        <v>502</v>
      </c>
      <c r="J1087" s="793"/>
      <c r="K1087" s="787">
        <v>2.83</v>
      </c>
      <c r="L1087" s="746"/>
      <c r="M1087" s="745">
        <v>2.91</v>
      </c>
    </row>
    <row r="1088" spans="2:13" ht="45.75" customHeight="1" thickBot="1" x14ac:dyDescent="0.3">
      <c r="B1088" s="776"/>
      <c r="C1088" s="747"/>
      <c r="D1088" s="747"/>
      <c r="E1088" s="747"/>
      <c r="F1088" s="747"/>
      <c r="G1088" s="747"/>
      <c r="H1088" s="747" t="s">
        <v>503</v>
      </c>
      <c r="I1088" s="806" t="s">
        <v>1553</v>
      </c>
      <c r="J1088" s="776" t="s">
        <v>504</v>
      </c>
      <c r="K1088" s="807">
        <v>174.46</v>
      </c>
      <c r="L1088" s="747" t="s">
        <v>504</v>
      </c>
      <c r="M1088" s="748">
        <v>179.4</v>
      </c>
    </row>
    <row r="1089" spans="2:13" ht="16.5" thickTop="1" x14ac:dyDescent="0.25">
      <c r="B1089" s="768"/>
      <c r="C1089" s="757"/>
      <c r="D1089" s="757"/>
      <c r="E1089" s="757"/>
      <c r="F1089" s="757"/>
      <c r="G1089" s="757"/>
      <c r="H1089" s="757"/>
      <c r="I1089" s="766"/>
      <c r="J1089" s="768"/>
      <c r="K1089" s="766"/>
      <c r="L1089" s="757"/>
      <c r="M1089" s="757"/>
    </row>
    <row r="1090" spans="2:13" ht="24" customHeight="1" x14ac:dyDescent="0.25">
      <c r="B1090" s="771" t="s">
        <v>379</v>
      </c>
      <c r="C1090" s="617"/>
      <c r="D1090" s="617"/>
      <c r="E1090" s="617" t="s">
        <v>380</v>
      </c>
      <c r="F1090" s="617"/>
      <c r="G1090" s="755"/>
      <c r="H1090" s="755"/>
      <c r="I1090" s="792"/>
      <c r="J1090" s="771"/>
      <c r="K1090" s="796">
        <v>114200.17</v>
      </c>
      <c r="L1090" s="815"/>
      <c r="M1090" s="756">
        <v>118791.98</v>
      </c>
    </row>
    <row r="1091" spans="2:13" ht="18" customHeight="1" x14ac:dyDescent="0.25">
      <c r="B1091" s="805" t="s">
        <v>463</v>
      </c>
      <c r="C1091" s="736" t="s">
        <v>391</v>
      </c>
      <c r="D1091" s="735" t="s">
        <v>392</v>
      </c>
      <c r="E1091" s="735" t="s">
        <v>42</v>
      </c>
      <c r="F1091" s="1004" t="s">
        <v>39</v>
      </c>
      <c r="G1091" s="1005"/>
      <c r="H1091" s="738" t="s">
        <v>394</v>
      </c>
      <c r="I1091" s="767" t="s">
        <v>395</v>
      </c>
      <c r="J1091" s="808" t="s">
        <v>396</v>
      </c>
      <c r="K1091" s="767" t="s">
        <v>0</v>
      </c>
      <c r="L1091" s="782" t="s">
        <v>396</v>
      </c>
      <c r="M1091" s="736" t="s">
        <v>0</v>
      </c>
    </row>
    <row r="1092" spans="2:13" ht="31.5" x14ac:dyDescent="0.25">
      <c r="B1092" s="789" t="s">
        <v>473</v>
      </c>
      <c r="C1092" s="740" t="s">
        <v>823</v>
      </c>
      <c r="D1092" s="739" t="s">
        <v>744</v>
      </c>
      <c r="E1092" s="739" t="s">
        <v>824</v>
      </c>
      <c r="F1092" s="1010" t="s">
        <v>825</v>
      </c>
      <c r="G1092" s="1011"/>
      <c r="H1092" s="742" t="s">
        <v>1</v>
      </c>
      <c r="I1092" s="803">
        <v>1</v>
      </c>
      <c r="J1092" s="799">
        <v>47.84</v>
      </c>
      <c r="K1092" s="814">
        <v>47.84</v>
      </c>
      <c r="L1092" s="778">
        <v>47.69</v>
      </c>
      <c r="M1092" s="743">
        <v>47.69</v>
      </c>
    </row>
    <row r="1093" spans="2:13" ht="15" customHeight="1" x14ac:dyDescent="0.25">
      <c r="B1093" s="790" t="s">
        <v>826</v>
      </c>
      <c r="C1093" s="737" t="s">
        <v>391</v>
      </c>
      <c r="D1093" s="737" t="s">
        <v>392</v>
      </c>
      <c r="E1093" s="737" t="s">
        <v>827</v>
      </c>
      <c r="F1093" s="737" t="s">
        <v>828</v>
      </c>
      <c r="G1093" s="737" t="s">
        <v>829</v>
      </c>
      <c r="H1093" s="737"/>
      <c r="I1093" s="804" t="s">
        <v>830</v>
      </c>
      <c r="J1093" s="790"/>
      <c r="K1093" s="804" t="s">
        <v>1207</v>
      </c>
      <c r="L1093" s="775"/>
      <c r="M1093" s="737" t="s">
        <v>1207</v>
      </c>
    </row>
    <row r="1094" spans="2:13" ht="15" customHeight="1" x14ac:dyDescent="0.25">
      <c r="B1094" s="790"/>
      <c r="C1094" s="737"/>
      <c r="D1094" s="737"/>
      <c r="E1094" s="737"/>
      <c r="F1094" s="737"/>
      <c r="G1094" s="736" t="s">
        <v>831</v>
      </c>
      <c r="H1094" s="736" t="s">
        <v>832</v>
      </c>
      <c r="I1094" s="767" t="s">
        <v>831</v>
      </c>
      <c r="J1094" s="808" t="s">
        <v>832</v>
      </c>
      <c r="K1094" s="804"/>
      <c r="L1094" s="782" t="s">
        <v>832</v>
      </c>
      <c r="M1094" s="737"/>
    </row>
    <row r="1095" spans="2:13" ht="31.5" x14ac:dyDescent="0.25">
      <c r="B1095" s="765" t="s">
        <v>487</v>
      </c>
      <c r="C1095" s="750" t="s">
        <v>1208</v>
      </c>
      <c r="D1095" s="749" t="s">
        <v>744</v>
      </c>
      <c r="E1095" s="749" t="s">
        <v>833</v>
      </c>
      <c r="F1095" s="752">
        <v>1</v>
      </c>
      <c r="G1095" s="753">
        <v>1</v>
      </c>
      <c r="H1095" s="753">
        <v>0</v>
      </c>
      <c r="I1095" s="764">
        <v>696.05</v>
      </c>
      <c r="J1095" s="833">
        <v>305.39999999999998</v>
      </c>
      <c r="K1095" s="764">
        <v>696.05</v>
      </c>
      <c r="L1095" s="834">
        <v>301.13</v>
      </c>
      <c r="M1095" s="763">
        <v>691.79</v>
      </c>
    </row>
    <row r="1096" spans="2:13" ht="20.100000000000001" customHeight="1" x14ac:dyDescent="0.25">
      <c r="B1096" s="817"/>
      <c r="C1096" s="754"/>
      <c r="D1096" s="754"/>
      <c r="E1096" s="754"/>
      <c r="F1096" s="754"/>
      <c r="G1096" s="754" t="s">
        <v>1209</v>
      </c>
      <c r="H1096" s="754"/>
      <c r="I1096" s="784"/>
      <c r="J1096" s="817"/>
      <c r="K1096" s="783">
        <v>696.05200000000002</v>
      </c>
      <c r="L1096" s="754"/>
      <c r="M1096" s="747">
        <v>691.78570000000002</v>
      </c>
    </row>
    <row r="1097" spans="2:13" ht="20.100000000000001" customHeight="1" x14ac:dyDescent="0.25">
      <c r="B1097" s="805" t="s">
        <v>834</v>
      </c>
      <c r="C1097" s="736" t="s">
        <v>391</v>
      </c>
      <c r="D1097" s="735" t="s">
        <v>392</v>
      </c>
      <c r="E1097" s="735" t="s">
        <v>835</v>
      </c>
      <c r="F1097" s="736" t="s">
        <v>828</v>
      </c>
      <c r="G1097" s="737" t="s">
        <v>830</v>
      </c>
      <c r="H1097" s="737"/>
      <c r="I1097" s="804"/>
      <c r="J1097" s="790"/>
      <c r="K1097" s="767" t="s">
        <v>1207</v>
      </c>
      <c r="L1097" s="775"/>
      <c r="M1097" s="736" t="s">
        <v>1207</v>
      </c>
    </row>
    <row r="1098" spans="2:13" ht="24" customHeight="1" x14ac:dyDescent="0.25">
      <c r="B1098" s="765" t="s">
        <v>487</v>
      </c>
      <c r="C1098" s="750" t="s">
        <v>1210</v>
      </c>
      <c r="D1098" s="749" t="s">
        <v>744</v>
      </c>
      <c r="E1098" s="749" t="s">
        <v>836</v>
      </c>
      <c r="F1098" s="752">
        <v>1</v>
      </c>
      <c r="G1098" s="749"/>
      <c r="H1098" s="749"/>
      <c r="I1098" s="835"/>
      <c r="J1098" s="833" t="s">
        <v>1554</v>
      </c>
      <c r="K1098" s="764" t="s">
        <v>1554</v>
      </c>
      <c r="L1098" s="834" t="s">
        <v>1568</v>
      </c>
      <c r="M1098" s="763" t="s">
        <v>1568</v>
      </c>
    </row>
    <row r="1099" spans="2:13" ht="24" customHeight="1" x14ac:dyDescent="0.25">
      <c r="B1099" s="765" t="s">
        <v>487</v>
      </c>
      <c r="C1099" s="750" t="s">
        <v>1211</v>
      </c>
      <c r="D1099" s="749" t="s">
        <v>744</v>
      </c>
      <c r="E1099" s="749" t="s">
        <v>837</v>
      </c>
      <c r="F1099" s="752">
        <v>5</v>
      </c>
      <c r="G1099" s="749"/>
      <c r="H1099" s="749"/>
      <c r="I1099" s="835"/>
      <c r="J1099" s="833" t="s">
        <v>1493</v>
      </c>
      <c r="K1099" s="764" t="s">
        <v>1555</v>
      </c>
      <c r="L1099" s="834" t="s">
        <v>1567</v>
      </c>
      <c r="M1099" s="763" t="s">
        <v>1569</v>
      </c>
    </row>
    <row r="1100" spans="2:13" ht="47.25" x14ac:dyDescent="0.25">
      <c r="B1100" s="817"/>
      <c r="C1100" s="754"/>
      <c r="D1100" s="754"/>
      <c r="E1100" s="754"/>
      <c r="F1100" s="754"/>
      <c r="G1100" s="754" t="s">
        <v>1212</v>
      </c>
      <c r="H1100" s="754"/>
      <c r="I1100" s="784"/>
      <c r="J1100" s="817"/>
      <c r="K1100" s="788">
        <v>0</v>
      </c>
      <c r="L1100" s="754"/>
      <c r="M1100" s="762">
        <v>0</v>
      </c>
    </row>
    <row r="1101" spans="2:13" ht="47.25" x14ac:dyDescent="0.25">
      <c r="B1101" s="817"/>
      <c r="C1101" s="754"/>
      <c r="D1101" s="754"/>
      <c r="E1101" s="754"/>
      <c r="F1101" s="754"/>
      <c r="G1101" s="754" t="s">
        <v>1213</v>
      </c>
      <c r="H1101" s="754"/>
      <c r="I1101" s="784"/>
      <c r="J1101" s="817"/>
      <c r="K1101" s="783">
        <v>142.63409999999999</v>
      </c>
      <c r="L1101" s="754"/>
      <c r="M1101" s="747">
        <v>132.88239999999999</v>
      </c>
    </row>
    <row r="1102" spans="2:13" ht="47.25" x14ac:dyDescent="0.25">
      <c r="B1102" s="817"/>
      <c r="C1102" s="754"/>
      <c r="D1102" s="754"/>
      <c r="E1102" s="754"/>
      <c r="F1102" s="754"/>
      <c r="G1102" s="754" t="s">
        <v>1214</v>
      </c>
      <c r="H1102" s="754"/>
      <c r="I1102" s="784"/>
      <c r="J1102" s="817"/>
      <c r="K1102" s="783">
        <v>838.68610000000001</v>
      </c>
      <c r="L1102" s="754"/>
      <c r="M1102" s="747">
        <v>824.66809999999998</v>
      </c>
    </row>
    <row r="1103" spans="2:13" ht="31.5" x14ac:dyDescent="0.25">
      <c r="B1103" s="817"/>
      <c r="C1103" s="754"/>
      <c r="D1103" s="754"/>
      <c r="E1103" s="754"/>
      <c r="F1103" s="754"/>
      <c r="G1103" s="754" t="s">
        <v>1215</v>
      </c>
      <c r="H1103" s="754"/>
      <c r="I1103" s="784"/>
      <c r="J1103" s="817"/>
      <c r="K1103" s="783">
        <v>95.4</v>
      </c>
      <c r="L1103" s="754"/>
      <c r="M1103" s="747">
        <v>95.4</v>
      </c>
    </row>
    <row r="1104" spans="2:13" ht="31.5" x14ac:dyDescent="0.25">
      <c r="B1104" s="817"/>
      <c r="C1104" s="754"/>
      <c r="D1104" s="754"/>
      <c r="E1104" s="754"/>
      <c r="F1104" s="754"/>
      <c r="G1104" s="754" t="s">
        <v>1216</v>
      </c>
      <c r="H1104" s="754"/>
      <c r="I1104" s="784"/>
      <c r="J1104" s="817"/>
      <c r="K1104" s="783">
        <v>8.7912999999999997</v>
      </c>
      <c r="L1104" s="754"/>
      <c r="M1104" s="747">
        <v>8.6442999999999994</v>
      </c>
    </row>
    <row r="1105" spans="2:13" ht="20.100000000000001" customHeight="1" x14ac:dyDescent="0.25">
      <c r="B1105" s="817"/>
      <c r="C1105" s="754"/>
      <c r="D1105" s="754"/>
      <c r="E1105" s="754"/>
      <c r="F1105" s="754"/>
      <c r="G1105" s="754" t="s">
        <v>1217</v>
      </c>
      <c r="H1105" s="754"/>
      <c r="I1105" s="784"/>
      <c r="J1105" s="817"/>
      <c r="K1105" s="783">
        <v>0.17910000000000001</v>
      </c>
      <c r="L1105" s="754"/>
      <c r="M1105" s="747">
        <v>0.17349999999999999</v>
      </c>
    </row>
    <row r="1106" spans="2:13" ht="20.100000000000001" customHeight="1" x14ac:dyDescent="0.25">
      <c r="B1106" s="805" t="s">
        <v>838</v>
      </c>
      <c r="C1106" s="736" t="s">
        <v>391</v>
      </c>
      <c r="D1106" s="735" t="s">
        <v>392</v>
      </c>
      <c r="E1106" s="735" t="s">
        <v>7</v>
      </c>
      <c r="F1106" s="736" t="s">
        <v>828</v>
      </c>
      <c r="G1106" s="736" t="s">
        <v>151</v>
      </c>
      <c r="H1106" s="736" t="s">
        <v>839</v>
      </c>
      <c r="I1106" s="767"/>
      <c r="J1106" s="808"/>
      <c r="K1106" s="767" t="s">
        <v>830</v>
      </c>
      <c r="L1106" s="782"/>
      <c r="M1106" s="736" t="s">
        <v>830</v>
      </c>
    </row>
    <row r="1107" spans="2:13" ht="24" customHeight="1" x14ac:dyDescent="0.25">
      <c r="B1107" s="765" t="s">
        <v>487</v>
      </c>
      <c r="C1107" s="750" t="s">
        <v>1220</v>
      </c>
      <c r="D1107" s="749" t="s">
        <v>744</v>
      </c>
      <c r="E1107" s="749" t="s">
        <v>844</v>
      </c>
      <c r="F1107" s="752">
        <v>0.4</v>
      </c>
      <c r="G1107" s="751" t="s">
        <v>842</v>
      </c>
      <c r="H1107" s="836" t="s">
        <v>1556</v>
      </c>
      <c r="I1107" s="810"/>
      <c r="J1107" s="769"/>
      <c r="K1107" s="764" t="s">
        <v>1557</v>
      </c>
      <c r="L1107" s="772"/>
      <c r="M1107" s="763" t="s">
        <v>1557</v>
      </c>
    </row>
    <row r="1108" spans="2:13" ht="24" customHeight="1" x14ac:dyDescent="0.25">
      <c r="B1108" s="765" t="s">
        <v>487</v>
      </c>
      <c r="C1108" s="750" t="s">
        <v>1219</v>
      </c>
      <c r="D1108" s="749" t="s">
        <v>744</v>
      </c>
      <c r="E1108" s="749" t="s">
        <v>841</v>
      </c>
      <c r="F1108" s="752">
        <v>3.0750000000000002</v>
      </c>
      <c r="G1108" s="751" t="s">
        <v>842</v>
      </c>
      <c r="H1108" s="836" t="s">
        <v>1558</v>
      </c>
      <c r="I1108" s="810"/>
      <c r="J1108" s="769"/>
      <c r="K1108" s="764" t="s">
        <v>1559</v>
      </c>
      <c r="L1108" s="772"/>
      <c r="M1108" s="763" t="s">
        <v>1559</v>
      </c>
    </row>
    <row r="1109" spans="2:13" ht="31.5" x14ac:dyDescent="0.25">
      <c r="B1109" s="765" t="s">
        <v>487</v>
      </c>
      <c r="C1109" s="750" t="s">
        <v>1221</v>
      </c>
      <c r="D1109" s="749" t="s">
        <v>744</v>
      </c>
      <c r="E1109" s="749" t="s">
        <v>845</v>
      </c>
      <c r="F1109" s="752">
        <v>9.7000000000000005E-4</v>
      </c>
      <c r="G1109" s="751" t="s">
        <v>846</v>
      </c>
      <c r="H1109" s="836" t="s">
        <v>1560</v>
      </c>
      <c r="I1109" s="810"/>
      <c r="J1109" s="769"/>
      <c r="K1109" s="764" t="s">
        <v>1328</v>
      </c>
      <c r="L1109" s="772"/>
      <c r="M1109" s="763" t="s">
        <v>1328</v>
      </c>
    </row>
    <row r="1110" spans="2:13" ht="20.100000000000001" customHeight="1" x14ac:dyDescent="0.25">
      <c r="B1110" s="817"/>
      <c r="C1110" s="754"/>
      <c r="D1110" s="754"/>
      <c r="E1110" s="754"/>
      <c r="F1110" s="754"/>
      <c r="G1110" s="754" t="s">
        <v>1222</v>
      </c>
      <c r="H1110" s="754"/>
      <c r="I1110" s="784"/>
      <c r="J1110" s="817"/>
      <c r="K1110" s="783">
        <v>38.748199999999997</v>
      </c>
      <c r="L1110" s="754"/>
      <c r="M1110" s="747">
        <v>38.748199999999997</v>
      </c>
    </row>
    <row r="1111" spans="2:13" ht="20.100000000000001" customHeight="1" x14ac:dyDescent="0.25">
      <c r="B1111" s="805" t="s">
        <v>847</v>
      </c>
      <c r="C1111" s="736" t="s">
        <v>848</v>
      </c>
      <c r="D1111" s="735" t="s">
        <v>392</v>
      </c>
      <c r="E1111" s="735" t="s">
        <v>42</v>
      </c>
      <c r="F1111" s="736" t="s">
        <v>1223</v>
      </c>
      <c r="G1111" s="736" t="s">
        <v>828</v>
      </c>
      <c r="H1111" s="738" t="s">
        <v>151</v>
      </c>
      <c r="I1111" s="804" t="s">
        <v>839</v>
      </c>
      <c r="J1111" s="790"/>
      <c r="K1111" s="767" t="s">
        <v>830</v>
      </c>
      <c r="L1111" s="775"/>
      <c r="M1111" s="736" t="s">
        <v>830</v>
      </c>
    </row>
    <row r="1112" spans="2:13" ht="39" customHeight="1" x14ac:dyDescent="0.25">
      <c r="B1112" s="765" t="s">
        <v>473</v>
      </c>
      <c r="C1112" s="750" t="s">
        <v>1224</v>
      </c>
      <c r="D1112" s="749" t="s">
        <v>744</v>
      </c>
      <c r="E1112" s="749" t="s">
        <v>849</v>
      </c>
      <c r="F1112" s="750" t="s">
        <v>843</v>
      </c>
      <c r="G1112" s="752">
        <v>4.0000000000000002E-4</v>
      </c>
      <c r="H1112" s="751" t="s">
        <v>850</v>
      </c>
      <c r="I1112" s="810">
        <v>35.5</v>
      </c>
      <c r="J1112" s="769"/>
      <c r="K1112" s="764">
        <v>0.01</v>
      </c>
      <c r="L1112" s="772"/>
      <c r="M1112" s="763">
        <v>0.01</v>
      </c>
    </row>
    <row r="1113" spans="2:13" ht="39" customHeight="1" x14ac:dyDescent="0.25">
      <c r="B1113" s="765" t="s">
        <v>473</v>
      </c>
      <c r="C1113" s="750" t="s">
        <v>1224</v>
      </c>
      <c r="D1113" s="749" t="s">
        <v>744</v>
      </c>
      <c r="E1113" s="749" t="s">
        <v>849</v>
      </c>
      <c r="F1113" s="750" t="s">
        <v>840</v>
      </c>
      <c r="G1113" s="752">
        <v>3.0799999999999998E-3</v>
      </c>
      <c r="H1113" s="751" t="s">
        <v>850</v>
      </c>
      <c r="I1113" s="810">
        <v>35.5</v>
      </c>
      <c r="J1113" s="769"/>
      <c r="K1113" s="764">
        <v>0.11</v>
      </c>
      <c r="L1113" s="772"/>
      <c r="M1113" s="763">
        <v>0.11</v>
      </c>
    </row>
    <row r="1114" spans="2:13" ht="20.100000000000001" customHeight="1" x14ac:dyDescent="0.25">
      <c r="B1114" s="817"/>
      <c r="C1114" s="754"/>
      <c r="D1114" s="754"/>
      <c r="E1114" s="754"/>
      <c r="F1114" s="754"/>
      <c r="G1114" s="754" t="s">
        <v>1225</v>
      </c>
      <c r="H1114" s="754"/>
      <c r="I1114" s="784"/>
      <c r="J1114" s="817"/>
      <c r="K1114" s="783">
        <v>0.1235</v>
      </c>
      <c r="L1114" s="754"/>
      <c r="M1114" s="747">
        <v>0.12</v>
      </c>
    </row>
    <row r="1115" spans="2:13" ht="20.100000000000001" customHeight="1" x14ac:dyDescent="0.25">
      <c r="B1115" s="805" t="s">
        <v>851</v>
      </c>
      <c r="C1115" s="736" t="s">
        <v>852</v>
      </c>
      <c r="D1115" s="735" t="s">
        <v>392</v>
      </c>
      <c r="E1115" s="735" t="s">
        <v>42</v>
      </c>
      <c r="F1115" s="736" t="s">
        <v>828</v>
      </c>
      <c r="G1115" s="737" t="s">
        <v>853</v>
      </c>
      <c r="H1115" s="737"/>
      <c r="I1115" s="804"/>
      <c r="J1115" s="790"/>
      <c r="K1115" s="767" t="s">
        <v>830</v>
      </c>
      <c r="L1115" s="775"/>
      <c r="M1115" s="736" t="s">
        <v>830</v>
      </c>
    </row>
    <row r="1116" spans="2:13" ht="20.100000000000001" customHeight="1" x14ac:dyDescent="0.25">
      <c r="B1116" s="773"/>
      <c r="C1116" s="738"/>
      <c r="D1116" s="738"/>
      <c r="E1116" s="738"/>
      <c r="F1116" s="738"/>
      <c r="G1116" s="738" t="s">
        <v>854</v>
      </c>
      <c r="H1116" s="738" t="s">
        <v>855</v>
      </c>
      <c r="I1116" s="798" t="s">
        <v>149</v>
      </c>
      <c r="J1116" s="773" t="s">
        <v>1226</v>
      </c>
      <c r="K1116" s="798"/>
      <c r="L1116" s="820" t="s">
        <v>1226</v>
      </c>
      <c r="M1116" s="738"/>
    </row>
    <row r="1117" spans="2:13" ht="50.1" customHeight="1" x14ac:dyDescent="0.25">
      <c r="B1117" s="765" t="s">
        <v>487</v>
      </c>
      <c r="C1117" s="750" t="s">
        <v>840</v>
      </c>
      <c r="D1117" s="749" t="s">
        <v>744</v>
      </c>
      <c r="E1117" s="749" t="s">
        <v>841</v>
      </c>
      <c r="F1117" s="752">
        <v>3.0799999999999998E-3</v>
      </c>
      <c r="G1117" s="750" t="s">
        <v>1561</v>
      </c>
      <c r="H1117" s="750" t="s">
        <v>1562</v>
      </c>
      <c r="I1117" s="813" t="s">
        <v>1445</v>
      </c>
      <c r="J1117" s="821" t="s">
        <v>1227</v>
      </c>
      <c r="K1117" s="764">
        <v>0</v>
      </c>
      <c r="L1117" s="819" t="s">
        <v>1227</v>
      </c>
      <c r="M1117" s="763">
        <v>0</v>
      </c>
    </row>
    <row r="1118" spans="2:13" ht="50.1" customHeight="1" x14ac:dyDescent="0.25">
      <c r="B1118" s="765" t="s">
        <v>487</v>
      </c>
      <c r="C1118" s="750" t="s">
        <v>843</v>
      </c>
      <c r="D1118" s="749" t="s">
        <v>744</v>
      </c>
      <c r="E1118" s="749" t="s">
        <v>844</v>
      </c>
      <c r="F1118" s="752">
        <v>4.0000000000000002E-4</v>
      </c>
      <c r="G1118" s="750" t="s">
        <v>1561</v>
      </c>
      <c r="H1118" s="750" t="s">
        <v>1562</v>
      </c>
      <c r="I1118" s="813" t="s">
        <v>1445</v>
      </c>
      <c r="J1118" s="821" t="s">
        <v>1227</v>
      </c>
      <c r="K1118" s="764">
        <v>0</v>
      </c>
      <c r="L1118" s="819" t="s">
        <v>1227</v>
      </c>
      <c r="M1118" s="763">
        <v>0</v>
      </c>
    </row>
    <row r="1119" spans="2:13" ht="20.100000000000001" customHeight="1" x14ac:dyDescent="0.25">
      <c r="B1119" s="817"/>
      <c r="C1119" s="754"/>
      <c r="D1119" s="754"/>
      <c r="E1119" s="754"/>
      <c r="F1119" s="754"/>
      <c r="G1119" s="754" t="s">
        <v>1218</v>
      </c>
      <c r="H1119" s="754"/>
      <c r="I1119" s="784"/>
      <c r="J1119" s="817"/>
      <c r="K1119" s="783">
        <v>0</v>
      </c>
      <c r="L1119" s="754"/>
      <c r="M1119" s="747">
        <v>0</v>
      </c>
    </row>
    <row r="1120" spans="2:13" ht="20.100000000000001" customHeight="1" x14ac:dyDescent="0.25">
      <c r="B1120" s="817"/>
      <c r="C1120" s="754"/>
      <c r="D1120" s="754"/>
      <c r="E1120" s="754"/>
      <c r="F1120" s="754"/>
      <c r="G1120" s="754" t="s">
        <v>1228</v>
      </c>
      <c r="H1120" s="754"/>
      <c r="I1120" s="784"/>
      <c r="J1120" s="817"/>
      <c r="K1120" s="783">
        <v>0</v>
      </c>
      <c r="L1120" s="754"/>
      <c r="M1120" s="747">
        <v>0</v>
      </c>
    </row>
    <row r="1121" spans="2:13" x14ac:dyDescent="0.25">
      <c r="B1121" s="823"/>
      <c r="C1121" s="744"/>
      <c r="D1121" s="744"/>
      <c r="E1121" s="744"/>
      <c r="F1121" s="744" t="s">
        <v>498</v>
      </c>
      <c r="G1121" s="745">
        <v>1.53</v>
      </c>
      <c r="H1121" s="744" t="s">
        <v>499</v>
      </c>
      <c r="I1121" s="787">
        <v>0</v>
      </c>
      <c r="J1121" s="823" t="s">
        <v>500</v>
      </c>
      <c r="K1121" s="787">
        <v>1.534580059818762</v>
      </c>
      <c r="L1121" s="744" t="s">
        <v>500</v>
      </c>
      <c r="M1121" s="745">
        <v>1.4296904065618108</v>
      </c>
    </row>
    <row r="1122" spans="2:13" ht="14.25" customHeight="1" x14ac:dyDescent="0.25">
      <c r="B1122" s="823"/>
      <c r="C1122" s="744"/>
      <c r="D1122" s="744"/>
      <c r="E1122" s="744"/>
      <c r="F1122" s="744" t="s">
        <v>501</v>
      </c>
      <c r="G1122" s="745">
        <v>12.07</v>
      </c>
      <c r="H1122" s="744"/>
      <c r="I1122" s="812" t="s">
        <v>502</v>
      </c>
      <c r="J1122" s="793"/>
      <c r="K1122" s="787">
        <v>59.91</v>
      </c>
      <c r="L1122" s="746"/>
      <c r="M1122" s="745">
        <v>62.31</v>
      </c>
    </row>
    <row r="1123" spans="2:13" ht="50.1" customHeight="1" thickBot="1" x14ac:dyDescent="0.3">
      <c r="B1123" s="776"/>
      <c r="C1123" s="747"/>
      <c r="D1123" s="747"/>
      <c r="E1123" s="747"/>
      <c r="F1123" s="747"/>
      <c r="G1123" s="747"/>
      <c r="H1123" s="747" t="s">
        <v>503</v>
      </c>
      <c r="I1123" s="806" t="s">
        <v>1364</v>
      </c>
      <c r="J1123" s="776" t="s">
        <v>504</v>
      </c>
      <c r="K1123" s="807">
        <v>15812.64</v>
      </c>
      <c r="L1123" s="747" t="s">
        <v>504</v>
      </c>
      <c r="M1123" s="748">
        <v>16446.099999999999</v>
      </c>
    </row>
    <row r="1124" spans="2:13" ht="16.5" thickTop="1" x14ac:dyDescent="0.25">
      <c r="B1124" s="768"/>
      <c r="C1124" s="757"/>
      <c r="D1124" s="757"/>
      <c r="E1124" s="757"/>
      <c r="F1124" s="757"/>
      <c r="G1124" s="757"/>
      <c r="H1124" s="757"/>
      <c r="I1124" s="766"/>
      <c r="J1124" s="768"/>
      <c r="K1124" s="766"/>
      <c r="L1124" s="757"/>
      <c r="M1124" s="757"/>
    </row>
    <row r="1125" spans="2:13" ht="18" customHeight="1" x14ac:dyDescent="0.25">
      <c r="B1125" s="805" t="s">
        <v>464</v>
      </c>
      <c r="C1125" s="736" t="s">
        <v>391</v>
      </c>
      <c r="D1125" s="735" t="s">
        <v>392</v>
      </c>
      <c r="E1125" s="735" t="s">
        <v>42</v>
      </c>
      <c r="F1125" s="737" t="s">
        <v>39</v>
      </c>
      <c r="G1125" s="737"/>
      <c r="H1125" s="738" t="s">
        <v>394</v>
      </c>
      <c r="I1125" s="767" t="s">
        <v>395</v>
      </c>
      <c r="J1125" s="808" t="s">
        <v>396</v>
      </c>
      <c r="K1125" s="767" t="s">
        <v>0</v>
      </c>
      <c r="L1125" s="782" t="s">
        <v>396</v>
      </c>
      <c r="M1125" s="736" t="s">
        <v>0</v>
      </c>
    </row>
    <row r="1126" spans="2:13" ht="31.5" x14ac:dyDescent="0.25">
      <c r="B1126" s="789" t="s">
        <v>473</v>
      </c>
      <c r="C1126" s="740" t="s">
        <v>856</v>
      </c>
      <c r="D1126" s="739" t="s">
        <v>744</v>
      </c>
      <c r="E1126" s="739" t="s">
        <v>857</v>
      </c>
      <c r="F1126" s="741" t="s">
        <v>825</v>
      </c>
      <c r="G1126" s="741"/>
      <c r="H1126" s="742" t="s">
        <v>1</v>
      </c>
      <c r="I1126" s="803">
        <v>1</v>
      </c>
      <c r="J1126" s="799">
        <v>60.53</v>
      </c>
      <c r="K1126" s="814">
        <v>60.53</v>
      </c>
      <c r="L1126" s="778">
        <v>60.15</v>
      </c>
      <c r="M1126" s="743">
        <v>60.15</v>
      </c>
    </row>
    <row r="1127" spans="2:13" ht="15" customHeight="1" x14ac:dyDescent="0.25">
      <c r="B1127" s="790" t="s">
        <v>826</v>
      </c>
      <c r="C1127" s="737" t="s">
        <v>391</v>
      </c>
      <c r="D1127" s="737" t="s">
        <v>392</v>
      </c>
      <c r="E1127" s="737" t="s">
        <v>827</v>
      </c>
      <c r="F1127" s="737" t="s">
        <v>828</v>
      </c>
      <c r="G1127" s="737" t="s">
        <v>829</v>
      </c>
      <c r="H1127" s="737"/>
      <c r="I1127" s="804" t="s">
        <v>830</v>
      </c>
      <c r="J1127" s="790"/>
      <c r="K1127" s="804" t="s">
        <v>1207</v>
      </c>
      <c r="L1127" s="775"/>
      <c r="M1127" s="737" t="s">
        <v>1207</v>
      </c>
    </row>
    <row r="1128" spans="2:13" ht="15" customHeight="1" x14ac:dyDescent="0.25">
      <c r="B1128" s="790"/>
      <c r="C1128" s="737"/>
      <c r="D1128" s="737"/>
      <c r="E1128" s="737"/>
      <c r="F1128" s="737"/>
      <c r="G1128" s="736" t="s">
        <v>831</v>
      </c>
      <c r="H1128" s="736" t="s">
        <v>832</v>
      </c>
      <c r="I1128" s="767" t="s">
        <v>831</v>
      </c>
      <c r="J1128" s="808" t="s">
        <v>832</v>
      </c>
      <c r="K1128" s="804"/>
      <c r="L1128" s="782" t="s">
        <v>832</v>
      </c>
      <c r="M1128" s="737"/>
    </row>
    <row r="1129" spans="2:13" ht="31.5" x14ac:dyDescent="0.25">
      <c r="B1129" s="765" t="s">
        <v>487</v>
      </c>
      <c r="C1129" s="750" t="s">
        <v>1208</v>
      </c>
      <c r="D1129" s="749" t="s">
        <v>744</v>
      </c>
      <c r="E1129" s="749" t="s">
        <v>833</v>
      </c>
      <c r="F1129" s="752">
        <v>1</v>
      </c>
      <c r="G1129" s="753">
        <v>1</v>
      </c>
      <c r="H1129" s="753">
        <v>0</v>
      </c>
      <c r="I1129" s="764">
        <v>696.05</v>
      </c>
      <c r="J1129" s="833">
        <v>305.39999999999998</v>
      </c>
      <c r="K1129" s="764">
        <v>696.05</v>
      </c>
      <c r="L1129" s="834">
        <v>301.13</v>
      </c>
      <c r="M1129" s="763">
        <v>691.79</v>
      </c>
    </row>
    <row r="1130" spans="2:13" ht="20.100000000000001" customHeight="1" x14ac:dyDescent="0.25">
      <c r="B1130" s="817"/>
      <c r="C1130" s="754"/>
      <c r="D1130" s="754"/>
      <c r="E1130" s="754"/>
      <c r="F1130" s="754"/>
      <c r="G1130" s="754" t="s">
        <v>1209</v>
      </c>
      <c r="H1130" s="754"/>
      <c r="I1130" s="784"/>
      <c r="J1130" s="817"/>
      <c r="K1130" s="783">
        <v>696.05200000000002</v>
      </c>
      <c r="L1130" s="754"/>
      <c r="M1130" s="747">
        <v>691.78570000000002</v>
      </c>
    </row>
    <row r="1131" spans="2:13" ht="20.100000000000001" customHeight="1" x14ac:dyDescent="0.25">
      <c r="B1131" s="805" t="s">
        <v>834</v>
      </c>
      <c r="C1131" s="736" t="s">
        <v>391</v>
      </c>
      <c r="D1131" s="735" t="s">
        <v>392</v>
      </c>
      <c r="E1131" s="735" t="s">
        <v>835</v>
      </c>
      <c r="F1131" s="736" t="s">
        <v>828</v>
      </c>
      <c r="G1131" s="737" t="s">
        <v>830</v>
      </c>
      <c r="H1131" s="737"/>
      <c r="I1131" s="804"/>
      <c r="J1131" s="790"/>
      <c r="K1131" s="767" t="s">
        <v>1207</v>
      </c>
      <c r="L1131" s="775"/>
      <c r="M1131" s="736" t="s">
        <v>1207</v>
      </c>
    </row>
    <row r="1132" spans="2:13" ht="24" customHeight="1" x14ac:dyDescent="0.25">
      <c r="B1132" s="765" t="s">
        <v>487</v>
      </c>
      <c r="C1132" s="750" t="s">
        <v>1210</v>
      </c>
      <c r="D1132" s="749" t="s">
        <v>744</v>
      </c>
      <c r="E1132" s="749" t="s">
        <v>836</v>
      </c>
      <c r="F1132" s="752">
        <v>1</v>
      </c>
      <c r="G1132" s="749"/>
      <c r="H1132" s="749"/>
      <c r="I1132" s="835"/>
      <c r="J1132" s="833" t="s">
        <v>1554</v>
      </c>
      <c r="K1132" s="764" t="s">
        <v>1554</v>
      </c>
      <c r="L1132" s="834" t="s">
        <v>1568</v>
      </c>
      <c r="M1132" s="763" t="s">
        <v>1568</v>
      </c>
    </row>
    <row r="1133" spans="2:13" ht="24" customHeight="1" x14ac:dyDescent="0.25">
      <c r="B1133" s="765" t="s">
        <v>487</v>
      </c>
      <c r="C1133" s="750" t="s">
        <v>1211</v>
      </c>
      <c r="D1133" s="749" t="s">
        <v>744</v>
      </c>
      <c r="E1133" s="749" t="s">
        <v>837</v>
      </c>
      <c r="F1133" s="752">
        <v>5</v>
      </c>
      <c r="G1133" s="749"/>
      <c r="H1133" s="749"/>
      <c r="I1133" s="835"/>
      <c r="J1133" s="833" t="s">
        <v>1493</v>
      </c>
      <c r="K1133" s="764" t="s">
        <v>1555</v>
      </c>
      <c r="L1133" s="834" t="s">
        <v>1567</v>
      </c>
      <c r="M1133" s="763" t="s">
        <v>1569</v>
      </c>
    </row>
    <row r="1134" spans="2:13" ht="47.25" x14ac:dyDescent="0.25">
      <c r="B1134" s="817"/>
      <c r="C1134" s="754"/>
      <c r="D1134" s="754"/>
      <c r="E1134" s="754"/>
      <c r="F1134" s="754"/>
      <c r="G1134" s="754" t="s">
        <v>1212</v>
      </c>
      <c r="H1134" s="754"/>
      <c r="I1134" s="784"/>
      <c r="J1134" s="817"/>
      <c r="K1134" s="788">
        <v>0</v>
      </c>
      <c r="L1134" s="754"/>
      <c r="M1134" s="762">
        <v>0</v>
      </c>
    </row>
    <row r="1135" spans="2:13" ht="47.25" x14ac:dyDescent="0.25">
      <c r="B1135" s="817"/>
      <c r="C1135" s="754"/>
      <c r="D1135" s="754"/>
      <c r="E1135" s="754"/>
      <c r="F1135" s="754"/>
      <c r="G1135" s="754" t="s">
        <v>1213</v>
      </c>
      <c r="H1135" s="754"/>
      <c r="I1135" s="784"/>
      <c r="J1135" s="817"/>
      <c r="K1135" s="783">
        <v>142.63409999999999</v>
      </c>
      <c r="L1135" s="754"/>
      <c r="M1135" s="747">
        <v>132.88239999999999</v>
      </c>
    </row>
    <row r="1136" spans="2:13" ht="47.25" x14ac:dyDescent="0.25">
      <c r="B1136" s="817"/>
      <c r="C1136" s="754"/>
      <c r="D1136" s="754"/>
      <c r="E1136" s="754"/>
      <c r="F1136" s="754"/>
      <c r="G1136" s="754" t="s">
        <v>1214</v>
      </c>
      <c r="H1136" s="754"/>
      <c r="I1136" s="784"/>
      <c r="J1136" s="817"/>
      <c r="K1136" s="783">
        <v>838.68610000000001</v>
      </c>
      <c r="L1136" s="754"/>
      <c r="M1136" s="747">
        <v>824.66809999999998</v>
      </c>
    </row>
    <row r="1137" spans="2:13" ht="31.5" x14ac:dyDescent="0.25">
      <c r="B1137" s="817"/>
      <c r="C1137" s="754"/>
      <c r="D1137" s="754"/>
      <c r="E1137" s="754"/>
      <c r="F1137" s="754"/>
      <c r="G1137" s="754" t="s">
        <v>1215</v>
      </c>
      <c r="H1137" s="754"/>
      <c r="I1137" s="784"/>
      <c r="J1137" s="817"/>
      <c r="K1137" s="783">
        <v>39.520000000000003</v>
      </c>
      <c r="L1137" s="754"/>
      <c r="M1137" s="747">
        <v>39.520000000000003</v>
      </c>
    </row>
    <row r="1138" spans="2:13" ht="31.5" x14ac:dyDescent="0.25">
      <c r="B1138" s="817"/>
      <c r="C1138" s="754"/>
      <c r="D1138" s="754"/>
      <c r="E1138" s="754"/>
      <c r="F1138" s="754"/>
      <c r="G1138" s="754" t="s">
        <v>1216</v>
      </c>
      <c r="H1138" s="754"/>
      <c r="I1138" s="784"/>
      <c r="J1138" s="817"/>
      <c r="K1138" s="783">
        <v>21.221800000000002</v>
      </c>
      <c r="L1138" s="754"/>
      <c r="M1138" s="747">
        <v>20.867100000000001</v>
      </c>
    </row>
    <row r="1139" spans="2:13" x14ac:dyDescent="0.25">
      <c r="B1139" s="817"/>
      <c r="C1139" s="754"/>
      <c r="D1139" s="754"/>
      <c r="E1139" s="754"/>
      <c r="F1139" s="754"/>
      <c r="G1139" s="754" t="s">
        <v>1217</v>
      </c>
      <c r="H1139" s="754"/>
      <c r="I1139" s="784"/>
      <c r="J1139" s="817"/>
      <c r="K1139" s="783">
        <v>0.43240000000000001</v>
      </c>
      <c r="L1139" s="754"/>
      <c r="M1139" s="747">
        <v>0.41889999999999999</v>
      </c>
    </row>
    <row r="1140" spans="2:13" ht="20.100000000000001" customHeight="1" x14ac:dyDescent="0.25">
      <c r="B1140" s="805" t="s">
        <v>838</v>
      </c>
      <c r="C1140" s="736" t="s">
        <v>391</v>
      </c>
      <c r="D1140" s="735" t="s">
        <v>392</v>
      </c>
      <c r="E1140" s="735" t="s">
        <v>7</v>
      </c>
      <c r="F1140" s="736" t="s">
        <v>828</v>
      </c>
      <c r="G1140" s="736" t="s">
        <v>151</v>
      </c>
      <c r="H1140" s="736" t="s">
        <v>839</v>
      </c>
      <c r="I1140" s="767"/>
      <c r="J1140" s="808"/>
      <c r="K1140" s="767" t="s">
        <v>830</v>
      </c>
      <c r="L1140" s="782"/>
      <c r="M1140" s="736" t="s">
        <v>830</v>
      </c>
    </row>
    <row r="1141" spans="2:13" ht="31.5" x14ac:dyDescent="0.25">
      <c r="B1141" s="765" t="s">
        <v>487</v>
      </c>
      <c r="C1141" s="750" t="s">
        <v>1221</v>
      </c>
      <c r="D1141" s="749" t="s">
        <v>744</v>
      </c>
      <c r="E1141" s="749" t="s">
        <v>845</v>
      </c>
      <c r="F1141" s="752">
        <v>9.7000000000000005E-4</v>
      </c>
      <c r="G1141" s="751" t="s">
        <v>846</v>
      </c>
      <c r="H1141" s="836" t="s">
        <v>1560</v>
      </c>
      <c r="I1141" s="810"/>
      <c r="J1141" s="769"/>
      <c r="K1141" s="764" t="s">
        <v>1328</v>
      </c>
      <c r="L1141" s="772"/>
      <c r="M1141" s="763" t="s">
        <v>1328</v>
      </c>
    </row>
    <row r="1142" spans="2:13" ht="24" customHeight="1" x14ac:dyDescent="0.25">
      <c r="B1142" s="765" t="s">
        <v>487</v>
      </c>
      <c r="C1142" s="750" t="s">
        <v>1219</v>
      </c>
      <c r="D1142" s="749" t="s">
        <v>744</v>
      </c>
      <c r="E1142" s="749" t="s">
        <v>841</v>
      </c>
      <c r="F1142" s="752">
        <v>3.0750000000000002</v>
      </c>
      <c r="G1142" s="751" t="s">
        <v>842</v>
      </c>
      <c r="H1142" s="836" t="s">
        <v>1558</v>
      </c>
      <c r="I1142" s="810"/>
      <c r="J1142" s="769"/>
      <c r="K1142" s="764" t="s">
        <v>1559</v>
      </c>
      <c r="L1142" s="772"/>
      <c r="M1142" s="763" t="s">
        <v>1559</v>
      </c>
    </row>
    <row r="1143" spans="2:13" ht="24" customHeight="1" x14ac:dyDescent="0.25">
      <c r="B1143" s="765" t="s">
        <v>487</v>
      </c>
      <c r="C1143" s="750" t="s">
        <v>1220</v>
      </c>
      <c r="D1143" s="749" t="s">
        <v>744</v>
      </c>
      <c r="E1143" s="749" t="s">
        <v>844</v>
      </c>
      <c r="F1143" s="752">
        <v>0.4</v>
      </c>
      <c r="G1143" s="751" t="s">
        <v>842</v>
      </c>
      <c r="H1143" s="836" t="s">
        <v>1556</v>
      </c>
      <c r="I1143" s="810"/>
      <c r="J1143" s="769"/>
      <c r="K1143" s="764" t="s">
        <v>1557</v>
      </c>
      <c r="L1143" s="772"/>
      <c r="M1143" s="763" t="s">
        <v>1557</v>
      </c>
    </row>
    <row r="1144" spans="2:13" ht="20.100000000000001" customHeight="1" x14ac:dyDescent="0.25">
      <c r="B1144" s="817"/>
      <c r="C1144" s="754"/>
      <c r="D1144" s="754"/>
      <c r="E1144" s="754"/>
      <c r="F1144" s="754"/>
      <c r="G1144" s="754" t="s">
        <v>1222</v>
      </c>
      <c r="H1144" s="754"/>
      <c r="I1144" s="784"/>
      <c r="J1144" s="817"/>
      <c r="K1144" s="783">
        <v>38.748199999999997</v>
      </c>
      <c r="L1144" s="754"/>
      <c r="M1144" s="747">
        <v>38.748199999999997</v>
      </c>
    </row>
    <row r="1145" spans="2:13" ht="20.100000000000001" customHeight="1" x14ac:dyDescent="0.25">
      <c r="B1145" s="805" t="s">
        <v>847</v>
      </c>
      <c r="C1145" s="736" t="s">
        <v>848</v>
      </c>
      <c r="D1145" s="735" t="s">
        <v>392</v>
      </c>
      <c r="E1145" s="735" t="s">
        <v>42</v>
      </c>
      <c r="F1145" s="736" t="s">
        <v>1223</v>
      </c>
      <c r="G1145" s="736" t="s">
        <v>828</v>
      </c>
      <c r="H1145" s="738" t="s">
        <v>151</v>
      </c>
      <c r="I1145" s="804" t="s">
        <v>839</v>
      </c>
      <c r="J1145" s="790"/>
      <c r="K1145" s="767" t="s">
        <v>830</v>
      </c>
      <c r="L1145" s="775"/>
      <c r="M1145" s="736" t="s">
        <v>830</v>
      </c>
    </row>
    <row r="1146" spans="2:13" ht="39" customHeight="1" x14ac:dyDescent="0.25">
      <c r="B1146" s="765" t="s">
        <v>473</v>
      </c>
      <c r="C1146" s="750" t="s">
        <v>1224</v>
      </c>
      <c r="D1146" s="749" t="s">
        <v>744</v>
      </c>
      <c r="E1146" s="749" t="s">
        <v>849</v>
      </c>
      <c r="F1146" s="750" t="s">
        <v>843</v>
      </c>
      <c r="G1146" s="752">
        <v>4.0000000000000002E-4</v>
      </c>
      <c r="H1146" s="751" t="s">
        <v>850</v>
      </c>
      <c r="I1146" s="810">
        <v>35.5</v>
      </c>
      <c r="J1146" s="769"/>
      <c r="K1146" s="764">
        <v>0.01</v>
      </c>
      <c r="L1146" s="772"/>
      <c r="M1146" s="763">
        <v>0.01</v>
      </c>
    </row>
    <row r="1147" spans="2:13" ht="39" customHeight="1" x14ac:dyDescent="0.25">
      <c r="B1147" s="765" t="s">
        <v>473</v>
      </c>
      <c r="C1147" s="750" t="s">
        <v>1224</v>
      </c>
      <c r="D1147" s="749" t="s">
        <v>744</v>
      </c>
      <c r="E1147" s="749" t="s">
        <v>849</v>
      </c>
      <c r="F1147" s="750" t="s">
        <v>840</v>
      </c>
      <c r="G1147" s="752">
        <v>3.0799999999999998E-3</v>
      </c>
      <c r="H1147" s="751" t="s">
        <v>850</v>
      </c>
      <c r="I1147" s="810">
        <v>35.5</v>
      </c>
      <c r="J1147" s="769"/>
      <c r="K1147" s="764">
        <v>0.11</v>
      </c>
      <c r="L1147" s="772"/>
      <c r="M1147" s="763">
        <v>0.11</v>
      </c>
    </row>
    <row r="1148" spans="2:13" ht="20.100000000000001" customHeight="1" x14ac:dyDescent="0.25">
      <c r="B1148" s="817"/>
      <c r="C1148" s="754"/>
      <c r="D1148" s="754"/>
      <c r="E1148" s="754"/>
      <c r="F1148" s="754"/>
      <c r="G1148" s="754" t="s">
        <v>1225</v>
      </c>
      <c r="H1148" s="754"/>
      <c r="I1148" s="784"/>
      <c r="J1148" s="817"/>
      <c r="K1148" s="783">
        <v>0.1235</v>
      </c>
      <c r="L1148" s="754"/>
      <c r="M1148" s="747">
        <v>0.12</v>
      </c>
    </row>
    <row r="1149" spans="2:13" ht="20.100000000000001" customHeight="1" x14ac:dyDescent="0.25">
      <c r="B1149" s="805" t="s">
        <v>851</v>
      </c>
      <c r="C1149" s="736" t="s">
        <v>852</v>
      </c>
      <c r="D1149" s="735" t="s">
        <v>392</v>
      </c>
      <c r="E1149" s="735" t="s">
        <v>42</v>
      </c>
      <c r="F1149" s="736" t="s">
        <v>828</v>
      </c>
      <c r="G1149" s="737" t="s">
        <v>853</v>
      </c>
      <c r="H1149" s="737"/>
      <c r="I1149" s="804"/>
      <c r="J1149" s="790"/>
      <c r="K1149" s="767" t="s">
        <v>830</v>
      </c>
      <c r="L1149" s="775"/>
      <c r="M1149" s="736" t="s">
        <v>830</v>
      </c>
    </row>
    <row r="1150" spans="2:13" ht="20.100000000000001" customHeight="1" x14ac:dyDescent="0.25">
      <c r="B1150" s="773"/>
      <c r="C1150" s="738"/>
      <c r="D1150" s="738"/>
      <c r="E1150" s="738"/>
      <c r="F1150" s="738"/>
      <c r="G1150" s="738" t="s">
        <v>854</v>
      </c>
      <c r="H1150" s="738" t="s">
        <v>855</v>
      </c>
      <c r="I1150" s="798" t="s">
        <v>149</v>
      </c>
      <c r="J1150" s="773" t="s">
        <v>1226</v>
      </c>
      <c r="K1150" s="798"/>
      <c r="L1150" s="820" t="s">
        <v>1226</v>
      </c>
      <c r="M1150" s="738"/>
    </row>
    <row r="1151" spans="2:13" ht="50.1" customHeight="1" x14ac:dyDescent="0.25">
      <c r="B1151" s="765" t="s">
        <v>487</v>
      </c>
      <c r="C1151" s="750" t="s">
        <v>843</v>
      </c>
      <c r="D1151" s="749" t="s">
        <v>744</v>
      </c>
      <c r="E1151" s="749" t="s">
        <v>844</v>
      </c>
      <c r="F1151" s="752">
        <v>4.0000000000000002E-4</v>
      </c>
      <c r="G1151" s="750" t="s">
        <v>1561</v>
      </c>
      <c r="H1151" s="750" t="s">
        <v>1562</v>
      </c>
      <c r="I1151" s="813" t="s">
        <v>1445</v>
      </c>
      <c r="J1151" s="821" t="s">
        <v>1227</v>
      </c>
      <c r="K1151" s="764">
        <v>0</v>
      </c>
      <c r="L1151" s="819" t="s">
        <v>1227</v>
      </c>
      <c r="M1151" s="763">
        <v>0</v>
      </c>
    </row>
    <row r="1152" spans="2:13" ht="50.1" customHeight="1" x14ac:dyDescent="0.25">
      <c r="B1152" s="765" t="s">
        <v>487</v>
      </c>
      <c r="C1152" s="750" t="s">
        <v>840</v>
      </c>
      <c r="D1152" s="749" t="s">
        <v>744</v>
      </c>
      <c r="E1152" s="749" t="s">
        <v>841</v>
      </c>
      <c r="F1152" s="752">
        <v>3.0799999999999998E-3</v>
      </c>
      <c r="G1152" s="750" t="s">
        <v>1561</v>
      </c>
      <c r="H1152" s="750" t="s">
        <v>1562</v>
      </c>
      <c r="I1152" s="813" t="s">
        <v>1445</v>
      </c>
      <c r="J1152" s="821" t="s">
        <v>1227</v>
      </c>
      <c r="K1152" s="764">
        <v>0</v>
      </c>
      <c r="L1152" s="819" t="s">
        <v>1227</v>
      </c>
      <c r="M1152" s="763">
        <v>0</v>
      </c>
    </row>
    <row r="1153" spans="2:13" ht="20.100000000000001" customHeight="1" x14ac:dyDescent="0.25">
      <c r="B1153" s="817"/>
      <c r="C1153" s="754"/>
      <c r="D1153" s="754"/>
      <c r="E1153" s="754"/>
      <c r="F1153" s="754"/>
      <c r="G1153" s="754" t="s">
        <v>1218</v>
      </c>
      <c r="H1153" s="754"/>
      <c r="I1153" s="784"/>
      <c r="J1153" s="817"/>
      <c r="K1153" s="783">
        <v>0</v>
      </c>
      <c r="L1153" s="754"/>
      <c r="M1153" s="747">
        <v>0</v>
      </c>
    </row>
    <row r="1154" spans="2:13" ht="20.100000000000001" customHeight="1" x14ac:dyDescent="0.25">
      <c r="B1154" s="817"/>
      <c r="C1154" s="754"/>
      <c r="D1154" s="754"/>
      <c r="E1154" s="754"/>
      <c r="F1154" s="754"/>
      <c r="G1154" s="754" t="s">
        <v>1228</v>
      </c>
      <c r="H1154" s="754"/>
      <c r="I1154" s="784"/>
      <c r="J1154" s="817"/>
      <c r="K1154" s="783">
        <v>0</v>
      </c>
      <c r="L1154" s="754"/>
      <c r="M1154" s="747">
        <v>0</v>
      </c>
    </row>
    <row r="1155" spans="2:13" x14ac:dyDescent="0.25">
      <c r="B1155" s="823"/>
      <c r="C1155" s="744"/>
      <c r="D1155" s="744"/>
      <c r="E1155" s="744"/>
      <c r="F1155" s="744" t="s">
        <v>498</v>
      </c>
      <c r="G1155" s="745">
        <v>3.64</v>
      </c>
      <c r="H1155" s="744" t="s">
        <v>499</v>
      </c>
      <c r="I1155" s="787">
        <v>0.01</v>
      </c>
      <c r="J1155" s="823" t="s">
        <v>500</v>
      </c>
      <c r="K1155" s="787">
        <v>3.6486261570102165</v>
      </c>
      <c r="L1155" s="744" t="s">
        <v>500</v>
      </c>
      <c r="M1155" s="745">
        <v>3.3992020388112785</v>
      </c>
    </row>
    <row r="1156" spans="2:13" ht="14.25" customHeight="1" x14ac:dyDescent="0.25">
      <c r="B1156" s="823"/>
      <c r="C1156" s="744"/>
      <c r="D1156" s="744"/>
      <c r="E1156" s="744"/>
      <c r="F1156" s="744" t="s">
        <v>501</v>
      </c>
      <c r="G1156" s="745">
        <v>15.27</v>
      </c>
      <c r="H1156" s="744"/>
      <c r="I1156" s="812" t="s">
        <v>502</v>
      </c>
      <c r="J1156" s="793"/>
      <c r="K1156" s="787">
        <v>75.8</v>
      </c>
      <c r="L1156" s="746"/>
      <c r="M1156" s="745">
        <v>78.59</v>
      </c>
    </row>
    <row r="1157" spans="2:13" ht="50.1" customHeight="1" thickBot="1" x14ac:dyDescent="0.3">
      <c r="B1157" s="776"/>
      <c r="C1157" s="747"/>
      <c r="D1157" s="747"/>
      <c r="E1157" s="747"/>
      <c r="F1157" s="747"/>
      <c r="G1157" s="747"/>
      <c r="H1157" s="747" t="s">
        <v>503</v>
      </c>
      <c r="I1157" s="806" t="s">
        <v>1365</v>
      </c>
      <c r="J1157" s="776" t="s">
        <v>504</v>
      </c>
      <c r="K1157" s="807">
        <v>12202.28</v>
      </c>
      <c r="L1157" s="747" t="s">
        <v>504</v>
      </c>
      <c r="M1157" s="748">
        <v>12651.41</v>
      </c>
    </row>
    <row r="1158" spans="2:13" ht="16.5" thickTop="1" x14ac:dyDescent="0.25">
      <c r="B1158" s="768"/>
      <c r="C1158" s="757"/>
      <c r="D1158" s="757"/>
      <c r="E1158" s="757"/>
      <c r="F1158" s="757"/>
      <c r="G1158" s="757"/>
      <c r="H1158" s="757"/>
      <c r="I1158" s="766"/>
      <c r="J1158" s="768"/>
      <c r="K1158" s="766"/>
      <c r="L1158" s="757"/>
      <c r="M1158" s="757"/>
    </row>
    <row r="1159" spans="2:13" ht="18" customHeight="1" x14ac:dyDescent="0.25">
      <c r="B1159" s="805" t="s">
        <v>465</v>
      </c>
      <c r="C1159" s="736" t="s">
        <v>391</v>
      </c>
      <c r="D1159" s="735" t="s">
        <v>392</v>
      </c>
      <c r="E1159" s="735" t="s">
        <v>42</v>
      </c>
      <c r="F1159" s="737" t="s">
        <v>39</v>
      </c>
      <c r="G1159" s="737"/>
      <c r="H1159" s="738" t="s">
        <v>394</v>
      </c>
      <c r="I1159" s="767" t="s">
        <v>395</v>
      </c>
      <c r="J1159" s="808" t="s">
        <v>396</v>
      </c>
      <c r="K1159" s="767" t="s">
        <v>0</v>
      </c>
      <c r="L1159" s="782" t="s">
        <v>396</v>
      </c>
      <c r="M1159" s="736" t="s">
        <v>0</v>
      </c>
    </row>
    <row r="1160" spans="2:13" ht="51.95" customHeight="1" x14ac:dyDescent="0.25">
      <c r="B1160" s="789" t="s">
        <v>473</v>
      </c>
      <c r="C1160" s="740" t="s">
        <v>858</v>
      </c>
      <c r="D1160" s="739" t="s">
        <v>509</v>
      </c>
      <c r="E1160" s="739" t="s">
        <v>859</v>
      </c>
      <c r="F1160" s="1010" t="s">
        <v>483</v>
      </c>
      <c r="G1160" s="1011"/>
      <c r="H1160" s="742" t="s">
        <v>37</v>
      </c>
      <c r="I1160" s="803">
        <v>1</v>
      </c>
      <c r="J1160" s="799">
        <v>619.70000000000005</v>
      </c>
      <c r="K1160" s="814">
        <v>619.70000000000005</v>
      </c>
      <c r="L1160" s="778">
        <v>618.24</v>
      </c>
      <c r="M1160" s="743">
        <v>618.24</v>
      </c>
    </row>
    <row r="1161" spans="2:13" ht="31.5" x14ac:dyDescent="0.25">
      <c r="B1161" s="765" t="s">
        <v>478</v>
      </c>
      <c r="C1161" s="750" t="s">
        <v>667</v>
      </c>
      <c r="D1161" s="749" t="s">
        <v>475</v>
      </c>
      <c r="E1161" s="749" t="s">
        <v>668</v>
      </c>
      <c r="F1161" s="1008" t="s">
        <v>1295</v>
      </c>
      <c r="G1161" s="1009"/>
      <c r="H1161" s="751" t="s">
        <v>2</v>
      </c>
      <c r="I1161" s="791">
        <v>0.03</v>
      </c>
      <c r="J1161" s="802">
        <v>308.54000000000002</v>
      </c>
      <c r="K1161" s="779">
        <v>9.25</v>
      </c>
      <c r="L1161" s="822">
        <v>291.64</v>
      </c>
      <c r="M1161" s="753">
        <v>8.74</v>
      </c>
    </row>
    <row r="1162" spans="2:13" ht="65.099999999999994" customHeight="1" x14ac:dyDescent="0.25">
      <c r="B1162" s="765" t="s">
        <v>478</v>
      </c>
      <c r="C1162" s="750" t="s">
        <v>562</v>
      </c>
      <c r="D1162" s="749" t="s">
        <v>475</v>
      </c>
      <c r="E1162" s="749" t="s">
        <v>563</v>
      </c>
      <c r="F1162" s="1008" t="s">
        <v>1285</v>
      </c>
      <c r="G1162" s="1009"/>
      <c r="H1162" s="751" t="s">
        <v>564</v>
      </c>
      <c r="I1162" s="791">
        <v>0.01</v>
      </c>
      <c r="J1162" s="802">
        <v>248.87</v>
      </c>
      <c r="K1162" s="779">
        <v>2.48</v>
      </c>
      <c r="L1162" s="822">
        <v>247.27</v>
      </c>
      <c r="M1162" s="753">
        <v>2.4700000000000002</v>
      </c>
    </row>
    <row r="1163" spans="2:13" ht="31.5" x14ac:dyDescent="0.25">
      <c r="B1163" s="765" t="s">
        <v>478</v>
      </c>
      <c r="C1163" s="750" t="s">
        <v>1229</v>
      </c>
      <c r="D1163" s="749" t="s">
        <v>509</v>
      </c>
      <c r="E1163" s="749" t="s">
        <v>860</v>
      </c>
      <c r="F1163" s="1008" t="s">
        <v>483</v>
      </c>
      <c r="G1163" s="1009"/>
      <c r="H1163" s="751" t="s">
        <v>2</v>
      </c>
      <c r="I1163" s="791">
        <v>0.03</v>
      </c>
      <c r="J1163" s="802">
        <v>454.34</v>
      </c>
      <c r="K1163" s="779">
        <v>13.63</v>
      </c>
      <c r="L1163" s="822">
        <v>447.08</v>
      </c>
      <c r="M1163" s="753">
        <v>13.41</v>
      </c>
    </row>
    <row r="1164" spans="2:13" ht="24" customHeight="1" x14ac:dyDescent="0.25">
      <c r="B1164" s="765" t="s">
        <v>478</v>
      </c>
      <c r="C1164" s="750" t="s">
        <v>662</v>
      </c>
      <c r="D1164" s="749" t="s">
        <v>475</v>
      </c>
      <c r="E1164" s="749" t="s">
        <v>1189</v>
      </c>
      <c r="F1164" s="1008" t="s">
        <v>1291</v>
      </c>
      <c r="G1164" s="1009"/>
      <c r="H1164" s="751" t="s">
        <v>2</v>
      </c>
      <c r="I1164" s="791">
        <v>0.03</v>
      </c>
      <c r="J1164" s="802">
        <v>90.03</v>
      </c>
      <c r="K1164" s="779">
        <v>2.7</v>
      </c>
      <c r="L1164" s="822">
        <v>85.24</v>
      </c>
      <c r="M1164" s="753">
        <v>2.5499999999999998</v>
      </c>
    </row>
    <row r="1165" spans="2:13" ht="24" customHeight="1" x14ac:dyDescent="0.25">
      <c r="B1165" s="765" t="s">
        <v>478</v>
      </c>
      <c r="C1165" s="750" t="s">
        <v>485</v>
      </c>
      <c r="D1165" s="749" t="s">
        <v>475</v>
      </c>
      <c r="E1165" s="749" t="s">
        <v>486</v>
      </c>
      <c r="F1165" s="1008" t="s">
        <v>1268</v>
      </c>
      <c r="G1165" s="1009"/>
      <c r="H1165" s="751" t="s">
        <v>484</v>
      </c>
      <c r="I1165" s="791">
        <v>0.2</v>
      </c>
      <c r="J1165" s="802">
        <v>22.76</v>
      </c>
      <c r="K1165" s="779">
        <v>4.55</v>
      </c>
      <c r="L1165" s="822">
        <v>21.55</v>
      </c>
      <c r="M1165" s="753">
        <v>4.3099999999999996</v>
      </c>
    </row>
    <row r="1166" spans="2:13" ht="24" customHeight="1" x14ac:dyDescent="0.25">
      <c r="B1166" s="765" t="s">
        <v>478</v>
      </c>
      <c r="C1166" s="750" t="s">
        <v>620</v>
      </c>
      <c r="D1166" s="749" t="s">
        <v>475</v>
      </c>
      <c r="E1166" s="749" t="s">
        <v>621</v>
      </c>
      <c r="F1166" s="1008" t="s">
        <v>1268</v>
      </c>
      <c r="G1166" s="1009"/>
      <c r="H1166" s="751" t="s">
        <v>484</v>
      </c>
      <c r="I1166" s="791">
        <v>0.2</v>
      </c>
      <c r="J1166" s="802">
        <v>28.5</v>
      </c>
      <c r="K1166" s="779">
        <v>5.7</v>
      </c>
      <c r="L1166" s="822">
        <v>26.87</v>
      </c>
      <c r="M1166" s="753">
        <v>5.37</v>
      </c>
    </row>
    <row r="1167" spans="2:13" ht="31.5" x14ac:dyDescent="0.25">
      <c r="B1167" s="765" t="s">
        <v>487</v>
      </c>
      <c r="C1167" s="750" t="s">
        <v>868</v>
      </c>
      <c r="D1167" s="749" t="s">
        <v>475</v>
      </c>
      <c r="E1167" s="749" t="s">
        <v>869</v>
      </c>
      <c r="F1167" s="1008" t="s">
        <v>490</v>
      </c>
      <c r="G1167" s="1009"/>
      <c r="H1167" s="751" t="s">
        <v>513</v>
      </c>
      <c r="I1167" s="791">
        <v>2</v>
      </c>
      <c r="J1167" s="802">
        <v>12.13</v>
      </c>
      <c r="K1167" s="779">
        <v>24.26</v>
      </c>
      <c r="L1167" s="822">
        <v>12.13</v>
      </c>
      <c r="M1167" s="753">
        <v>24.26</v>
      </c>
    </row>
    <row r="1168" spans="2:13" ht="31.5" x14ac:dyDescent="0.25">
      <c r="B1168" s="765" t="s">
        <v>487</v>
      </c>
      <c r="C1168" s="750" t="s">
        <v>867</v>
      </c>
      <c r="D1168" s="749" t="s">
        <v>475</v>
      </c>
      <c r="E1168" s="749" t="s">
        <v>978</v>
      </c>
      <c r="F1168" s="1008" t="s">
        <v>490</v>
      </c>
      <c r="G1168" s="1009"/>
      <c r="H1168" s="751" t="s">
        <v>513</v>
      </c>
      <c r="I1168" s="791">
        <v>2</v>
      </c>
      <c r="J1168" s="802">
        <v>1.63</v>
      </c>
      <c r="K1168" s="779">
        <v>3.26</v>
      </c>
      <c r="L1168" s="822">
        <v>1.63</v>
      </c>
      <c r="M1168" s="753">
        <v>3.26</v>
      </c>
    </row>
    <row r="1169" spans="2:13" ht="39" customHeight="1" x14ac:dyDescent="0.25">
      <c r="B1169" s="765" t="s">
        <v>487</v>
      </c>
      <c r="C1169" s="750" t="s">
        <v>863</v>
      </c>
      <c r="D1169" s="749" t="s">
        <v>475</v>
      </c>
      <c r="E1169" s="749" t="s">
        <v>864</v>
      </c>
      <c r="F1169" s="1008" t="s">
        <v>490</v>
      </c>
      <c r="G1169" s="1009"/>
      <c r="H1169" s="751" t="s">
        <v>491</v>
      </c>
      <c r="I1169" s="791">
        <v>3</v>
      </c>
      <c r="J1169" s="802">
        <v>73.63</v>
      </c>
      <c r="K1169" s="779">
        <v>220.89</v>
      </c>
      <c r="L1169" s="822">
        <v>73.63</v>
      </c>
      <c r="M1169" s="753">
        <v>220.89</v>
      </c>
    </row>
    <row r="1170" spans="2:13" ht="31.5" x14ac:dyDescent="0.25">
      <c r="B1170" s="765" t="s">
        <v>487</v>
      </c>
      <c r="C1170" s="750" t="s">
        <v>861</v>
      </c>
      <c r="D1170" s="749" t="s">
        <v>475</v>
      </c>
      <c r="E1170" s="749" t="s">
        <v>862</v>
      </c>
      <c r="F1170" s="1008" t="s">
        <v>490</v>
      </c>
      <c r="G1170" s="1009"/>
      <c r="H1170" s="751" t="s">
        <v>1</v>
      </c>
      <c r="I1170" s="791">
        <v>0.36</v>
      </c>
      <c r="J1170" s="802">
        <v>924</v>
      </c>
      <c r="K1170" s="779">
        <v>332.64</v>
      </c>
      <c r="L1170" s="822">
        <v>924</v>
      </c>
      <c r="M1170" s="753">
        <v>332.64</v>
      </c>
    </row>
    <row r="1171" spans="2:13" ht="24" customHeight="1" x14ac:dyDescent="0.25">
      <c r="B1171" s="765" t="s">
        <v>487</v>
      </c>
      <c r="C1171" s="750" t="s">
        <v>865</v>
      </c>
      <c r="D1171" s="749" t="s">
        <v>475</v>
      </c>
      <c r="E1171" s="749" t="s">
        <v>866</v>
      </c>
      <c r="F1171" s="1008" t="s">
        <v>490</v>
      </c>
      <c r="G1171" s="1009"/>
      <c r="H1171" s="751" t="s">
        <v>513</v>
      </c>
      <c r="I1171" s="791">
        <v>2</v>
      </c>
      <c r="J1171" s="802">
        <v>0.17</v>
      </c>
      <c r="K1171" s="779">
        <v>0.34</v>
      </c>
      <c r="L1171" s="822">
        <v>0.17</v>
      </c>
      <c r="M1171" s="753">
        <v>0.34</v>
      </c>
    </row>
    <row r="1172" spans="2:13" x14ac:dyDescent="0.25">
      <c r="B1172" s="823"/>
      <c r="C1172" s="744"/>
      <c r="D1172" s="744"/>
      <c r="E1172" s="744"/>
      <c r="F1172" s="744" t="s">
        <v>498</v>
      </c>
      <c r="G1172" s="745">
        <v>19.39</v>
      </c>
      <c r="H1172" s="744" t="s">
        <v>499</v>
      </c>
      <c r="I1172" s="787">
        <v>0</v>
      </c>
      <c r="J1172" s="823" t="s">
        <v>500</v>
      </c>
      <c r="K1172" s="787">
        <v>19.39</v>
      </c>
      <c r="L1172" s="744" t="s">
        <v>500</v>
      </c>
      <c r="M1172" s="745">
        <v>17.940000000000001</v>
      </c>
    </row>
    <row r="1173" spans="2:13" ht="14.25" customHeight="1" x14ac:dyDescent="0.25">
      <c r="B1173" s="823"/>
      <c r="C1173" s="744"/>
      <c r="D1173" s="744"/>
      <c r="E1173" s="744"/>
      <c r="F1173" s="744" t="s">
        <v>501</v>
      </c>
      <c r="G1173" s="745">
        <v>156.35</v>
      </c>
      <c r="H1173" s="744"/>
      <c r="I1173" s="812" t="s">
        <v>502</v>
      </c>
      <c r="J1173" s="793"/>
      <c r="K1173" s="787">
        <v>776.05</v>
      </c>
      <c r="L1173" s="746"/>
      <c r="M1173" s="745">
        <v>807.79</v>
      </c>
    </row>
    <row r="1174" spans="2:13" ht="49.5" customHeight="1" thickBot="1" x14ac:dyDescent="0.3">
      <c r="B1174" s="776"/>
      <c r="C1174" s="747"/>
      <c r="D1174" s="747"/>
      <c r="E1174" s="747"/>
      <c r="F1174" s="747"/>
      <c r="G1174" s="747"/>
      <c r="H1174" s="747" t="s">
        <v>503</v>
      </c>
      <c r="I1174" s="806" t="s">
        <v>1366</v>
      </c>
      <c r="J1174" s="776" t="s">
        <v>504</v>
      </c>
      <c r="K1174" s="807">
        <v>72172.649999999994</v>
      </c>
      <c r="L1174" s="747" t="s">
        <v>504</v>
      </c>
      <c r="M1174" s="748">
        <v>75124.47</v>
      </c>
    </row>
    <row r="1175" spans="2:13" ht="16.5" thickTop="1" x14ac:dyDescent="0.25">
      <c r="B1175" s="768"/>
      <c r="C1175" s="757"/>
      <c r="D1175" s="757"/>
      <c r="E1175" s="757"/>
      <c r="F1175" s="757"/>
      <c r="G1175" s="757"/>
      <c r="H1175" s="757"/>
      <c r="I1175" s="766"/>
      <c r="J1175" s="768"/>
      <c r="K1175" s="766"/>
      <c r="L1175" s="757"/>
      <c r="M1175" s="757"/>
    </row>
    <row r="1176" spans="2:13" ht="18" customHeight="1" x14ac:dyDescent="0.25">
      <c r="B1176" s="805" t="s">
        <v>466</v>
      </c>
      <c r="C1176" s="736" t="s">
        <v>391</v>
      </c>
      <c r="D1176" s="735" t="s">
        <v>392</v>
      </c>
      <c r="E1176" s="735" t="s">
        <v>42</v>
      </c>
      <c r="F1176" s="1004" t="s">
        <v>39</v>
      </c>
      <c r="G1176" s="1005"/>
      <c r="H1176" s="738" t="s">
        <v>394</v>
      </c>
      <c r="I1176" s="767" t="s">
        <v>395</v>
      </c>
      <c r="J1176" s="808" t="s">
        <v>396</v>
      </c>
      <c r="K1176" s="767" t="s">
        <v>0</v>
      </c>
      <c r="L1176" s="782" t="s">
        <v>396</v>
      </c>
      <c r="M1176" s="736" t="s">
        <v>0</v>
      </c>
    </row>
    <row r="1177" spans="2:13" ht="31.5" x14ac:dyDescent="0.25">
      <c r="B1177" s="789" t="s">
        <v>473</v>
      </c>
      <c r="C1177" s="740" t="s">
        <v>870</v>
      </c>
      <c r="D1177" s="739" t="s">
        <v>509</v>
      </c>
      <c r="E1177" s="739" t="s">
        <v>871</v>
      </c>
      <c r="F1177" s="1010" t="s">
        <v>483</v>
      </c>
      <c r="G1177" s="1011"/>
      <c r="H1177" s="742" t="s">
        <v>213</v>
      </c>
      <c r="I1177" s="803">
        <v>1</v>
      </c>
      <c r="J1177" s="799">
        <v>141.66</v>
      </c>
      <c r="K1177" s="814">
        <v>141.66</v>
      </c>
      <c r="L1177" s="778">
        <v>141.18</v>
      </c>
      <c r="M1177" s="743">
        <v>141.18</v>
      </c>
    </row>
    <row r="1178" spans="2:13" ht="24" customHeight="1" x14ac:dyDescent="0.25">
      <c r="B1178" s="765" t="s">
        <v>478</v>
      </c>
      <c r="C1178" s="750" t="s">
        <v>485</v>
      </c>
      <c r="D1178" s="749" t="s">
        <v>475</v>
      </c>
      <c r="E1178" s="749" t="s">
        <v>486</v>
      </c>
      <c r="F1178" s="1008" t="s">
        <v>1268</v>
      </c>
      <c r="G1178" s="1009"/>
      <c r="H1178" s="751" t="s">
        <v>484</v>
      </c>
      <c r="I1178" s="791">
        <v>0.4</v>
      </c>
      <c r="J1178" s="802">
        <v>22.76</v>
      </c>
      <c r="K1178" s="779">
        <v>9.1</v>
      </c>
      <c r="L1178" s="822">
        <v>21.55</v>
      </c>
      <c r="M1178" s="753">
        <v>8.6199999999999992</v>
      </c>
    </row>
    <row r="1179" spans="2:13" ht="39" customHeight="1" x14ac:dyDescent="0.25">
      <c r="B1179" s="765" t="s">
        <v>487</v>
      </c>
      <c r="C1179" s="750" t="s">
        <v>550</v>
      </c>
      <c r="D1179" s="749" t="s">
        <v>475</v>
      </c>
      <c r="E1179" s="749" t="s">
        <v>551</v>
      </c>
      <c r="F1179" s="1008" t="s">
        <v>490</v>
      </c>
      <c r="G1179" s="1009"/>
      <c r="H1179" s="751" t="s">
        <v>513</v>
      </c>
      <c r="I1179" s="791">
        <v>4</v>
      </c>
      <c r="J1179" s="802">
        <v>0.14000000000000001</v>
      </c>
      <c r="K1179" s="779">
        <v>0.56000000000000005</v>
      </c>
      <c r="L1179" s="822">
        <v>0.14000000000000001</v>
      </c>
      <c r="M1179" s="753">
        <v>0.56000000000000005</v>
      </c>
    </row>
    <row r="1180" spans="2:13" ht="31.5" x14ac:dyDescent="0.25">
      <c r="B1180" s="765" t="s">
        <v>487</v>
      </c>
      <c r="C1180" s="750" t="s">
        <v>872</v>
      </c>
      <c r="D1180" s="749" t="s">
        <v>475</v>
      </c>
      <c r="E1180" s="749" t="s">
        <v>979</v>
      </c>
      <c r="F1180" s="1008" t="s">
        <v>490</v>
      </c>
      <c r="G1180" s="1009"/>
      <c r="H1180" s="751" t="s">
        <v>513</v>
      </c>
      <c r="I1180" s="791">
        <v>1</v>
      </c>
      <c r="J1180" s="802">
        <v>132</v>
      </c>
      <c r="K1180" s="779">
        <v>132</v>
      </c>
      <c r="L1180" s="822">
        <v>132</v>
      </c>
      <c r="M1180" s="753">
        <v>132</v>
      </c>
    </row>
    <row r="1181" spans="2:13" x14ac:dyDescent="0.25">
      <c r="B1181" s="823"/>
      <c r="C1181" s="744"/>
      <c r="D1181" s="744"/>
      <c r="E1181" s="744"/>
      <c r="F1181" s="744" t="s">
        <v>498</v>
      </c>
      <c r="G1181" s="745">
        <v>6.48</v>
      </c>
      <c r="H1181" s="744" t="s">
        <v>499</v>
      </c>
      <c r="I1181" s="787">
        <v>0</v>
      </c>
      <c r="J1181" s="823" t="s">
        <v>500</v>
      </c>
      <c r="K1181" s="787">
        <v>6.48</v>
      </c>
      <c r="L1181" s="744" t="s">
        <v>500</v>
      </c>
      <c r="M1181" s="745">
        <v>6</v>
      </c>
    </row>
    <row r="1182" spans="2:13" ht="14.25" customHeight="1" x14ac:dyDescent="0.25">
      <c r="B1182" s="823"/>
      <c r="C1182" s="744"/>
      <c r="D1182" s="744"/>
      <c r="E1182" s="744"/>
      <c r="F1182" s="744" t="s">
        <v>501</v>
      </c>
      <c r="G1182" s="745">
        <v>35.74</v>
      </c>
      <c r="H1182" s="744"/>
      <c r="I1182" s="812" t="s">
        <v>502</v>
      </c>
      <c r="J1182" s="793"/>
      <c r="K1182" s="787">
        <v>177.4</v>
      </c>
      <c r="L1182" s="746"/>
      <c r="M1182" s="745">
        <v>184.46</v>
      </c>
    </row>
    <row r="1183" spans="2:13" ht="49.5" customHeight="1" thickBot="1" x14ac:dyDescent="0.3">
      <c r="B1183" s="776"/>
      <c r="C1183" s="747"/>
      <c r="D1183" s="747"/>
      <c r="E1183" s="747"/>
      <c r="F1183" s="747"/>
      <c r="G1183" s="747"/>
      <c r="H1183" s="747" t="s">
        <v>503</v>
      </c>
      <c r="I1183" s="806" t="s">
        <v>1356</v>
      </c>
      <c r="J1183" s="776" t="s">
        <v>504</v>
      </c>
      <c r="K1183" s="807">
        <v>7096</v>
      </c>
      <c r="L1183" s="747" t="s">
        <v>504</v>
      </c>
      <c r="M1183" s="748">
        <v>7378.4</v>
      </c>
    </row>
    <row r="1184" spans="2:13" ht="16.5" thickTop="1" x14ac:dyDescent="0.25">
      <c r="B1184" s="768"/>
      <c r="C1184" s="757"/>
      <c r="D1184" s="757"/>
      <c r="E1184" s="757"/>
      <c r="F1184" s="757"/>
      <c r="G1184" s="757"/>
      <c r="H1184" s="757"/>
      <c r="I1184" s="766"/>
      <c r="J1184" s="768"/>
      <c r="K1184" s="766"/>
      <c r="L1184" s="757"/>
      <c r="M1184" s="757"/>
    </row>
    <row r="1185" spans="2:13" ht="18" customHeight="1" x14ac:dyDescent="0.25">
      <c r="B1185" s="805" t="s">
        <v>467</v>
      </c>
      <c r="C1185" s="736" t="s">
        <v>391</v>
      </c>
      <c r="D1185" s="735" t="s">
        <v>392</v>
      </c>
      <c r="E1185" s="735" t="s">
        <v>42</v>
      </c>
      <c r="F1185" s="1004" t="s">
        <v>39</v>
      </c>
      <c r="G1185" s="1005"/>
      <c r="H1185" s="738" t="s">
        <v>394</v>
      </c>
      <c r="I1185" s="767" t="s">
        <v>395</v>
      </c>
      <c r="J1185" s="808" t="s">
        <v>396</v>
      </c>
      <c r="K1185" s="767" t="s">
        <v>0</v>
      </c>
      <c r="L1185" s="782" t="s">
        <v>396</v>
      </c>
      <c r="M1185" s="736" t="s">
        <v>0</v>
      </c>
    </row>
    <row r="1186" spans="2:13" ht="31.5" x14ac:dyDescent="0.25">
      <c r="B1186" s="789" t="s">
        <v>473</v>
      </c>
      <c r="C1186" s="740" t="s">
        <v>873</v>
      </c>
      <c r="D1186" s="739" t="s">
        <v>509</v>
      </c>
      <c r="E1186" s="739" t="s">
        <v>874</v>
      </c>
      <c r="F1186" s="1010" t="s">
        <v>483</v>
      </c>
      <c r="G1186" s="1011"/>
      <c r="H1186" s="742" t="s">
        <v>213</v>
      </c>
      <c r="I1186" s="803">
        <v>1</v>
      </c>
      <c r="J1186" s="799">
        <v>276.16000000000003</v>
      </c>
      <c r="K1186" s="814">
        <v>276.16000000000003</v>
      </c>
      <c r="L1186" s="778">
        <v>275.20999999999998</v>
      </c>
      <c r="M1186" s="743">
        <v>275.20999999999998</v>
      </c>
    </row>
    <row r="1187" spans="2:13" ht="39" customHeight="1" x14ac:dyDescent="0.25">
      <c r="B1187" s="765" t="s">
        <v>478</v>
      </c>
      <c r="C1187" s="750" t="s">
        <v>695</v>
      </c>
      <c r="D1187" s="749" t="s">
        <v>475</v>
      </c>
      <c r="E1187" s="749" t="s">
        <v>696</v>
      </c>
      <c r="F1187" s="1008" t="s">
        <v>1294</v>
      </c>
      <c r="G1187" s="1009"/>
      <c r="H1187" s="751" t="s">
        <v>2</v>
      </c>
      <c r="I1187" s="791">
        <v>3.2000000000000001E-2</v>
      </c>
      <c r="J1187" s="802">
        <v>586.39</v>
      </c>
      <c r="K1187" s="779">
        <v>18.760000000000002</v>
      </c>
      <c r="L1187" s="822">
        <v>580.67999999999995</v>
      </c>
      <c r="M1187" s="753">
        <v>18.579999999999998</v>
      </c>
    </row>
    <row r="1188" spans="2:13" ht="24" customHeight="1" x14ac:dyDescent="0.25">
      <c r="B1188" s="765" t="s">
        <v>478</v>
      </c>
      <c r="C1188" s="750" t="s">
        <v>662</v>
      </c>
      <c r="D1188" s="749" t="s">
        <v>475</v>
      </c>
      <c r="E1188" s="749" t="s">
        <v>1189</v>
      </c>
      <c r="F1188" s="1008" t="s">
        <v>1291</v>
      </c>
      <c r="G1188" s="1009"/>
      <c r="H1188" s="751" t="s">
        <v>2</v>
      </c>
      <c r="I1188" s="791">
        <v>3.2000000000000001E-2</v>
      </c>
      <c r="J1188" s="802">
        <v>90.03</v>
      </c>
      <c r="K1188" s="779">
        <v>2.88</v>
      </c>
      <c r="L1188" s="822">
        <v>85.24</v>
      </c>
      <c r="M1188" s="753">
        <v>2.72</v>
      </c>
    </row>
    <row r="1189" spans="2:13" ht="24" customHeight="1" x14ac:dyDescent="0.25">
      <c r="B1189" s="765" t="s">
        <v>478</v>
      </c>
      <c r="C1189" s="750" t="s">
        <v>485</v>
      </c>
      <c r="D1189" s="749" t="s">
        <v>475</v>
      </c>
      <c r="E1189" s="749" t="s">
        <v>486</v>
      </c>
      <c r="F1189" s="1008" t="s">
        <v>1268</v>
      </c>
      <c r="G1189" s="1009"/>
      <c r="H1189" s="751" t="s">
        <v>484</v>
      </c>
      <c r="I1189" s="791">
        <v>0.5</v>
      </c>
      <c r="J1189" s="802">
        <v>22.76</v>
      </c>
      <c r="K1189" s="779">
        <v>11.38</v>
      </c>
      <c r="L1189" s="822">
        <v>21.55</v>
      </c>
      <c r="M1189" s="753">
        <v>10.77</v>
      </c>
    </row>
    <row r="1190" spans="2:13" ht="31.5" x14ac:dyDescent="0.25">
      <c r="B1190" s="765" t="s">
        <v>487</v>
      </c>
      <c r="C1190" s="750" t="s">
        <v>878</v>
      </c>
      <c r="D1190" s="749" t="s">
        <v>475</v>
      </c>
      <c r="E1190" s="749" t="s">
        <v>981</v>
      </c>
      <c r="F1190" s="1008" t="s">
        <v>490</v>
      </c>
      <c r="G1190" s="1009"/>
      <c r="H1190" s="751" t="s">
        <v>491</v>
      </c>
      <c r="I1190" s="791">
        <v>0.5</v>
      </c>
      <c r="J1190" s="802">
        <v>11.46</v>
      </c>
      <c r="K1190" s="779">
        <v>5.73</v>
      </c>
      <c r="L1190" s="822">
        <v>11.46</v>
      </c>
      <c r="M1190" s="753">
        <v>5.73</v>
      </c>
    </row>
    <row r="1191" spans="2:13" ht="39" customHeight="1" x14ac:dyDescent="0.25">
      <c r="B1191" s="765" t="s">
        <v>487</v>
      </c>
      <c r="C1191" s="750" t="s">
        <v>863</v>
      </c>
      <c r="D1191" s="749" t="s">
        <v>475</v>
      </c>
      <c r="E1191" s="749" t="s">
        <v>864</v>
      </c>
      <c r="F1191" s="1008" t="s">
        <v>490</v>
      </c>
      <c r="G1191" s="1009"/>
      <c r="H1191" s="751" t="s">
        <v>491</v>
      </c>
      <c r="I1191" s="791">
        <v>3</v>
      </c>
      <c r="J1191" s="802">
        <v>73.63</v>
      </c>
      <c r="K1191" s="779">
        <v>220.89</v>
      </c>
      <c r="L1191" s="822">
        <v>73.63</v>
      </c>
      <c r="M1191" s="753">
        <v>220.89</v>
      </c>
    </row>
    <row r="1192" spans="2:13" ht="31.5" x14ac:dyDescent="0.25">
      <c r="B1192" s="765" t="s">
        <v>487</v>
      </c>
      <c r="C1192" s="750" t="s">
        <v>875</v>
      </c>
      <c r="D1192" s="749" t="s">
        <v>475</v>
      </c>
      <c r="E1192" s="749" t="s">
        <v>876</v>
      </c>
      <c r="F1192" s="1008" t="s">
        <v>490</v>
      </c>
      <c r="G1192" s="1009"/>
      <c r="H1192" s="751" t="s">
        <v>513</v>
      </c>
      <c r="I1192" s="791">
        <v>4</v>
      </c>
      <c r="J1192" s="802">
        <v>0.26</v>
      </c>
      <c r="K1192" s="779">
        <v>1.04</v>
      </c>
      <c r="L1192" s="822">
        <v>0.26</v>
      </c>
      <c r="M1192" s="753">
        <v>1.04</v>
      </c>
    </row>
    <row r="1193" spans="2:13" ht="26.1" customHeight="1" x14ac:dyDescent="0.25">
      <c r="B1193" s="765" t="s">
        <v>487</v>
      </c>
      <c r="C1193" s="750" t="s">
        <v>877</v>
      </c>
      <c r="D1193" s="749" t="s">
        <v>475</v>
      </c>
      <c r="E1193" s="749" t="s">
        <v>980</v>
      </c>
      <c r="F1193" s="1008" t="s">
        <v>490</v>
      </c>
      <c r="G1193" s="1009"/>
      <c r="H1193" s="751" t="s">
        <v>513</v>
      </c>
      <c r="I1193" s="791">
        <v>8</v>
      </c>
      <c r="J1193" s="802">
        <v>1.76</v>
      </c>
      <c r="K1193" s="779">
        <v>14.08</v>
      </c>
      <c r="L1193" s="822">
        <v>1.76</v>
      </c>
      <c r="M1193" s="753">
        <v>14.08</v>
      </c>
    </row>
    <row r="1194" spans="2:13" ht="24" customHeight="1" x14ac:dyDescent="0.25">
      <c r="B1194" s="765" t="s">
        <v>487</v>
      </c>
      <c r="C1194" s="750" t="s">
        <v>558</v>
      </c>
      <c r="D1194" s="749" t="s">
        <v>475</v>
      </c>
      <c r="E1194" s="749" t="s">
        <v>559</v>
      </c>
      <c r="F1194" s="1008" t="s">
        <v>490</v>
      </c>
      <c r="G1194" s="1009"/>
      <c r="H1194" s="751" t="s">
        <v>513</v>
      </c>
      <c r="I1194" s="791">
        <v>4</v>
      </c>
      <c r="J1194" s="802">
        <v>0.35</v>
      </c>
      <c r="K1194" s="779">
        <v>1.4</v>
      </c>
      <c r="L1194" s="822">
        <v>0.35</v>
      </c>
      <c r="M1194" s="753">
        <v>1.4</v>
      </c>
    </row>
    <row r="1195" spans="2:13" x14ac:dyDescent="0.25">
      <c r="B1195" s="823"/>
      <c r="C1195" s="744"/>
      <c r="D1195" s="744"/>
      <c r="E1195" s="744"/>
      <c r="F1195" s="744" t="s">
        <v>498</v>
      </c>
      <c r="G1195" s="745">
        <v>12.58</v>
      </c>
      <c r="H1195" s="744" t="s">
        <v>499</v>
      </c>
      <c r="I1195" s="787">
        <v>0</v>
      </c>
      <c r="J1195" s="823" t="s">
        <v>500</v>
      </c>
      <c r="K1195" s="787">
        <v>12.58</v>
      </c>
      <c r="L1195" s="744" t="s">
        <v>500</v>
      </c>
      <c r="M1195" s="745">
        <v>11.63</v>
      </c>
    </row>
    <row r="1196" spans="2:13" ht="14.25" customHeight="1" x14ac:dyDescent="0.25">
      <c r="B1196" s="823"/>
      <c r="C1196" s="744"/>
      <c r="D1196" s="744"/>
      <c r="E1196" s="744"/>
      <c r="F1196" s="744" t="s">
        <v>501</v>
      </c>
      <c r="G1196" s="745">
        <v>69.67</v>
      </c>
      <c r="H1196" s="744"/>
      <c r="I1196" s="812" t="s">
        <v>502</v>
      </c>
      <c r="J1196" s="793"/>
      <c r="K1196" s="787">
        <v>345.83</v>
      </c>
      <c r="L1196" s="746"/>
      <c r="M1196" s="745">
        <v>359.58</v>
      </c>
    </row>
    <row r="1197" spans="2:13" ht="50.1" customHeight="1" thickBot="1" x14ac:dyDescent="0.3">
      <c r="B1197" s="776"/>
      <c r="C1197" s="747"/>
      <c r="D1197" s="747"/>
      <c r="E1197" s="747"/>
      <c r="F1197" s="747"/>
      <c r="G1197" s="747"/>
      <c r="H1197" s="747" t="s">
        <v>503</v>
      </c>
      <c r="I1197" s="806" t="s">
        <v>1191</v>
      </c>
      <c r="J1197" s="776" t="s">
        <v>504</v>
      </c>
      <c r="K1197" s="807">
        <v>6916.6</v>
      </c>
      <c r="L1197" s="747" t="s">
        <v>504</v>
      </c>
      <c r="M1197" s="748">
        <v>7191.6</v>
      </c>
    </row>
    <row r="1198" spans="2:13" ht="16.5" thickTop="1" x14ac:dyDescent="0.25">
      <c r="B1198" s="768"/>
      <c r="C1198" s="757"/>
      <c r="D1198" s="757"/>
      <c r="E1198" s="757"/>
      <c r="F1198" s="757"/>
      <c r="G1198" s="757"/>
      <c r="H1198" s="757"/>
      <c r="I1198" s="766"/>
      <c r="J1198" s="768"/>
      <c r="K1198" s="766"/>
      <c r="L1198" s="757"/>
      <c r="M1198" s="757"/>
    </row>
    <row r="1199" spans="2:13" ht="24" customHeight="1" x14ac:dyDescent="0.25">
      <c r="B1199" s="771" t="s">
        <v>381</v>
      </c>
      <c r="C1199" s="617"/>
      <c r="D1199" s="617"/>
      <c r="E1199" s="617" t="s">
        <v>382</v>
      </c>
      <c r="F1199" s="617"/>
      <c r="G1199" s="755"/>
      <c r="H1199" s="755"/>
      <c r="I1199" s="792"/>
      <c r="J1199" s="771"/>
      <c r="K1199" s="796">
        <v>384191.21</v>
      </c>
      <c r="L1199" s="815"/>
      <c r="M1199" s="756">
        <v>377285.97</v>
      </c>
    </row>
    <row r="1200" spans="2:13" ht="18" customHeight="1" x14ac:dyDescent="0.25">
      <c r="B1200" s="805" t="s">
        <v>468</v>
      </c>
      <c r="C1200" s="736" t="s">
        <v>391</v>
      </c>
      <c r="D1200" s="735" t="s">
        <v>392</v>
      </c>
      <c r="E1200" s="735" t="s">
        <v>42</v>
      </c>
      <c r="F1200" s="1004" t="s">
        <v>39</v>
      </c>
      <c r="G1200" s="1005"/>
      <c r="H1200" s="738" t="s">
        <v>394</v>
      </c>
      <c r="I1200" s="767" t="s">
        <v>395</v>
      </c>
      <c r="J1200" s="808" t="s">
        <v>396</v>
      </c>
      <c r="K1200" s="767" t="s">
        <v>0</v>
      </c>
      <c r="L1200" s="782" t="s">
        <v>396</v>
      </c>
      <c r="M1200" s="736" t="s">
        <v>0</v>
      </c>
    </row>
    <row r="1201" spans="2:13" ht="26.1" customHeight="1" x14ac:dyDescent="0.25">
      <c r="B1201" s="789" t="s">
        <v>473</v>
      </c>
      <c r="C1201" s="740" t="s">
        <v>1230</v>
      </c>
      <c r="D1201" s="739" t="s">
        <v>509</v>
      </c>
      <c r="E1201" s="739" t="s">
        <v>1231</v>
      </c>
      <c r="F1201" s="1010" t="s">
        <v>483</v>
      </c>
      <c r="G1201" s="1011"/>
      <c r="H1201" s="742" t="s">
        <v>213</v>
      </c>
      <c r="I1201" s="803">
        <v>1</v>
      </c>
      <c r="J1201" s="799">
        <v>309258</v>
      </c>
      <c r="K1201" s="814">
        <v>309258</v>
      </c>
      <c r="L1201" s="778">
        <v>288754</v>
      </c>
      <c r="M1201" s="743">
        <v>288754</v>
      </c>
    </row>
    <row r="1202" spans="2:13" ht="26.1" customHeight="1" x14ac:dyDescent="0.25">
      <c r="B1202" s="765" t="s">
        <v>478</v>
      </c>
      <c r="C1202" s="750" t="s">
        <v>891</v>
      </c>
      <c r="D1202" s="749" t="s">
        <v>475</v>
      </c>
      <c r="E1202" s="749" t="s">
        <v>892</v>
      </c>
      <c r="F1202" s="1008" t="s">
        <v>1268</v>
      </c>
      <c r="G1202" s="1009"/>
      <c r="H1202" s="751" t="s">
        <v>484</v>
      </c>
      <c r="I1202" s="791">
        <v>900</v>
      </c>
      <c r="J1202" s="802">
        <v>36.14</v>
      </c>
      <c r="K1202" s="779">
        <v>32526</v>
      </c>
      <c r="L1202" s="822">
        <v>33.83</v>
      </c>
      <c r="M1202" s="753">
        <v>30447</v>
      </c>
    </row>
    <row r="1203" spans="2:13" ht="26.1" customHeight="1" x14ac:dyDescent="0.25">
      <c r="B1203" s="765" t="s">
        <v>478</v>
      </c>
      <c r="C1203" s="750" t="s">
        <v>889</v>
      </c>
      <c r="D1203" s="749" t="s">
        <v>475</v>
      </c>
      <c r="E1203" s="749" t="s">
        <v>890</v>
      </c>
      <c r="F1203" s="1008" t="s">
        <v>1268</v>
      </c>
      <c r="G1203" s="1009"/>
      <c r="H1203" s="751" t="s">
        <v>484</v>
      </c>
      <c r="I1203" s="791">
        <v>900</v>
      </c>
      <c r="J1203" s="802">
        <v>42.47</v>
      </c>
      <c r="K1203" s="779">
        <v>38223</v>
      </c>
      <c r="L1203" s="822">
        <v>39.69</v>
      </c>
      <c r="M1203" s="753">
        <v>35721</v>
      </c>
    </row>
    <row r="1204" spans="2:13" ht="24" customHeight="1" x14ac:dyDescent="0.25">
      <c r="B1204" s="765" t="s">
        <v>478</v>
      </c>
      <c r="C1204" s="750" t="s">
        <v>881</v>
      </c>
      <c r="D1204" s="749" t="s">
        <v>475</v>
      </c>
      <c r="E1204" s="749" t="s">
        <v>882</v>
      </c>
      <c r="F1204" s="1008" t="s">
        <v>1268</v>
      </c>
      <c r="G1204" s="1009"/>
      <c r="H1204" s="751" t="s">
        <v>484</v>
      </c>
      <c r="I1204" s="791">
        <v>1000</v>
      </c>
      <c r="J1204" s="802">
        <v>44.28</v>
      </c>
      <c r="K1204" s="779">
        <v>44280</v>
      </c>
      <c r="L1204" s="822">
        <v>41.41</v>
      </c>
      <c r="M1204" s="753">
        <v>41410</v>
      </c>
    </row>
    <row r="1205" spans="2:13" ht="24" customHeight="1" x14ac:dyDescent="0.25">
      <c r="B1205" s="765" t="s">
        <v>478</v>
      </c>
      <c r="C1205" s="750" t="s">
        <v>887</v>
      </c>
      <c r="D1205" s="749" t="s">
        <v>475</v>
      </c>
      <c r="E1205" s="749" t="s">
        <v>888</v>
      </c>
      <c r="F1205" s="1008" t="s">
        <v>1268</v>
      </c>
      <c r="G1205" s="1009"/>
      <c r="H1205" s="751" t="s">
        <v>484</v>
      </c>
      <c r="I1205" s="791">
        <v>900</v>
      </c>
      <c r="J1205" s="802">
        <v>19.760000000000002</v>
      </c>
      <c r="K1205" s="779">
        <v>17784</v>
      </c>
      <c r="L1205" s="822">
        <v>18.68</v>
      </c>
      <c r="M1205" s="753">
        <v>16812</v>
      </c>
    </row>
    <row r="1206" spans="2:13" ht="24" customHeight="1" x14ac:dyDescent="0.25">
      <c r="B1206" s="765" t="s">
        <v>478</v>
      </c>
      <c r="C1206" s="750" t="s">
        <v>883</v>
      </c>
      <c r="D1206" s="749" t="s">
        <v>475</v>
      </c>
      <c r="E1206" s="749" t="s">
        <v>884</v>
      </c>
      <c r="F1206" s="1008" t="s">
        <v>1268</v>
      </c>
      <c r="G1206" s="1009"/>
      <c r="H1206" s="751" t="s">
        <v>484</v>
      </c>
      <c r="I1206" s="791">
        <v>1000</v>
      </c>
      <c r="J1206" s="802">
        <v>22.51</v>
      </c>
      <c r="K1206" s="779">
        <v>22510</v>
      </c>
      <c r="L1206" s="822">
        <v>21.31</v>
      </c>
      <c r="M1206" s="753">
        <v>21310</v>
      </c>
    </row>
    <row r="1207" spans="2:13" ht="26.1" customHeight="1" x14ac:dyDescent="0.25">
      <c r="B1207" s="765" t="s">
        <v>478</v>
      </c>
      <c r="C1207" s="750" t="s">
        <v>879</v>
      </c>
      <c r="D1207" s="749" t="s">
        <v>475</v>
      </c>
      <c r="E1207" s="749" t="s">
        <v>880</v>
      </c>
      <c r="F1207" s="1008" t="s">
        <v>1268</v>
      </c>
      <c r="G1207" s="1009"/>
      <c r="H1207" s="751" t="s">
        <v>484</v>
      </c>
      <c r="I1207" s="791">
        <v>850</v>
      </c>
      <c r="J1207" s="802">
        <v>141.5</v>
      </c>
      <c r="K1207" s="779">
        <v>120275</v>
      </c>
      <c r="L1207" s="822">
        <v>131.24</v>
      </c>
      <c r="M1207" s="753">
        <v>111554</v>
      </c>
    </row>
    <row r="1208" spans="2:13" ht="24" customHeight="1" x14ac:dyDescent="0.25">
      <c r="B1208" s="765" t="s">
        <v>478</v>
      </c>
      <c r="C1208" s="750" t="s">
        <v>885</v>
      </c>
      <c r="D1208" s="749" t="s">
        <v>475</v>
      </c>
      <c r="E1208" s="749" t="s">
        <v>886</v>
      </c>
      <c r="F1208" s="1008" t="s">
        <v>1268</v>
      </c>
      <c r="G1208" s="1009"/>
      <c r="H1208" s="751" t="s">
        <v>484</v>
      </c>
      <c r="I1208" s="791">
        <v>900</v>
      </c>
      <c r="J1208" s="802">
        <v>37.4</v>
      </c>
      <c r="K1208" s="779">
        <v>33660</v>
      </c>
      <c r="L1208" s="822">
        <v>35</v>
      </c>
      <c r="M1208" s="753">
        <v>31500</v>
      </c>
    </row>
    <row r="1209" spans="2:13" x14ac:dyDescent="0.25">
      <c r="B1209" s="823"/>
      <c r="C1209" s="744"/>
      <c r="D1209" s="744"/>
      <c r="E1209" s="744"/>
      <c r="F1209" s="744" t="s">
        <v>498</v>
      </c>
      <c r="G1209" s="745">
        <v>273817</v>
      </c>
      <c r="H1209" s="744" t="s">
        <v>499</v>
      </c>
      <c r="I1209" s="787">
        <v>0</v>
      </c>
      <c r="J1209" s="823" t="s">
        <v>500</v>
      </c>
      <c r="K1209" s="787">
        <v>273817</v>
      </c>
      <c r="L1209" s="744" t="s">
        <v>500</v>
      </c>
      <c r="M1209" s="745">
        <v>253313</v>
      </c>
    </row>
    <row r="1210" spans="2:13" ht="14.25" customHeight="1" x14ac:dyDescent="0.25">
      <c r="B1210" s="823"/>
      <c r="C1210" s="744"/>
      <c r="D1210" s="744"/>
      <c r="E1210" s="744"/>
      <c r="F1210" s="744" t="s">
        <v>501</v>
      </c>
      <c r="G1210" s="745">
        <v>74933.210000000006</v>
      </c>
      <c r="H1210" s="744"/>
      <c r="I1210" s="812" t="s">
        <v>502</v>
      </c>
      <c r="J1210" s="793"/>
      <c r="K1210" s="787">
        <v>384191.21</v>
      </c>
      <c r="L1210" s="746"/>
      <c r="M1210" s="745">
        <v>377285.97</v>
      </c>
    </row>
    <row r="1211" spans="2:13" ht="16.5" thickBot="1" x14ac:dyDescent="0.3">
      <c r="B1211" s="801"/>
      <c r="C1211" s="818"/>
      <c r="D1211" s="818"/>
      <c r="E1211" s="818"/>
      <c r="F1211" s="818"/>
      <c r="G1211" s="818"/>
      <c r="H1211" s="818" t="s">
        <v>503</v>
      </c>
      <c r="I1211" s="785" t="s">
        <v>1149</v>
      </c>
      <c r="J1211" s="801" t="s">
        <v>504</v>
      </c>
      <c r="K1211" s="795">
        <v>384191.21</v>
      </c>
      <c r="L1211" s="747" t="s">
        <v>504</v>
      </c>
      <c r="M1211" s="748">
        <v>377285.97</v>
      </c>
    </row>
  </sheetData>
  <autoFilter ref="B10:M1197"/>
  <mergeCells count="676">
    <mergeCell ref="B6:I6"/>
    <mergeCell ref="F2:H2"/>
    <mergeCell ref="B2:E2"/>
    <mergeCell ref="F7:G7"/>
    <mergeCell ref="F9:G9"/>
    <mergeCell ref="F10:G10"/>
    <mergeCell ref="F11:G11"/>
    <mergeCell ref="F12:G12"/>
    <mergeCell ref="F29:G29"/>
    <mergeCell ref="F34:G34"/>
    <mergeCell ref="F8:G8"/>
    <mergeCell ref="F13:G13"/>
    <mergeCell ref="F14:G14"/>
    <mergeCell ref="F15:G15"/>
    <mergeCell ref="F16:G16"/>
    <mergeCell ref="F58:G58"/>
    <mergeCell ref="F35:G35"/>
    <mergeCell ref="F36:G36"/>
    <mergeCell ref="F22:G22"/>
    <mergeCell ref="F23:G23"/>
    <mergeCell ref="F28:G28"/>
    <mergeCell ref="F45:G45"/>
    <mergeCell ref="F46:G46"/>
    <mergeCell ref="F17:G17"/>
    <mergeCell ref="F53:G53"/>
    <mergeCell ref="F54:G54"/>
    <mergeCell ref="F55:G55"/>
    <mergeCell ref="F56:G56"/>
    <mergeCell ref="F57:G57"/>
    <mergeCell ref="F51:G51"/>
    <mergeCell ref="F52:G52"/>
    <mergeCell ref="F37:G37"/>
    <mergeCell ref="F38:G38"/>
    <mergeCell ref="F39:G39"/>
    <mergeCell ref="F40:G40"/>
    <mergeCell ref="F63:G63"/>
    <mergeCell ref="F64:G64"/>
    <mergeCell ref="F65:G65"/>
    <mergeCell ref="F66:G66"/>
    <mergeCell ref="F67:G67"/>
    <mergeCell ref="F59:G59"/>
    <mergeCell ref="F60:G60"/>
    <mergeCell ref="F61:G61"/>
    <mergeCell ref="F62:G62"/>
    <mergeCell ref="F73:G73"/>
    <mergeCell ref="F74:G74"/>
    <mergeCell ref="F79:G79"/>
    <mergeCell ref="F80:G80"/>
    <mergeCell ref="F68:G68"/>
    <mergeCell ref="F69:G69"/>
    <mergeCell ref="F70:G70"/>
    <mergeCell ref="F71:G71"/>
    <mergeCell ref="F72:G72"/>
    <mergeCell ref="F90:G90"/>
    <mergeCell ref="F91:G91"/>
    <mergeCell ref="F92:G92"/>
    <mergeCell ref="F93:G93"/>
    <mergeCell ref="F81:G81"/>
    <mergeCell ref="F82:G82"/>
    <mergeCell ref="F83:G83"/>
    <mergeCell ref="F84:G84"/>
    <mergeCell ref="F85:G85"/>
    <mergeCell ref="F102:G102"/>
    <mergeCell ref="F103:G103"/>
    <mergeCell ref="F104:G104"/>
    <mergeCell ref="F105:G105"/>
    <mergeCell ref="F106:G106"/>
    <mergeCell ref="F94:G94"/>
    <mergeCell ref="F95:G95"/>
    <mergeCell ref="F96:G96"/>
    <mergeCell ref="F101:G101"/>
    <mergeCell ref="F123:G123"/>
    <mergeCell ref="F124:G124"/>
    <mergeCell ref="F125:G125"/>
    <mergeCell ref="F130:G130"/>
    <mergeCell ref="F119:G119"/>
    <mergeCell ref="F120:G120"/>
    <mergeCell ref="F121:G121"/>
    <mergeCell ref="F122:G122"/>
    <mergeCell ref="F111:G111"/>
    <mergeCell ref="F112:G112"/>
    <mergeCell ref="F113:G113"/>
    <mergeCell ref="F114:G114"/>
    <mergeCell ref="F140:G140"/>
    <mergeCell ref="F141:G141"/>
    <mergeCell ref="F142:G142"/>
    <mergeCell ref="F143:G143"/>
    <mergeCell ref="F131:G131"/>
    <mergeCell ref="F132:G132"/>
    <mergeCell ref="F133:G133"/>
    <mergeCell ref="F134:G134"/>
    <mergeCell ref="F135:G135"/>
    <mergeCell ref="F157:G157"/>
    <mergeCell ref="F162:G162"/>
    <mergeCell ref="F163:G163"/>
    <mergeCell ref="F164:G164"/>
    <mergeCell ref="F154:G154"/>
    <mergeCell ref="F155:G155"/>
    <mergeCell ref="F156:G156"/>
    <mergeCell ref="F144:G144"/>
    <mergeCell ref="F145:G145"/>
    <mergeCell ref="F146:G146"/>
    <mergeCell ref="F147:G147"/>
    <mergeCell ref="F148:G148"/>
    <mergeCell ref="F153:G153"/>
    <mergeCell ref="F173:G173"/>
    <mergeCell ref="F174:G174"/>
    <mergeCell ref="F175:G175"/>
    <mergeCell ref="F176:G176"/>
    <mergeCell ref="F177:G177"/>
    <mergeCell ref="F165:G165"/>
    <mergeCell ref="F166:G166"/>
    <mergeCell ref="F167:G167"/>
    <mergeCell ref="F168:G168"/>
    <mergeCell ref="F194:G194"/>
    <mergeCell ref="F199:G199"/>
    <mergeCell ref="F200:G200"/>
    <mergeCell ref="F201:G201"/>
    <mergeCell ref="F186:G186"/>
    <mergeCell ref="F191:G191"/>
    <mergeCell ref="F192:G192"/>
    <mergeCell ref="F193:G193"/>
    <mergeCell ref="F178:G178"/>
    <mergeCell ref="F183:G183"/>
    <mergeCell ref="F184:G184"/>
    <mergeCell ref="F185:G185"/>
    <mergeCell ref="F211:G211"/>
    <mergeCell ref="F212:G212"/>
    <mergeCell ref="F213:G213"/>
    <mergeCell ref="F214:G214"/>
    <mergeCell ref="F202:G202"/>
    <mergeCell ref="F203:G203"/>
    <mergeCell ref="F204:G204"/>
    <mergeCell ref="F209:G209"/>
    <mergeCell ref="F210:G210"/>
    <mergeCell ref="F231:G231"/>
    <mergeCell ref="F232:G232"/>
    <mergeCell ref="F233:G233"/>
    <mergeCell ref="F238:G238"/>
    <mergeCell ref="F223:G223"/>
    <mergeCell ref="F224:G224"/>
    <mergeCell ref="F229:G229"/>
    <mergeCell ref="F230:G230"/>
    <mergeCell ref="F215:G215"/>
    <mergeCell ref="F220:G220"/>
    <mergeCell ref="F221:G221"/>
    <mergeCell ref="F222:G222"/>
    <mergeCell ref="F247:G247"/>
    <mergeCell ref="F248:G248"/>
    <mergeCell ref="F249:G249"/>
    <mergeCell ref="F250:G250"/>
    <mergeCell ref="F251:G251"/>
    <mergeCell ref="F239:G239"/>
    <mergeCell ref="F240:G240"/>
    <mergeCell ref="F241:G241"/>
    <mergeCell ref="F242:G242"/>
    <mergeCell ref="F268:G268"/>
    <mergeCell ref="F269:G269"/>
    <mergeCell ref="F274:G274"/>
    <mergeCell ref="F275:G275"/>
    <mergeCell ref="F260:G260"/>
    <mergeCell ref="F265:G265"/>
    <mergeCell ref="F266:G266"/>
    <mergeCell ref="F267:G267"/>
    <mergeCell ref="F252:G252"/>
    <mergeCell ref="F257:G257"/>
    <mergeCell ref="F258:G258"/>
    <mergeCell ref="F259:G259"/>
    <mergeCell ref="F289:G289"/>
    <mergeCell ref="F290:G290"/>
    <mergeCell ref="F291:G291"/>
    <mergeCell ref="F296:G296"/>
    <mergeCell ref="F285:G285"/>
    <mergeCell ref="F286:G286"/>
    <mergeCell ref="F287:G287"/>
    <mergeCell ref="F288:G288"/>
    <mergeCell ref="F276:G276"/>
    <mergeCell ref="F277:G277"/>
    <mergeCell ref="F278:G278"/>
    <mergeCell ref="F279:G279"/>
    <mergeCell ref="F280:G280"/>
    <mergeCell ref="F305:G305"/>
    <mergeCell ref="F306:G306"/>
    <mergeCell ref="F307:G307"/>
    <mergeCell ref="F308:G308"/>
    <mergeCell ref="F309:G309"/>
    <mergeCell ref="F297:G297"/>
    <mergeCell ref="F298:G298"/>
    <mergeCell ref="F299:G299"/>
    <mergeCell ref="F300:G300"/>
    <mergeCell ref="F318:G318"/>
    <mergeCell ref="F319:G319"/>
    <mergeCell ref="F320:G320"/>
    <mergeCell ref="F326:G326"/>
    <mergeCell ref="F321:G321"/>
    <mergeCell ref="F314:G314"/>
    <mergeCell ref="F315:G315"/>
    <mergeCell ref="F316:G316"/>
    <mergeCell ref="F317:G317"/>
    <mergeCell ref="F345:G345"/>
    <mergeCell ref="F346:G346"/>
    <mergeCell ref="F347:G347"/>
    <mergeCell ref="F337:G337"/>
    <mergeCell ref="F338:G338"/>
    <mergeCell ref="F339:G339"/>
    <mergeCell ref="F344:G344"/>
    <mergeCell ref="F336:G336"/>
    <mergeCell ref="F327:G327"/>
    <mergeCell ref="F328:G328"/>
    <mergeCell ref="F329:G329"/>
    <mergeCell ref="F330:G330"/>
    <mergeCell ref="F331:G331"/>
    <mergeCell ref="F357:G357"/>
    <mergeCell ref="F358:G358"/>
    <mergeCell ref="F359:G359"/>
    <mergeCell ref="F360:G360"/>
    <mergeCell ref="F348:G348"/>
    <mergeCell ref="F349:G349"/>
    <mergeCell ref="F350:G350"/>
    <mergeCell ref="F351:G351"/>
    <mergeCell ref="F356:G356"/>
    <mergeCell ref="F369:G369"/>
    <mergeCell ref="F370:G370"/>
    <mergeCell ref="F371:G371"/>
    <mergeCell ref="F372:G372"/>
    <mergeCell ref="F373:G373"/>
    <mergeCell ref="F361:G361"/>
    <mergeCell ref="F362:G362"/>
    <mergeCell ref="F363:G363"/>
    <mergeCell ref="F368:G368"/>
    <mergeCell ref="F413:G413"/>
    <mergeCell ref="F420:G420"/>
    <mergeCell ref="F419:G419"/>
    <mergeCell ref="F411:G411"/>
    <mergeCell ref="F412:G412"/>
    <mergeCell ref="F410:G410"/>
    <mergeCell ref="F374:G374"/>
    <mergeCell ref="F375:G375"/>
    <mergeCell ref="F380:G380"/>
    <mergeCell ref="F381:G381"/>
    <mergeCell ref="F442:G442"/>
    <mergeCell ref="F443:G443"/>
    <mergeCell ref="F444:G444"/>
    <mergeCell ref="F429:G429"/>
    <mergeCell ref="F430:G430"/>
    <mergeCell ref="F436:G436"/>
    <mergeCell ref="F426:G426"/>
    <mergeCell ref="F427:G427"/>
    <mergeCell ref="F428:G428"/>
    <mergeCell ref="F441:G441"/>
    <mergeCell ref="F435:G435"/>
    <mergeCell ref="F468:G468"/>
    <mergeCell ref="F453:G453"/>
    <mergeCell ref="F454:G454"/>
    <mergeCell ref="F455:G455"/>
    <mergeCell ref="F445:G445"/>
    <mergeCell ref="F446:G446"/>
    <mergeCell ref="F447:G447"/>
    <mergeCell ref="F460:G460"/>
    <mergeCell ref="F452:G452"/>
    <mergeCell ref="F525:G525"/>
    <mergeCell ref="F514:G514"/>
    <mergeCell ref="F520:G520"/>
    <mergeCell ref="F509:G509"/>
    <mergeCell ref="F510:G510"/>
    <mergeCell ref="F511:G511"/>
    <mergeCell ref="F512:G512"/>
    <mergeCell ref="F513:G513"/>
    <mergeCell ref="F519:G519"/>
    <mergeCell ref="F543:G543"/>
    <mergeCell ref="F544:G544"/>
    <mergeCell ref="F545:G545"/>
    <mergeCell ref="F530:G530"/>
    <mergeCell ref="F531:G531"/>
    <mergeCell ref="F537:G537"/>
    <mergeCell ref="F526:G526"/>
    <mergeCell ref="F527:G527"/>
    <mergeCell ref="F528:G528"/>
    <mergeCell ref="F529:G529"/>
    <mergeCell ref="F562:G562"/>
    <mergeCell ref="F563:G563"/>
    <mergeCell ref="F564:G564"/>
    <mergeCell ref="F554:G554"/>
    <mergeCell ref="F555:G555"/>
    <mergeCell ref="F556:G556"/>
    <mergeCell ref="F546:G546"/>
    <mergeCell ref="F547:G547"/>
    <mergeCell ref="F548:G548"/>
    <mergeCell ref="F575:G575"/>
    <mergeCell ref="F576:G576"/>
    <mergeCell ref="F577:G577"/>
    <mergeCell ref="F578:G578"/>
    <mergeCell ref="F579:G579"/>
    <mergeCell ref="F570:G570"/>
    <mergeCell ref="F571:G571"/>
    <mergeCell ref="F572:G572"/>
    <mergeCell ref="F573:G573"/>
    <mergeCell ref="F574:G574"/>
    <mergeCell ref="F588:G588"/>
    <mergeCell ref="F589:G589"/>
    <mergeCell ref="F590:G590"/>
    <mergeCell ref="F591:G591"/>
    <mergeCell ref="F592:G592"/>
    <mergeCell ref="F580:G580"/>
    <mergeCell ref="F586:G586"/>
    <mergeCell ref="F587:G587"/>
    <mergeCell ref="F585:G585"/>
    <mergeCell ref="F606:G606"/>
    <mergeCell ref="F607:G607"/>
    <mergeCell ref="F608:G608"/>
    <mergeCell ref="F609:G609"/>
    <mergeCell ref="F610:G610"/>
    <mergeCell ref="F603:G603"/>
    <mergeCell ref="F604:G604"/>
    <mergeCell ref="F605:G605"/>
    <mergeCell ref="F593:G593"/>
    <mergeCell ref="F594:G594"/>
    <mergeCell ref="F595:G595"/>
    <mergeCell ref="F596:G596"/>
    <mergeCell ref="F597:G597"/>
    <mergeCell ref="F602:G602"/>
    <mergeCell ref="F636:G636"/>
    <mergeCell ref="F642:G642"/>
    <mergeCell ref="F627:G627"/>
    <mergeCell ref="F628:G628"/>
    <mergeCell ref="F634:G634"/>
    <mergeCell ref="F620:G620"/>
    <mergeCell ref="F626:G626"/>
    <mergeCell ref="F611:G611"/>
    <mergeCell ref="F612:G612"/>
    <mergeCell ref="F613:G613"/>
    <mergeCell ref="F614:G614"/>
    <mergeCell ref="F674:G674"/>
    <mergeCell ref="F666:G666"/>
    <mergeCell ref="F667:G667"/>
    <mergeCell ref="F668:G668"/>
    <mergeCell ref="F669:G669"/>
    <mergeCell ref="F661:G661"/>
    <mergeCell ref="F662:G662"/>
    <mergeCell ref="F663:G663"/>
    <mergeCell ref="F664:G664"/>
    <mergeCell ref="F665:G665"/>
    <mergeCell ref="F687:G687"/>
    <mergeCell ref="F688:G688"/>
    <mergeCell ref="F689:G689"/>
    <mergeCell ref="F700:G700"/>
    <mergeCell ref="F694:G694"/>
    <mergeCell ref="F679:G679"/>
    <mergeCell ref="F685:G685"/>
    <mergeCell ref="F686:G686"/>
    <mergeCell ref="F675:G675"/>
    <mergeCell ref="F676:G676"/>
    <mergeCell ref="F677:G677"/>
    <mergeCell ref="F678:G678"/>
    <mergeCell ref="F684:G684"/>
    <mergeCell ref="F711:G711"/>
    <mergeCell ref="F717:G717"/>
    <mergeCell ref="F718:G718"/>
    <mergeCell ref="F703:G703"/>
    <mergeCell ref="F709:G709"/>
    <mergeCell ref="F710:G710"/>
    <mergeCell ref="F716:G716"/>
    <mergeCell ref="F708:G708"/>
    <mergeCell ref="F695:G695"/>
    <mergeCell ref="F701:G701"/>
    <mergeCell ref="F702:G702"/>
    <mergeCell ref="F729:G729"/>
    <mergeCell ref="F730:G730"/>
    <mergeCell ref="F731:G731"/>
    <mergeCell ref="F719:G719"/>
    <mergeCell ref="F720:G720"/>
    <mergeCell ref="F721:G721"/>
    <mergeCell ref="F722:G722"/>
    <mergeCell ref="F723:G723"/>
    <mergeCell ref="F728:G728"/>
    <mergeCell ref="F737:G737"/>
    <mergeCell ref="F738:G738"/>
    <mergeCell ref="F739:G739"/>
    <mergeCell ref="F740:G740"/>
    <mergeCell ref="F741:G741"/>
    <mergeCell ref="F732:G732"/>
    <mergeCell ref="F733:G733"/>
    <mergeCell ref="F734:G734"/>
    <mergeCell ref="F735:G735"/>
    <mergeCell ref="F736:G736"/>
    <mergeCell ref="F755:G755"/>
    <mergeCell ref="F756:G756"/>
    <mergeCell ref="F757:G757"/>
    <mergeCell ref="F758:G758"/>
    <mergeCell ref="F763:G763"/>
    <mergeCell ref="F747:G747"/>
    <mergeCell ref="F748:G748"/>
    <mergeCell ref="F754:G754"/>
    <mergeCell ref="F742:G742"/>
    <mergeCell ref="F743:G743"/>
    <mergeCell ref="F744:G744"/>
    <mergeCell ref="F745:G745"/>
    <mergeCell ref="F746:G746"/>
    <mergeCell ref="F753:G753"/>
    <mergeCell ref="F776:G776"/>
    <mergeCell ref="F777:G777"/>
    <mergeCell ref="F778:G778"/>
    <mergeCell ref="F779:G779"/>
    <mergeCell ref="F774:G774"/>
    <mergeCell ref="F775:G775"/>
    <mergeCell ref="F773:G773"/>
    <mergeCell ref="F764:G764"/>
    <mergeCell ref="F765:G765"/>
    <mergeCell ref="F766:G766"/>
    <mergeCell ref="F794:G794"/>
    <mergeCell ref="F795:G795"/>
    <mergeCell ref="F796:G796"/>
    <mergeCell ref="F785:G785"/>
    <mergeCell ref="F786:G786"/>
    <mergeCell ref="F787:G787"/>
    <mergeCell ref="F788:G788"/>
    <mergeCell ref="F793:G793"/>
    <mergeCell ref="F784:G784"/>
    <mergeCell ref="F810:G810"/>
    <mergeCell ref="F811:G811"/>
    <mergeCell ref="F817:G817"/>
    <mergeCell ref="F824:G824"/>
    <mergeCell ref="F816:G816"/>
    <mergeCell ref="F807:G807"/>
    <mergeCell ref="F808:G808"/>
    <mergeCell ref="F809:G809"/>
    <mergeCell ref="F797:G797"/>
    <mergeCell ref="F798:G798"/>
    <mergeCell ref="F799:G799"/>
    <mergeCell ref="F800:G800"/>
    <mergeCell ref="F801:G801"/>
    <mergeCell ref="F806:G806"/>
    <mergeCell ref="F835:G835"/>
    <mergeCell ref="F836:G836"/>
    <mergeCell ref="F837:G837"/>
    <mergeCell ref="F838:G838"/>
    <mergeCell ref="F826:G826"/>
    <mergeCell ref="F827:G827"/>
    <mergeCell ref="F828:G828"/>
    <mergeCell ref="F834:G834"/>
    <mergeCell ref="F818:G818"/>
    <mergeCell ref="F819:G819"/>
    <mergeCell ref="F825:G825"/>
    <mergeCell ref="F848:G848"/>
    <mergeCell ref="F849:G849"/>
    <mergeCell ref="F850:G850"/>
    <mergeCell ref="F851:G851"/>
    <mergeCell ref="F839:G839"/>
    <mergeCell ref="F840:G840"/>
    <mergeCell ref="F841:G841"/>
    <mergeCell ref="F842:G842"/>
    <mergeCell ref="F847:G847"/>
    <mergeCell ref="F857:G857"/>
    <mergeCell ref="F858:G858"/>
    <mergeCell ref="F864:G864"/>
    <mergeCell ref="F852:G852"/>
    <mergeCell ref="F853:G853"/>
    <mergeCell ref="F854:G854"/>
    <mergeCell ref="F855:G855"/>
    <mergeCell ref="F856:G856"/>
    <mergeCell ref="F863:G863"/>
    <mergeCell ref="F881:G881"/>
    <mergeCell ref="F874:G874"/>
    <mergeCell ref="F875:G875"/>
    <mergeCell ref="F876:G876"/>
    <mergeCell ref="F865:G865"/>
    <mergeCell ref="F866:G866"/>
    <mergeCell ref="F867:G867"/>
    <mergeCell ref="F868:G868"/>
    <mergeCell ref="F873:G873"/>
    <mergeCell ref="F900:G900"/>
    <mergeCell ref="F886:G886"/>
    <mergeCell ref="F887:G887"/>
    <mergeCell ref="F888:G888"/>
    <mergeCell ref="F889:G889"/>
    <mergeCell ref="F882:G882"/>
    <mergeCell ref="F883:G883"/>
    <mergeCell ref="F884:G884"/>
    <mergeCell ref="F885:G885"/>
    <mergeCell ref="F910:G910"/>
    <mergeCell ref="F911:G911"/>
    <mergeCell ref="F917:G917"/>
    <mergeCell ref="F916:G916"/>
    <mergeCell ref="F902:G902"/>
    <mergeCell ref="F903:G903"/>
    <mergeCell ref="F909:G909"/>
    <mergeCell ref="F901:G901"/>
    <mergeCell ref="F908:G908"/>
    <mergeCell ref="F936:G936"/>
    <mergeCell ref="F937:G937"/>
    <mergeCell ref="F938:G938"/>
    <mergeCell ref="F923:G923"/>
    <mergeCell ref="F924:G924"/>
    <mergeCell ref="F930:G930"/>
    <mergeCell ref="F935:G935"/>
    <mergeCell ref="F929:G929"/>
    <mergeCell ref="F918:G918"/>
    <mergeCell ref="F919:G919"/>
    <mergeCell ref="F920:G920"/>
    <mergeCell ref="F921:G921"/>
    <mergeCell ref="F922:G922"/>
    <mergeCell ref="F955:G955"/>
    <mergeCell ref="F956:G956"/>
    <mergeCell ref="F957:G957"/>
    <mergeCell ref="F958:G958"/>
    <mergeCell ref="F959:G959"/>
    <mergeCell ref="F952:G952"/>
    <mergeCell ref="F953:G953"/>
    <mergeCell ref="F954:G954"/>
    <mergeCell ref="F944:G944"/>
    <mergeCell ref="F945:G945"/>
    <mergeCell ref="F946:G946"/>
    <mergeCell ref="F951:G951"/>
    <mergeCell ref="F978:G978"/>
    <mergeCell ref="F979:G979"/>
    <mergeCell ref="F980:G980"/>
    <mergeCell ref="F969:G969"/>
    <mergeCell ref="F970:G970"/>
    <mergeCell ref="F971:G971"/>
    <mergeCell ref="F977:G977"/>
    <mergeCell ref="F960:G960"/>
    <mergeCell ref="F961:G961"/>
    <mergeCell ref="F962:G962"/>
    <mergeCell ref="F963:G963"/>
    <mergeCell ref="F968:G968"/>
    <mergeCell ref="F986:G986"/>
    <mergeCell ref="F987:G987"/>
    <mergeCell ref="F988:G988"/>
    <mergeCell ref="F993:G993"/>
    <mergeCell ref="F981:G981"/>
    <mergeCell ref="F982:G982"/>
    <mergeCell ref="F983:G983"/>
    <mergeCell ref="F984:G984"/>
    <mergeCell ref="F985:G985"/>
    <mergeCell ref="F1012:G1012"/>
    <mergeCell ref="F1013:G1013"/>
    <mergeCell ref="F1014:G1014"/>
    <mergeCell ref="F1021:G1021"/>
    <mergeCell ref="F1011:G1011"/>
    <mergeCell ref="F1004:G1004"/>
    <mergeCell ref="F1005:G1005"/>
    <mergeCell ref="F1006:G1006"/>
    <mergeCell ref="F994:G994"/>
    <mergeCell ref="F995:G995"/>
    <mergeCell ref="F996:G996"/>
    <mergeCell ref="F997:G997"/>
    <mergeCell ref="F998:G998"/>
    <mergeCell ref="F1003:G1003"/>
    <mergeCell ref="F1031:G1031"/>
    <mergeCell ref="F1032:G1032"/>
    <mergeCell ref="F1033:G1033"/>
    <mergeCell ref="F1034:G1034"/>
    <mergeCell ref="F1023:G1023"/>
    <mergeCell ref="F1024:G1024"/>
    <mergeCell ref="F1025:G1025"/>
    <mergeCell ref="F1030:G1030"/>
    <mergeCell ref="F1015:G1015"/>
    <mergeCell ref="F1022:G1022"/>
    <mergeCell ref="F1044:G1044"/>
    <mergeCell ref="F1050:G1050"/>
    <mergeCell ref="F1051:G1051"/>
    <mergeCell ref="F1040:G1040"/>
    <mergeCell ref="F1041:G1041"/>
    <mergeCell ref="F1042:G1042"/>
    <mergeCell ref="F1043:G1043"/>
    <mergeCell ref="F1049:G1049"/>
    <mergeCell ref="F1039:G1039"/>
    <mergeCell ref="F1060:G1060"/>
    <mergeCell ref="F1061:G1061"/>
    <mergeCell ref="F1062:G1062"/>
    <mergeCell ref="F1063:G1063"/>
    <mergeCell ref="F1064:G1064"/>
    <mergeCell ref="F1052:G1052"/>
    <mergeCell ref="F1058:G1058"/>
    <mergeCell ref="F1059:G1059"/>
    <mergeCell ref="F1057:G1057"/>
    <mergeCell ref="F1082:G1082"/>
    <mergeCell ref="F1073:G1073"/>
    <mergeCell ref="F1074:G1074"/>
    <mergeCell ref="F1075:G1075"/>
    <mergeCell ref="F1076:G1076"/>
    <mergeCell ref="F1077:G1077"/>
    <mergeCell ref="F1065:G1065"/>
    <mergeCell ref="F1066:G1066"/>
    <mergeCell ref="F1072:G1072"/>
    <mergeCell ref="F1071:G1071"/>
    <mergeCell ref="F1208:G1208"/>
    <mergeCell ref="F1194:G1194"/>
    <mergeCell ref="F1180:G1180"/>
    <mergeCell ref="F1186:G1186"/>
    <mergeCell ref="F1187:G1187"/>
    <mergeCell ref="F1177:G1177"/>
    <mergeCell ref="F1178:G1178"/>
    <mergeCell ref="F1179:G1179"/>
    <mergeCell ref="F1185:G1185"/>
    <mergeCell ref="F1205:G1205"/>
    <mergeCell ref="F1206:G1206"/>
    <mergeCell ref="F1193:G1193"/>
    <mergeCell ref="F1189:G1189"/>
    <mergeCell ref="F1190:G1190"/>
    <mergeCell ref="F1188:G1188"/>
    <mergeCell ref="F1191:G1191"/>
    <mergeCell ref="F1192:G1192"/>
    <mergeCell ref="F1207:G1207"/>
    <mergeCell ref="F943:G943"/>
    <mergeCell ref="F1201:G1201"/>
    <mergeCell ref="F1202:G1202"/>
    <mergeCell ref="F1203:G1203"/>
    <mergeCell ref="F1204:G1204"/>
    <mergeCell ref="F1200:G1200"/>
    <mergeCell ref="F1176:G1176"/>
    <mergeCell ref="F1167:G1167"/>
    <mergeCell ref="F1168:G1168"/>
    <mergeCell ref="F1169:G1169"/>
    <mergeCell ref="F1170:G1170"/>
    <mergeCell ref="F1171:G1171"/>
    <mergeCell ref="F1162:G1162"/>
    <mergeCell ref="F1163:G1163"/>
    <mergeCell ref="F1164:G1164"/>
    <mergeCell ref="F1165:G1165"/>
    <mergeCell ref="F1166:G1166"/>
    <mergeCell ref="F1160:G1160"/>
    <mergeCell ref="F1161:G1161"/>
    <mergeCell ref="F1092:G1092"/>
    <mergeCell ref="F1083:G1083"/>
    <mergeCell ref="F1084:G1084"/>
    <mergeCell ref="F1085:G1085"/>
    <mergeCell ref="F1091:G1091"/>
    <mergeCell ref="F569:G569"/>
    <mergeCell ref="F561:G561"/>
    <mergeCell ref="F553:G553"/>
    <mergeCell ref="F542:G542"/>
    <mergeCell ref="F536:G536"/>
    <mergeCell ref="F660:G660"/>
    <mergeCell ref="F641:G641"/>
    <mergeCell ref="F633:G633"/>
    <mergeCell ref="F625:G625"/>
    <mergeCell ref="F619:G619"/>
    <mergeCell ref="F653:G653"/>
    <mergeCell ref="F654:G654"/>
    <mergeCell ref="F655:G655"/>
    <mergeCell ref="F648:G648"/>
    <mergeCell ref="F649:G649"/>
    <mergeCell ref="F650:G650"/>
    <mergeCell ref="F651:G651"/>
    <mergeCell ref="F652:G652"/>
    <mergeCell ref="F643:G643"/>
    <mergeCell ref="F644:G644"/>
    <mergeCell ref="F645:G645"/>
    <mergeCell ref="F646:G646"/>
    <mergeCell ref="F647:G647"/>
    <mergeCell ref="F635:G635"/>
    <mergeCell ref="F425:G425"/>
    <mergeCell ref="F508:G508"/>
    <mergeCell ref="F502:G502"/>
    <mergeCell ref="F491:G491"/>
    <mergeCell ref="F485:G485"/>
    <mergeCell ref="F474:G474"/>
    <mergeCell ref="F503:G503"/>
    <mergeCell ref="F493:G493"/>
    <mergeCell ref="F494:G494"/>
    <mergeCell ref="F495:G495"/>
    <mergeCell ref="F496:G496"/>
    <mergeCell ref="F497:G497"/>
    <mergeCell ref="F486:G486"/>
    <mergeCell ref="F492:G492"/>
    <mergeCell ref="F477:G477"/>
    <mergeCell ref="F478:G478"/>
    <mergeCell ref="F479:G479"/>
    <mergeCell ref="F480:G480"/>
    <mergeCell ref="F469:G469"/>
    <mergeCell ref="F475:G475"/>
    <mergeCell ref="F476:G476"/>
    <mergeCell ref="F461:G461"/>
    <mergeCell ref="F462:G462"/>
    <mergeCell ref="F463:G463"/>
  </mergeCells>
  <phoneticPr fontId="113" type="noConversion"/>
  <pageMargins left="0.51181102362204722" right="0.51181102362204722" top="0.98425196850393704" bottom="0.98425196850393704" header="0.51181102362204722" footer="0.51181102362204722"/>
  <pageSetup paperSize="9" scale="43" fitToHeight="0" orientation="landscape" r:id="rId1"/>
  <rowBreaks count="37" manualBreakCount="37">
    <brk id="42" min="1" max="12" man="1"/>
    <brk id="71" min="1" max="12" man="1"/>
    <brk id="105" min="1" max="12" man="1"/>
    <brk id="138" min="1" max="12" man="1"/>
    <brk id="166" max="16383" man="1"/>
    <brk id="197" min="1" max="12" man="1"/>
    <brk id="228" min="1" max="12" man="1"/>
    <brk id="258" min="1" max="12" man="1"/>
    <brk id="293" min="1" max="12" man="1"/>
    <brk id="327" min="1" max="12" man="1"/>
    <brk id="353" min="1" max="12" man="1"/>
    <brk id="383" min="1" max="12" man="1"/>
    <brk id="422" min="1" max="12" man="1"/>
    <brk id="457" min="1" max="12" man="1"/>
    <brk id="491" min="1" max="12" man="1"/>
    <brk id="526" min="1" max="12" man="1"/>
    <brk id="561" min="1" max="12" man="1"/>
    <brk id="588" min="1" max="12" man="1"/>
    <brk id="613" min="1" max="12" man="1"/>
    <brk id="645" min="1" max="12" man="1"/>
    <brk id="675" min="1" max="12" man="1"/>
    <brk id="709" min="1" max="12" man="1"/>
    <brk id="740" min="1" max="12" man="1"/>
    <brk id="770" min="1" max="12" man="1"/>
    <brk id="800" min="1" max="12" man="1"/>
    <brk id="832" min="1" max="12" man="1"/>
    <brk id="857" min="1" max="12" man="1"/>
    <brk id="887" max="16383" man="1"/>
    <brk id="918" min="1" max="12" man="1"/>
    <brk id="948" min="1" max="12" man="1"/>
    <brk id="976" min="1" max="12" man="1"/>
    <brk id="1006" min="1" max="12" man="1"/>
    <brk id="1041" min="1" max="12" man="1"/>
    <brk id="1074" max="16383" man="1"/>
    <brk id="1104" min="1" max="12" man="1"/>
    <brk id="1138" max="12" man="1"/>
    <brk id="1175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2:M33"/>
  <sheetViews>
    <sheetView showGridLines="0" view="pageBreakPreview" zoomScale="85" zoomScaleNormal="100" zoomScaleSheetLayoutView="85" workbookViewId="0">
      <selection activeCell="H29" sqref="H29"/>
    </sheetView>
  </sheetViews>
  <sheetFormatPr defaultColWidth="9.33203125" defaultRowHeight="15" x14ac:dyDescent="0.2"/>
  <cols>
    <col min="1" max="1" width="9.33203125" style="281"/>
    <col min="2" max="2" width="12.33203125" style="281" customWidth="1"/>
    <col min="3" max="3" width="70.83203125" style="281" customWidth="1"/>
    <col min="4" max="4" width="26.6640625" style="281" bestFit="1" customWidth="1"/>
    <col min="5" max="5" width="21.5" style="281" customWidth="1"/>
    <col min="6" max="30" width="16" style="281" bestFit="1" customWidth="1"/>
    <col min="31" max="16384" width="9.33203125" style="281"/>
  </cols>
  <sheetData>
    <row r="2" spans="1:12" ht="15" customHeight="1" x14ac:dyDescent="0.2">
      <c r="B2" s="282" t="s">
        <v>363</v>
      </c>
      <c r="D2" s="282" t="s">
        <v>364</v>
      </c>
      <c r="E2" s="283" t="s">
        <v>365</v>
      </c>
      <c r="F2" s="284" t="s">
        <v>366</v>
      </c>
    </row>
    <row r="3" spans="1:12" s="285" customFormat="1" ht="45.75" customHeight="1" x14ac:dyDescent="0.2">
      <c r="B3" s="1019" t="str">
        <f>RESUMO!B3</f>
        <v>Projeto Executivo de Infraestrutura Urbana - Jardim Basilia - Três Lagoas R09</v>
      </c>
      <c r="C3" s="1019"/>
      <c r="D3" s="279" t="str">
        <f>RESUMO!D3</f>
        <v>SINAPI - 01/2026 - MS; SICRO3 - 10/2025 - MS; AGESUL 01/2026</v>
      </c>
      <c r="E3" s="286" t="str">
        <f>RESUMO!E3</f>
        <v>Serviço: 24,23%
Material: 15,27%</v>
      </c>
      <c r="F3" s="287" t="s">
        <v>386</v>
      </c>
    </row>
    <row r="4" spans="1:12" ht="15" customHeight="1" x14ac:dyDescent="0.2">
      <c r="B4" s="1020" t="s">
        <v>893</v>
      </c>
      <c r="C4" s="1020"/>
      <c r="D4" s="1020"/>
      <c r="E4" s="1020"/>
      <c r="F4" s="1020"/>
      <c r="G4" s="1020"/>
      <c r="H4" s="1020"/>
      <c r="I4" s="1020"/>
      <c r="J4" s="1020"/>
      <c r="K4" s="1020"/>
      <c r="L4" s="1020"/>
    </row>
    <row r="5" spans="1:12" x14ac:dyDescent="0.2">
      <c r="A5" s="288"/>
      <c r="B5" s="289" t="s">
        <v>369</v>
      </c>
      <c r="C5" s="275" t="s">
        <v>42</v>
      </c>
      <c r="D5" s="276" t="s">
        <v>894</v>
      </c>
      <c r="E5" s="276" t="s">
        <v>895</v>
      </c>
      <c r="F5" s="276" t="s">
        <v>896</v>
      </c>
      <c r="G5" s="277" t="s">
        <v>897</v>
      </c>
      <c r="H5" s="277" t="s">
        <v>898</v>
      </c>
      <c r="I5" s="277" t="s">
        <v>899</v>
      </c>
      <c r="J5" s="277" t="s">
        <v>900</v>
      </c>
      <c r="K5" s="280" t="s">
        <v>901</v>
      </c>
      <c r="L5" s="290" t="s">
        <v>902</v>
      </c>
    </row>
    <row r="6" spans="1:12" x14ac:dyDescent="0.2">
      <c r="A6" s="288"/>
      <c r="B6" s="1021">
        <v>1</v>
      </c>
      <c r="C6" s="1023" t="s">
        <v>372</v>
      </c>
      <c r="D6" s="291">
        <f>SUM(E6:L6)</f>
        <v>1</v>
      </c>
      <c r="E6" s="292">
        <v>1</v>
      </c>
      <c r="F6" s="293" t="s">
        <v>825</v>
      </c>
      <c r="G6" s="293" t="s">
        <v>825</v>
      </c>
      <c r="H6" s="293" t="s">
        <v>825</v>
      </c>
      <c r="I6" s="293" t="s">
        <v>825</v>
      </c>
      <c r="J6" s="293" t="s">
        <v>825</v>
      </c>
      <c r="K6" s="293" t="s">
        <v>825</v>
      </c>
      <c r="L6" s="294" t="s">
        <v>825</v>
      </c>
    </row>
    <row r="7" spans="1:12" ht="15.75" thickBot="1" x14ac:dyDescent="0.25">
      <c r="A7" s="288"/>
      <c r="B7" s="1022"/>
      <c r="C7" s="1024"/>
      <c r="D7" s="295">
        <f>RESUMO!I6</f>
        <v>90506.22</v>
      </c>
      <c r="E7" s="296">
        <f>E6*D7</f>
        <v>90506.22</v>
      </c>
      <c r="F7" s="297"/>
      <c r="G7" s="298"/>
      <c r="H7" s="298"/>
      <c r="I7" s="299"/>
      <c r="J7" s="300"/>
      <c r="K7" s="301"/>
      <c r="L7" s="302"/>
    </row>
    <row r="8" spans="1:12" ht="15.75" thickTop="1" x14ac:dyDescent="0.2">
      <c r="A8" s="288"/>
      <c r="B8" s="1021">
        <v>2</v>
      </c>
      <c r="C8" s="1023" t="s">
        <v>374</v>
      </c>
      <c r="D8" s="291">
        <f>SUM(E8:L8)</f>
        <v>1</v>
      </c>
      <c r="E8" s="303">
        <v>0.1</v>
      </c>
      <c r="F8" s="304">
        <v>0.15</v>
      </c>
      <c r="G8" s="304">
        <v>0.2</v>
      </c>
      <c r="H8" s="304">
        <v>0.2</v>
      </c>
      <c r="I8" s="305">
        <v>0.15</v>
      </c>
      <c r="J8" s="306">
        <v>0.1</v>
      </c>
      <c r="K8" s="304">
        <v>0.1</v>
      </c>
      <c r="L8" s="294" t="s">
        <v>825</v>
      </c>
    </row>
    <row r="9" spans="1:12" ht="15.75" thickBot="1" x14ac:dyDescent="0.25">
      <c r="A9" s="288"/>
      <c r="B9" s="1022"/>
      <c r="C9" s="1024"/>
      <c r="D9" s="295">
        <f>RESUMO!I7</f>
        <v>2741273.38</v>
      </c>
      <c r="E9" s="307">
        <f>E8*$D$9</f>
        <v>274127.33799999999</v>
      </c>
      <c r="F9" s="307">
        <f t="shared" ref="F9:K9" si="0">F8*$D$9</f>
        <v>411191.00699999998</v>
      </c>
      <c r="G9" s="307">
        <f t="shared" si="0"/>
        <v>548254.67599999998</v>
      </c>
      <c r="H9" s="307">
        <f t="shared" si="0"/>
        <v>548254.67599999998</v>
      </c>
      <c r="I9" s="307">
        <f t="shared" si="0"/>
        <v>411191.00699999998</v>
      </c>
      <c r="J9" s="307">
        <f t="shared" si="0"/>
        <v>274127.33799999999</v>
      </c>
      <c r="K9" s="307">
        <f t="shared" si="0"/>
        <v>274127.33799999999</v>
      </c>
      <c r="L9" s="302"/>
    </row>
    <row r="10" spans="1:12" ht="15.75" thickTop="1" x14ac:dyDescent="0.2">
      <c r="A10" s="288"/>
      <c r="B10" s="1021">
        <v>3</v>
      </c>
      <c r="C10" s="1023" t="s">
        <v>376</v>
      </c>
      <c r="D10" s="291">
        <f>SUM(E10:L10)</f>
        <v>1</v>
      </c>
      <c r="E10" s="311"/>
      <c r="F10" s="308">
        <v>0.15</v>
      </c>
      <c r="G10" s="308">
        <v>0.15</v>
      </c>
      <c r="H10" s="306">
        <v>0.2</v>
      </c>
      <c r="I10" s="309">
        <v>0.2</v>
      </c>
      <c r="J10" s="310">
        <v>0.15</v>
      </c>
      <c r="K10" s="310">
        <v>0.15</v>
      </c>
      <c r="L10" s="293" t="s">
        <v>825</v>
      </c>
    </row>
    <row r="11" spans="1:12" ht="15.75" thickBot="1" x14ac:dyDescent="0.25">
      <c r="A11" s="288"/>
      <c r="B11" s="1022"/>
      <c r="C11" s="1024"/>
      <c r="D11" s="295">
        <f>RESUMO!I8</f>
        <v>4292066.47</v>
      </c>
      <c r="E11" s="298"/>
      <c r="F11" s="307">
        <f>F10*$D$11</f>
        <v>643809.97049999994</v>
      </c>
      <c r="G11" s="307">
        <f>G10*$D$11</f>
        <v>643809.97049999994</v>
      </c>
      <c r="H11" s="307">
        <f t="shared" ref="H11:K11" si="1">H10*$D$11</f>
        <v>858413.29399999999</v>
      </c>
      <c r="I11" s="307">
        <f>I10*$D$11</f>
        <v>858413.29399999999</v>
      </c>
      <c r="J11" s="307">
        <f t="shared" si="1"/>
        <v>643809.97049999994</v>
      </c>
      <c r="K11" s="307">
        <f t="shared" si="1"/>
        <v>643809.97049999994</v>
      </c>
      <c r="L11" s="300"/>
    </row>
    <row r="12" spans="1:12" ht="15.75" thickTop="1" x14ac:dyDescent="0.2">
      <c r="A12" s="288"/>
      <c r="B12" s="1021">
        <v>4</v>
      </c>
      <c r="C12" s="1023" t="s">
        <v>378</v>
      </c>
      <c r="D12" s="291">
        <f>SUM(E12:L12)</f>
        <v>1</v>
      </c>
      <c r="E12" s="311"/>
      <c r="F12" s="311"/>
      <c r="G12" s="312" t="s">
        <v>825</v>
      </c>
      <c r="H12" s="293" t="s">
        <v>825</v>
      </c>
      <c r="I12" s="312" t="s">
        <v>825</v>
      </c>
      <c r="J12" s="313"/>
      <c r="K12" s="306">
        <v>0.5</v>
      </c>
      <c r="L12" s="306">
        <v>0.5</v>
      </c>
    </row>
    <row r="13" spans="1:12" ht="15.75" thickBot="1" x14ac:dyDescent="0.25">
      <c r="A13" s="288"/>
      <c r="B13" s="1022"/>
      <c r="C13" s="1024"/>
      <c r="D13" s="295">
        <f>RESUMO!I9</f>
        <v>133824.13</v>
      </c>
      <c r="E13" s="298"/>
      <c r="F13" s="298"/>
      <c r="G13" s="298"/>
      <c r="H13" s="298"/>
      <c r="I13" s="298"/>
      <c r="J13" s="298"/>
      <c r="K13" s="296">
        <f>K12*$D$13</f>
        <v>66912.065000000002</v>
      </c>
      <c r="L13" s="296">
        <f>L12*$D$13</f>
        <v>66912.065000000002</v>
      </c>
    </row>
    <row r="14" spans="1:12" ht="15.75" thickTop="1" x14ac:dyDescent="0.2">
      <c r="A14" s="288"/>
      <c r="B14" s="1021">
        <v>5</v>
      </c>
      <c r="C14" s="1023" t="s">
        <v>380</v>
      </c>
      <c r="D14" s="291">
        <f>SUM(E14:L14)</f>
        <v>1</v>
      </c>
      <c r="E14" s="293" t="s">
        <v>825</v>
      </c>
      <c r="F14" s="293" t="s">
        <v>825</v>
      </c>
      <c r="G14" s="293" t="s">
        <v>825</v>
      </c>
      <c r="H14" s="293" t="s">
        <v>825</v>
      </c>
      <c r="I14" s="293" t="s">
        <v>825</v>
      </c>
      <c r="J14" s="293" t="s">
        <v>825</v>
      </c>
      <c r="K14" s="314">
        <v>0.75</v>
      </c>
      <c r="L14" s="314">
        <v>0.25</v>
      </c>
    </row>
    <row r="15" spans="1:12" ht="15.75" thickBot="1" x14ac:dyDescent="0.25">
      <c r="A15" s="288"/>
      <c r="B15" s="1022"/>
      <c r="C15" s="1024"/>
      <c r="D15" s="295">
        <f>RESUMO!I10</f>
        <v>113286.68</v>
      </c>
      <c r="E15" s="315"/>
      <c r="F15" s="316"/>
      <c r="G15" s="300"/>
      <c r="H15" s="300"/>
      <c r="I15" s="300"/>
      <c r="J15" s="317"/>
      <c r="K15" s="296">
        <f>K14*$D$15</f>
        <v>84965.01</v>
      </c>
      <c r="L15" s="296">
        <f>L14*$D$15</f>
        <v>28321.67</v>
      </c>
    </row>
    <row r="16" spans="1:12" ht="15.75" thickTop="1" x14ac:dyDescent="0.2">
      <c r="A16" s="288"/>
      <c r="B16" s="1026">
        <v>6</v>
      </c>
      <c r="C16" s="1021" t="s">
        <v>382</v>
      </c>
      <c r="D16" s="291">
        <f>SUM(E16:L16)</f>
        <v>1</v>
      </c>
      <c r="E16" s="318">
        <v>4.9599999999999998E-2</v>
      </c>
      <c r="F16" s="318">
        <v>0.14319999999999999</v>
      </c>
      <c r="G16" s="318">
        <v>0.16170000000000001</v>
      </c>
      <c r="H16" s="318">
        <v>0.1908</v>
      </c>
      <c r="I16" s="318">
        <v>0.17219999999999999</v>
      </c>
      <c r="J16" s="318">
        <v>0.1245</v>
      </c>
      <c r="K16" s="318">
        <v>0.14510000000000001</v>
      </c>
      <c r="L16" s="319">
        <v>1.29E-2</v>
      </c>
    </row>
    <row r="17" spans="1:13" ht="15.75" thickBot="1" x14ac:dyDescent="0.25">
      <c r="A17" s="288"/>
      <c r="B17" s="1027"/>
      <c r="C17" s="1022"/>
      <c r="D17" s="295">
        <f>RESUMO!I11</f>
        <v>384191.21</v>
      </c>
      <c r="E17" s="307">
        <f>E16*$D$17</f>
        <v>19055.884016</v>
      </c>
      <c r="F17" s="307">
        <f t="shared" ref="F17:L17" si="2">F16*$D$17</f>
        <v>55016.181272000002</v>
      </c>
      <c r="G17" s="307">
        <f t="shared" si="2"/>
        <v>62123.718657000005</v>
      </c>
      <c r="H17" s="307">
        <f t="shared" si="2"/>
        <v>73303.682868000004</v>
      </c>
      <c r="I17" s="307">
        <f t="shared" si="2"/>
        <v>66157.726362000001</v>
      </c>
      <c r="J17" s="307">
        <f t="shared" si="2"/>
        <v>47831.805645</v>
      </c>
      <c r="K17" s="307">
        <f t="shared" si="2"/>
        <v>55746.144571000004</v>
      </c>
      <c r="L17" s="296">
        <f t="shared" si="2"/>
        <v>4956.0666090000004</v>
      </c>
    </row>
    <row r="18" spans="1:13" ht="20.100000000000001" customHeight="1" thickTop="1" x14ac:dyDescent="0.2">
      <c r="B18" s="1028" t="s">
        <v>903</v>
      </c>
      <c r="C18" s="1028"/>
      <c r="D18" s="1028"/>
      <c r="E18" s="278">
        <f>E19/$L$21</f>
        <v>4.9475450057588778E-2</v>
      </c>
      <c r="F18" s="278">
        <f t="shared" ref="F18:L18" si="3">F19/$L$21</f>
        <v>0.14313294161375584</v>
      </c>
      <c r="G18" s="278">
        <f t="shared" si="3"/>
        <v>0.16172332889093802</v>
      </c>
      <c r="H18" s="278">
        <f t="shared" si="3"/>
        <v>0.19083731679816315</v>
      </c>
      <c r="I18" s="278">
        <f t="shared" si="3"/>
        <v>0.17224197550584749</v>
      </c>
      <c r="J18" s="278">
        <f t="shared" si="3"/>
        <v>0.1245326463063067</v>
      </c>
      <c r="K18" s="278">
        <f t="shared" si="3"/>
        <v>0.14513720628009311</v>
      </c>
      <c r="L18" s="278">
        <f t="shared" si="3"/>
        <v>1.2919134547306884E-2</v>
      </c>
    </row>
    <row r="19" spans="1:13" ht="20.100000000000001" customHeight="1" x14ac:dyDescent="0.2">
      <c r="B19" s="1025" t="s">
        <v>904</v>
      </c>
      <c r="C19" s="1025"/>
      <c r="D19" s="1025"/>
      <c r="E19" s="320">
        <f>E7+E9+E11+E13+E15+E17</f>
        <v>383689.44201599999</v>
      </c>
      <c r="F19" s="320">
        <f>F7+F9+F11+F13+F15+F17</f>
        <v>1110017.1587720001</v>
      </c>
      <c r="G19" s="320">
        <f>G7+G9+G11+G13+G15+G17</f>
        <v>1254188.3651569998</v>
      </c>
      <c r="H19" s="320">
        <f t="shared" ref="H19:L19" si="4">H7+H9+H11+H13+H15+H17</f>
        <v>1479971.6528679999</v>
      </c>
      <c r="I19" s="320">
        <f t="shared" si="4"/>
        <v>1335762.027362</v>
      </c>
      <c r="J19" s="320">
        <f t="shared" si="4"/>
        <v>965769.11414499988</v>
      </c>
      <c r="K19" s="320">
        <f t="shared" si="4"/>
        <v>1125560.528071</v>
      </c>
      <c r="L19" s="320">
        <f t="shared" si="4"/>
        <v>100189.801609</v>
      </c>
    </row>
    <row r="20" spans="1:13" ht="20.100000000000001" customHeight="1" x14ac:dyDescent="0.2">
      <c r="B20" s="1025" t="s">
        <v>905</v>
      </c>
      <c r="C20" s="1025"/>
      <c r="D20" s="1025"/>
      <c r="E20" s="278">
        <f>E21/$L$21</f>
        <v>4.9475450057588778E-2</v>
      </c>
      <c r="F20" s="278">
        <f t="shared" ref="F20:L20" si="5">F21/$L$21</f>
        <v>0.19260839167134461</v>
      </c>
      <c r="G20" s="278">
        <f t="shared" si="5"/>
        <v>0.35433172056228263</v>
      </c>
      <c r="H20" s="278">
        <f t="shared" si="5"/>
        <v>0.54516903736044575</v>
      </c>
      <c r="I20" s="278">
        <f t="shared" si="5"/>
        <v>0.71741101286629327</v>
      </c>
      <c r="J20" s="278">
        <f t="shared" si="5"/>
        <v>0.84194365917259995</v>
      </c>
      <c r="K20" s="278">
        <f t="shared" si="5"/>
        <v>0.98708086545269313</v>
      </c>
      <c r="L20" s="278">
        <f t="shared" si="5"/>
        <v>1</v>
      </c>
    </row>
    <row r="21" spans="1:13" ht="20.100000000000001" customHeight="1" x14ac:dyDescent="0.2">
      <c r="B21" s="1025" t="s">
        <v>906</v>
      </c>
      <c r="C21" s="1025"/>
      <c r="D21" s="1025"/>
      <c r="E21" s="320">
        <f>E19</f>
        <v>383689.44201599999</v>
      </c>
      <c r="F21" s="320">
        <f>E21+F19</f>
        <v>1493706.600788</v>
      </c>
      <c r="G21" s="320">
        <f t="shared" ref="G21:L21" si="6">F21+G19</f>
        <v>2747894.9659449998</v>
      </c>
      <c r="H21" s="320">
        <f t="shared" si="6"/>
        <v>4227866.6188129997</v>
      </c>
      <c r="I21" s="320">
        <f t="shared" si="6"/>
        <v>5563628.6461749999</v>
      </c>
      <c r="J21" s="320">
        <f t="shared" si="6"/>
        <v>6529397.7603199994</v>
      </c>
      <c r="K21" s="320">
        <f t="shared" si="6"/>
        <v>7654958.2883909997</v>
      </c>
      <c r="L21" s="320">
        <f t="shared" si="6"/>
        <v>7755148.0899999999</v>
      </c>
      <c r="M21" s="281" t="b">
        <f>L21='ORÇ. SINTÉTICO'!M135</f>
        <v>1</v>
      </c>
    </row>
    <row r="24" spans="1:13" x14ac:dyDescent="0.2">
      <c r="D24" s="321"/>
    </row>
    <row r="25" spans="1:13" x14ac:dyDescent="0.2">
      <c r="E25" s="321">
        <f>E19-E17</f>
        <v>364633.55799999996</v>
      </c>
      <c r="F25" s="321">
        <f t="shared" ref="F25:L25" si="7">F19-F17</f>
        <v>1055000.9775</v>
      </c>
      <c r="G25" s="321">
        <f t="shared" si="7"/>
        <v>1192064.6464999998</v>
      </c>
      <c r="H25" s="321">
        <f t="shared" si="7"/>
        <v>1406667.9699999997</v>
      </c>
      <c r="I25" s="321">
        <f t="shared" si="7"/>
        <v>1269604.301</v>
      </c>
      <c r="J25" s="321">
        <f t="shared" si="7"/>
        <v>917937.30849999993</v>
      </c>
      <c r="K25" s="321">
        <f t="shared" si="7"/>
        <v>1069814.3835</v>
      </c>
      <c r="L25" s="321">
        <f t="shared" si="7"/>
        <v>95233.735000000001</v>
      </c>
      <c r="M25" s="321">
        <f>SUM(E25:L25)</f>
        <v>7370956.8799999999</v>
      </c>
    </row>
    <row r="26" spans="1:13" x14ac:dyDescent="0.2">
      <c r="E26" s="322">
        <f>E25/$M$25</f>
        <v>4.9468958228392181E-2</v>
      </c>
      <c r="F26" s="322">
        <f t="shared" ref="F26:L26" si="8">F25/$M$25</f>
        <v>0.14312944637657413</v>
      </c>
      <c r="G26" s="322">
        <f t="shared" si="8"/>
        <v>0.16172454484634019</v>
      </c>
      <c r="H26" s="322">
        <f t="shared" si="8"/>
        <v>0.19083926183543212</v>
      </c>
      <c r="I26" s="322">
        <f t="shared" si="8"/>
        <v>0.17224416336566603</v>
      </c>
      <c r="J26" s="322">
        <f t="shared" si="8"/>
        <v>0.12453434790680799</v>
      </c>
      <c r="K26" s="322">
        <f t="shared" si="8"/>
        <v>0.14513914555690632</v>
      </c>
      <c r="L26" s="322">
        <f t="shared" si="8"/>
        <v>1.2920131883880998E-2</v>
      </c>
    </row>
    <row r="30" spans="1:13" x14ac:dyDescent="0.2">
      <c r="C30" s="626"/>
    </row>
    <row r="32" spans="1:13" x14ac:dyDescent="0.2">
      <c r="E32" s="321"/>
      <c r="F32" s="321"/>
      <c r="G32" s="321"/>
      <c r="H32" s="321"/>
      <c r="I32" s="321"/>
      <c r="J32" s="321"/>
      <c r="K32" s="321"/>
      <c r="L32" s="321"/>
      <c r="M32" s="321"/>
    </row>
    <row r="33" spans="5:12" x14ac:dyDescent="0.2">
      <c r="E33" s="322"/>
      <c r="F33" s="322"/>
      <c r="G33" s="322"/>
      <c r="H33" s="322"/>
      <c r="I33" s="322"/>
      <c r="J33" s="322"/>
      <c r="K33" s="322"/>
      <c r="L33" s="322"/>
    </row>
  </sheetData>
  <mergeCells count="18">
    <mergeCell ref="B21:D21"/>
    <mergeCell ref="B10:B11"/>
    <mergeCell ref="C10:C11"/>
    <mergeCell ref="B12:B13"/>
    <mergeCell ref="C12:C13"/>
    <mergeCell ref="B14:B15"/>
    <mergeCell ref="C14:C15"/>
    <mergeCell ref="B16:B17"/>
    <mergeCell ref="C16:C17"/>
    <mergeCell ref="B18:D18"/>
    <mergeCell ref="B19:D19"/>
    <mergeCell ref="B20:D20"/>
    <mergeCell ref="B3:C3"/>
    <mergeCell ref="B4:L4"/>
    <mergeCell ref="B6:B7"/>
    <mergeCell ref="C6:C7"/>
    <mergeCell ref="B8:B9"/>
    <mergeCell ref="C8:C9"/>
  </mergeCells>
  <phoneticPr fontId="92" type="noConversion"/>
  <printOptions horizontalCentered="1"/>
  <pageMargins left="0.51181102362204722" right="0.51181102362204722" top="0.98425196850393704" bottom="0.98425196850393704" header="0.31496062992125984" footer="0.51181102362204722"/>
  <pageSetup paperSize="9" scale="61" orientation="landscape" r:id="rId1"/>
  <headerFooter>
    <oddHeader>&amp;L&amp;G&amp;R&amp;G</oddHeader>
  </headerFooter>
  <colBreaks count="1" manualBreakCount="1">
    <brk id="10" max="1048575" man="1"/>
  </colBreaks>
  <ignoredErrors>
    <ignoredError sqref="D7:D15 H19:L19" formula="1"/>
  </ignoredError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3:L350"/>
  <sheetViews>
    <sheetView showGridLines="0" view="pageBreakPreview" topLeftCell="A244" zoomScale="70" zoomScaleNormal="100" zoomScaleSheetLayoutView="70" workbookViewId="0">
      <selection activeCell="F322" sqref="F322"/>
    </sheetView>
  </sheetViews>
  <sheetFormatPr defaultColWidth="9.33203125" defaultRowHeight="15.75" x14ac:dyDescent="0.25"/>
  <cols>
    <col min="1" max="1" width="9.33203125" style="847"/>
    <col min="2" max="2" width="24.6640625" style="847" customWidth="1"/>
    <col min="3" max="3" width="21" style="847" customWidth="1"/>
    <col min="4" max="4" width="11.83203125" style="847" customWidth="1"/>
    <col min="5" max="5" width="100.83203125" style="847" customWidth="1"/>
    <col min="6" max="6" width="24.6640625" style="847" customWidth="1"/>
    <col min="7" max="7" width="15.83203125" style="847" customWidth="1"/>
    <col min="8" max="11" width="24.6640625" style="847" customWidth="1"/>
    <col min="12" max="12" width="9.33203125" style="847"/>
    <col min="13" max="13" width="22" style="847" bestFit="1" customWidth="1"/>
    <col min="14" max="14" width="17" style="847" bestFit="1" customWidth="1"/>
    <col min="15" max="16384" width="9.33203125" style="847"/>
  </cols>
  <sheetData>
    <row r="3" spans="2:12" ht="15" customHeight="1" x14ac:dyDescent="0.25">
      <c r="B3" s="1017" t="s">
        <v>907</v>
      </c>
      <c r="C3" s="1017"/>
      <c r="D3" s="1017"/>
      <c r="E3" s="1017"/>
      <c r="F3" s="780" t="s">
        <v>364</v>
      </c>
      <c r="G3" s="780"/>
      <c r="H3" s="780" t="s">
        <v>365</v>
      </c>
      <c r="I3" s="780"/>
      <c r="J3" s="780" t="s">
        <v>366</v>
      </c>
      <c r="K3" s="780"/>
    </row>
    <row r="4" spans="2:12" s="849" customFormat="1" ht="51.75" customHeight="1" x14ac:dyDescent="0.2">
      <c r="B4" s="1031" t="str">
        <f>RESUMO!B3</f>
        <v>Projeto Executivo de Infraestrutura Urbana - Jardim Basilia - Três Lagoas R09</v>
      </c>
      <c r="C4" s="1031"/>
      <c r="D4" s="1031"/>
      <c r="E4" s="1031"/>
      <c r="F4" s="1031" t="str">
        <f>RESUMO!D3</f>
        <v>SINAPI - 01/2026 - MS; SICRO3 - 10/2025 - MS; AGESUL 01/2026</v>
      </c>
      <c r="G4" s="1031"/>
      <c r="H4" s="848" t="str">
        <f>RESUMO!E3</f>
        <v>Serviço: 24,23%
Material: 15,27%</v>
      </c>
      <c r="I4" s="780"/>
      <c r="J4" s="780" t="s">
        <v>386</v>
      </c>
      <c r="K4" s="780"/>
    </row>
    <row r="5" spans="2:12" ht="15" customHeight="1" x14ac:dyDescent="0.25">
      <c r="B5" s="1029" t="s">
        <v>907</v>
      </c>
      <c r="C5" s="1029"/>
      <c r="D5" s="1029"/>
      <c r="E5" s="1029"/>
      <c r="F5" s="1029"/>
      <c r="G5" s="1029"/>
      <c r="H5" s="1029"/>
      <c r="I5" s="1029"/>
      <c r="J5" s="1029"/>
      <c r="K5" s="1029"/>
    </row>
    <row r="6" spans="2:12" ht="15" customHeight="1" x14ac:dyDescent="0.25">
      <c r="B6" s="1030" t="s">
        <v>908</v>
      </c>
      <c r="C6" s="1030"/>
      <c r="D6" s="1030"/>
      <c r="E6" s="1030"/>
      <c r="F6" s="1030"/>
      <c r="G6" s="1030"/>
      <c r="H6" s="1030"/>
      <c r="I6" s="1030"/>
      <c r="J6" s="1030"/>
      <c r="K6" s="1030"/>
    </row>
    <row r="7" spans="2:12" x14ac:dyDescent="0.25">
      <c r="B7" s="850"/>
      <c r="C7" s="851" t="s">
        <v>391</v>
      </c>
      <c r="D7" s="850" t="s">
        <v>392</v>
      </c>
      <c r="E7" s="850" t="s">
        <v>42</v>
      </c>
      <c r="F7" s="852" t="s">
        <v>39</v>
      </c>
      <c r="G7" s="852"/>
      <c r="H7" s="853" t="s">
        <v>394</v>
      </c>
      <c r="I7" s="851" t="s">
        <v>395</v>
      </c>
      <c r="J7" s="851" t="s">
        <v>396</v>
      </c>
      <c r="K7" s="851" t="s">
        <v>0</v>
      </c>
      <c r="L7" s="582"/>
    </row>
    <row r="8" spans="2:12" x14ac:dyDescent="0.25">
      <c r="B8" s="735" t="s">
        <v>930</v>
      </c>
      <c r="C8" s="736" t="s">
        <v>391</v>
      </c>
      <c r="D8" s="735" t="s">
        <v>392</v>
      </c>
      <c r="E8" s="735" t="s">
        <v>42</v>
      </c>
      <c r="F8" s="737" t="s">
        <v>39</v>
      </c>
      <c r="G8" s="737"/>
      <c r="H8" s="738" t="s">
        <v>394</v>
      </c>
      <c r="I8" s="736" t="s">
        <v>395</v>
      </c>
      <c r="J8" s="736" t="s">
        <v>396</v>
      </c>
      <c r="K8" s="736" t="s">
        <v>0</v>
      </c>
      <c r="L8" s="582"/>
    </row>
    <row r="9" spans="2:12" ht="15" customHeight="1" x14ac:dyDescent="0.25">
      <c r="B9" s="739" t="s">
        <v>473</v>
      </c>
      <c r="C9" s="740" t="s">
        <v>510</v>
      </c>
      <c r="D9" s="739" t="s">
        <v>509</v>
      </c>
      <c r="E9" s="739" t="s">
        <v>511</v>
      </c>
      <c r="F9" s="741" t="s">
        <v>483</v>
      </c>
      <c r="G9" s="741"/>
      <c r="H9" s="742" t="s">
        <v>213</v>
      </c>
      <c r="I9" s="837">
        <v>1</v>
      </c>
      <c r="J9" s="743">
        <v>995.63</v>
      </c>
      <c r="K9" s="743">
        <v>995.63</v>
      </c>
      <c r="L9" s="582"/>
    </row>
    <row r="10" spans="2:12" ht="15" customHeight="1" x14ac:dyDescent="0.25">
      <c r="B10" s="749" t="s">
        <v>478</v>
      </c>
      <c r="C10" s="750" t="s">
        <v>1148</v>
      </c>
      <c r="D10" s="749" t="s">
        <v>509</v>
      </c>
      <c r="E10" s="749" t="s">
        <v>516</v>
      </c>
      <c r="F10" s="870" t="s">
        <v>517</v>
      </c>
      <c r="G10" s="870"/>
      <c r="H10" s="751" t="s">
        <v>513</v>
      </c>
      <c r="I10" s="752">
        <v>1</v>
      </c>
      <c r="J10" s="753">
        <v>67.64</v>
      </c>
      <c r="K10" s="753">
        <v>67.64</v>
      </c>
      <c r="L10" s="582"/>
    </row>
    <row r="11" spans="2:12" ht="31.5" x14ac:dyDescent="0.25">
      <c r="B11" s="749" t="s">
        <v>478</v>
      </c>
      <c r="C11" s="750" t="s">
        <v>512</v>
      </c>
      <c r="D11" s="749" t="s">
        <v>475</v>
      </c>
      <c r="E11" s="749" t="s">
        <v>931</v>
      </c>
      <c r="F11" s="870" t="s">
        <v>1270</v>
      </c>
      <c r="G11" s="870"/>
      <c r="H11" s="751" t="s">
        <v>513</v>
      </c>
      <c r="I11" s="752">
        <v>1</v>
      </c>
      <c r="J11" s="753">
        <v>141</v>
      </c>
      <c r="K11" s="753">
        <v>141</v>
      </c>
      <c r="L11" s="582"/>
    </row>
    <row r="12" spans="2:12" ht="31.5" customHeight="1" x14ac:dyDescent="0.25">
      <c r="B12" s="749" t="s">
        <v>478</v>
      </c>
      <c r="C12" s="750" t="s">
        <v>514</v>
      </c>
      <c r="D12" s="749" t="s">
        <v>475</v>
      </c>
      <c r="E12" s="749" t="s">
        <v>932</v>
      </c>
      <c r="F12" s="870" t="s">
        <v>1270</v>
      </c>
      <c r="G12" s="870"/>
      <c r="H12" s="751" t="s">
        <v>513</v>
      </c>
      <c r="I12" s="752">
        <v>1</v>
      </c>
      <c r="J12" s="753">
        <v>134.79</v>
      </c>
      <c r="K12" s="753">
        <v>134.79</v>
      </c>
      <c r="L12" s="582"/>
    </row>
    <row r="13" spans="2:12" ht="30" customHeight="1" x14ac:dyDescent="0.25">
      <c r="B13" s="749" t="s">
        <v>478</v>
      </c>
      <c r="C13" s="750" t="s">
        <v>1147</v>
      </c>
      <c r="D13" s="749" t="s">
        <v>509</v>
      </c>
      <c r="E13" s="749" t="s">
        <v>518</v>
      </c>
      <c r="F13" s="870" t="s">
        <v>517</v>
      </c>
      <c r="G13" s="870"/>
      <c r="H13" s="751" t="s">
        <v>491</v>
      </c>
      <c r="I13" s="752">
        <v>15</v>
      </c>
      <c r="J13" s="753">
        <v>28.64</v>
      </c>
      <c r="K13" s="753">
        <v>429.6</v>
      </c>
      <c r="L13" s="582"/>
    </row>
    <row r="14" spans="2:12" ht="31.5" x14ac:dyDescent="0.25">
      <c r="B14" s="749" t="s">
        <v>478</v>
      </c>
      <c r="C14" s="750" t="s">
        <v>515</v>
      </c>
      <c r="D14" s="749" t="s">
        <v>475</v>
      </c>
      <c r="E14" s="749" t="s">
        <v>933</v>
      </c>
      <c r="F14" s="870" t="s">
        <v>1270</v>
      </c>
      <c r="G14" s="870"/>
      <c r="H14" s="751" t="s">
        <v>513</v>
      </c>
      <c r="I14" s="752">
        <v>1</v>
      </c>
      <c r="J14" s="753">
        <v>222.6</v>
      </c>
      <c r="K14" s="753">
        <v>222.6</v>
      </c>
      <c r="L14" s="582"/>
    </row>
    <row r="15" spans="2:12" x14ac:dyDescent="0.25">
      <c r="B15" s="744"/>
      <c r="C15" s="744"/>
      <c r="D15" s="744"/>
      <c r="E15" s="744"/>
      <c r="F15" s="744" t="s">
        <v>498</v>
      </c>
      <c r="G15" s="745">
        <v>350.4</v>
      </c>
      <c r="H15" s="744" t="s">
        <v>499</v>
      </c>
      <c r="I15" s="745">
        <v>0</v>
      </c>
      <c r="J15" s="744" t="s">
        <v>500</v>
      </c>
      <c r="K15" s="745">
        <v>350.4</v>
      </c>
      <c r="L15" s="582"/>
    </row>
    <row r="16" spans="2:12" ht="16.5" thickBot="1" x14ac:dyDescent="0.3">
      <c r="B16" s="744"/>
      <c r="C16" s="744"/>
      <c r="D16" s="744"/>
      <c r="E16" s="744"/>
      <c r="F16" s="744" t="s">
        <v>501</v>
      </c>
      <c r="G16" s="745">
        <v>241.24</v>
      </c>
      <c r="H16" s="744"/>
      <c r="I16" s="746" t="s">
        <v>502</v>
      </c>
      <c r="J16" s="746"/>
      <c r="K16" s="745">
        <v>1236.8699999999999</v>
      </c>
      <c r="L16" s="582"/>
    </row>
    <row r="17" spans="2:11" ht="16.5" thickTop="1" x14ac:dyDescent="0.25">
      <c r="B17" s="757"/>
      <c r="C17" s="757"/>
      <c r="D17" s="757"/>
      <c r="E17" s="757"/>
      <c r="F17" s="757"/>
      <c r="G17" s="757"/>
      <c r="H17" s="757"/>
      <c r="I17" s="757"/>
      <c r="J17" s="757"/>
      <c r="K17" s="757"/>
    </row>
    <row r="18" spans="2:11" x14ac:dyDescent="0.25">
      <c r="B18" s="735" t="s">
        <v>1258</v>
      </c>
      <c r="C18" s="736" t="s">
        <v>391</v>
      </c>
      <c r="D18" s="735" t="s">
        <v>392</v>
      </c>
      <c r="E18" s="735" t="s">
        <v>42</v>
      </c>
      <c r="F18" s="737" t="s">
        <v>39</v>
      </c>
      <c r="G18" s="737"/>
      <c r="H18" s="738" t="s">
        <v>394</v>
      </c>
      <c r="I18" s="736" t="s">
        <v>395</v>
      </c>
      <c r="J18" s="736" t="s">
        <v>396</v>
      </c>
      <c r="K18" s="736" t="s">
        <v>0</v>
      </c>
    </row>
    <row r="19" spans="2:11" ht="31.5" x14ac:dyDescent="0.25">
      <c r="B19" s="739" t="s">
        <v>473</v>
      </c>
      <c r="C19" s="740" t="s">
        <v>560</v>
      </c>
      <c r="D19" s="739" t="s">
        <v>509</v>
      </c>
      <c r="E19" s="739" t="s">
        <v>561</v>
      </c>
      <c r="F19" s="741" t="s">
        <v>483</v>
      </c>
      <c r="G19" s="741"/>
      <c r="H19" s="742" t="s">
        <v>213</v>
      </c>
      <c r="I19" s="837">
        <v>1</v>
      </c>
      <c r="J19" s="743">
        <v>492.48</v>
      </c>
      <c r="K19" s="743">
        <v>492.48</v>
      </c>
    </row>
    <row r="20" spans="2:11" ht="15" customHeight="1" x14ac:dyDescent="0.25">
      <c r="B20" s="749" t="s">
        <v>478</v>
      </c>
      <c r="C20" s="750" t="s">
        <v>481</v>
      </c>
      <c r="D20" s="749" t="s">
        <v>475</v>
      </c>
      <c r="E20" s="749" t="s">
        <v>482</v>
      </c>
      <c r="F20" s="870" t="s">
        <v>1268</v>
      </c>
      <c r="G20" s="870"/>
      <c r="H20" s="751" t="s">
        <v>484</v>
      </c>
      <c r="I20" s="752">
        <v>1</v>
      </c>
      <c r="J20" s="753">
        <v>27.74</v>
      </c>
      <c r="K20" s="753">
        <v>27.74</v>
      </c>
    </row>
    <row r="21" spans="2:11" ht="15" customHeight="1" x14ac:dyDescent="0.25">
      <c r="B21" s="749" t="s">
        <v>478</v>
      </c>
      <c r="C21" s="750" t="s">
        <v>485</v>
      </c>
      <c r="D21" s="749" t="s">
        <v>475</v>
      </c>
      <c r="E21" s="749" t="s">
        <v>486</v>
      </c>
      <c r="F21" s="870" t="s">
        <v>1268</v>
      </c>
      <c r="G21" s="870"/>
      <c r="H21" s="751" t="s">
        <v>484</v>
      </c>
      <c r="I21" s="752">
        <v>1.5</v>
      </c>
      <c r="J21" s="753">
        <v>22.76</v>
      </c>
      <c r="K21" s="753">
        <v>34.14</v>
      </c>
    </row>
    <row r="22" spans="2:11" ht="63" x14ac:dyDescent="0.25">
      <c r="B22" s="749" t="s">
        <v>478</v>
      </c>
      <c r="C22" s="750" t="s">
        <v>562</v>
      </c>
      <c r="D22" s="749" t="s">
        <v>475</v>
      </c>
      <c r="E22" s="749" t="s">
        <v>563</v>
      </c>
      <c r="F22" s="870" t="s">
        <v>1285</v>
      </c>
      <c r="G22" s="870"/>
      <c r="H22" s="751" t="s">
        <v>564</v>
      </c>
      <c r="I22" s="752">
        <v>0.01</v>
      </c>
      <c r="J22" s="753">
        <v>248.87</v>
      </c>
      <c r="K22" s="753">
        <v>2.48</v>
      </c>
    </row>
    <row r="23" spans="2:11" ht="31.5" x14ac:dyDescent="0.25">
      <c r="B23" s="749" t="s">
        <v>487</v>
      </c>
      <c r="C23" s="750" t="s">
        <v>565</v>
      </c>
      <c r="D23" s="749" t="s">
        <v>475</v>
      </c>
      <c r="E23" s="749" t="s">
        <v>940</v>
      </c>
      <c r="F23" s="870" t="s">
        <v>490</v>
      </c>
      <c r="G23" s="870"/>
      <c r="H23" s="751" t="s">
        <v>491</v>
      </c>
      <c r="I23" s="752">
        <v>1</v>
      </c>
      <c r="J23" s="753">
        <v>28.12</v>
      </c>
      <c r="K23" s="753">
        <v>28.12</v>
      </c>
    </row>
    <row r="24" spans="2:11" ht="31.5" x14ac:dyDescent="0.25">
      <c r="B24" s="749" t="s">
        <v>487</v>
      </c>
      <c r="C24" s="750" t="s">
        <v>492</v>
      </c>
      <c r="D24" s="749" t="s">
        <v>475</v>
      </c>
      <c r="E24" s="749" t="s">
        <v>929</v>
      </c>
      <c r="F24" s="870" t="s">
        <v>490</v>
      </c>
      <c r="G24" s="870"/>
      <c r="H24" s="751" t="s">
        <v>1</v>
      </c>
      <c r="I24" s="752">
        <v>1</v>
      </c>
      <c r="J24" s="753">
        <v>400</v>
      </c>
      <c r="K24" s="753">
        <v>400</v>
      </c>
    </row>
    <row r="25" spans="2:11" x14ac:dyDescent="0.25">
      <c r="B25" s="744"/>
      <c r="C25" s="744"/>
      <c r="D25" s="744"/>
      <c r="E25" s="744"/>
      <c r="F25" s="744" t="s">
        <v>498</v>
      </c>
      <c r="G25" s="745">
        <v>46.04</v>
      </c>
      <c r="H25" s="744" t="s">
        <v>499</v>
      </c>
      <c r="I25" s="745">
        <v>0</v>
      </c>
      <c r="J25" s="744" t="s">
        <v>500</v>
      </c>
      <c r="K25" s="745">
        <v>46.04</v>
      </c>
    </row>
    <row r="26" spans="2:11" ht="16.5" thickBot="1" x14ac:dyDescent="0.3">
      <c r="B26" s="744"/>
      <c r="C26" s="744"/>
      <c r="D26" s="744"/>
      <c r="E26" s="744"/>
      <c r="F26" s="744" t="s">
        <v>501</v>
      </c>
      <c r="G26" s="745">
        <v>119.32</v>
      </c>
      <c r="H26" s="744"/>
      <c r="I26" s="746" t="s">
        <v>502</v>
      </c>
      <c r="J26" s="746"/>
      <c r="K26" s="745">
        <v>611.79999999999995</v>
      </c>
    </row>
    <row r="27" spans="2:11" ht="16.5" thickTop="1" x14ac:dyDescent="0.25">
      <c r="B27" s="757"/>
      <c r="C27" s="757"/>
      <c r="D27" s="757"/>
      <c r="E27" s="757"/>
      <c r="F27" s="757"/>
      <c r="G27" s="757"/>
      <c r="H27" s="757"/>
      <c r="I27" s="757"/>
      <c r="J27" s="757"/>
      <c r="K27" s="757"/>
    </row>
    <row r="28" spans="2:11" x14ac:dyDescent="0.25">
      <c r="B28" s="735" t="s">
        <v>1259</v>
      </c>
      <c r="C28" s="736" t="s">
        <v>391</v>
      </c>
      <c r="D28" s="735" t="s">
        <v>392</v>
      </c>
      <c r="E28" s="735" t="s">
        <v>42</v>
      </c>
      <c r="F28" s="737" t="s">
        <v>39</v>
      </c>
      <c r="G28" s="737"/>
      <c r="H28" s="738" t="s">
        <v>394</v>
      </c>
      <c r="I28" s="736" t="s">
        <v>395</v>
      </c>
      <c r="J28" s="736" t="s">
        <v>396</v>
      </c>
      <c r="K28" s="736" t="s">
        <v>0</v>
      </c>
    </row>
    <row r="29" spans="2:11" ht="15" customHeight="1" x14ac:dyDescent="0.25">
      <c r="B29" s="739" t="s">
        <v>473</v>
      </c>
      <c r="C29" s="740" t="s">
        <v>566</v>
      </c>
      <c r="D29" s="739" t="s">
        <v>509</v>
      </c>
      <c r="E29" s="739" t="s">
        <v>567</v>
      </c>
      <c r="F29" s="741" t="s">
        <v>568</v>
      </c>
      <c r="G29" s="741"/>
      <c r="H29" s="742" t="s">
        <v>1</v>
      </c>
      <c r="I29" s="837">
        <v>1</v>
      </c>
      <c r="J29" s="743">
        <v>9.52</v>
      </c>
      <c r="K29" s="743">
        <v>9.52</v>
      </c>
    </row>
    <row r="30" spans="2:11" ht="15" customHeight="1" x14ac:dyDescent="0.25">
      <c r="B30" s="749" t="s">
        <v>478</v>
      </c>
      <c r="C30" s="750" t="s">
        <v>481</v>
      </c>
      <c r="D30" s="749" t="s">
        <v>475</v>
      </c>
      <c r="E30" s="749" t="s">
        <v>482</v>
      </c>
      <c r="F30" s="870" t="s">
        <v>1268</v>
      </c>
      <c r="G30" s="870"/>
      <c r="H30" s="751" t="s">
        <v>484</v>
      </c>
      <c r="I30" s="752">
        <v>0.06</v>
      </c>
      <c r="J30" s="753">
        <v>27.74</v>
      </c>
      <c r="K30" s="753">
        <v>1.66</v>
      </c>
    </row>
    <row r="31" spans="2:11" ht="15" customHeight="1" x14ac:dyDescent="0.25">
      <c r="B31" s="749" t="s">
        <v>478</v>
      </c>
      <c r="C31" s="750" t="s">
        <v>485</v>
      </c>
      <c r="D31" s="749" t="s">
        <v>475</v>
      </c>
      <c r="E31" s="749" t="s">
        <v>486</v>
      </c>
      <c r="F31" s="870" t="s">
        <v>1268</v>
      </c>
      <c r="G31" s="870"/>
      <c r="H31" s="751" t="s">
        <v>484</v>
      </c>
      <c r="I31" s="752">
        <v>0.18</v>
      </c>
      <c r="J31" s="753">
        <v>22.76</v>
      </c>
      <c r="K31" s="753">
        <v>4.09</v>
      </c>
    </row>
    <row r="32" spans="2:11" x14ac:dyDescent="0.25">
      <c r="B32" s="749" t="s">
        <v>487</v>
      </c>
      <c r="C32" s="750" t="s">
        <v>569</v>
      </c>
      <c r="D32" s="749" t="s">
        <v>475</v>
      </c>
      <c r="E32" s="749" t="s">
        <v>570</v>
      </c>
      <c r="F32" s="870" t="s">
        <v>490</v>
      </c>
      <c r="G32" s="870"/>
      <c r="H32" s="751" t="s">
        <v>495</v>
      </c>
      <c r="I32" s="752">
        <v>0.04</v>
      </c>
      <c r="J32" s="753">
        <v>29.14</v>
      </c>
      <c r="K32" s="753">
        <v>1.1599999999999999</v>
      </c>
    </row>
    <row r="33" spans="2:11" ht="31.5" x14ac:dyDescent="0.25">
      <c r="B33" s="749" t="s">
        <v>487</v>
      </c>
      <c r="C33" s="750" t="s">
        <v>571</v>
      </c>
      <c r="D33" s="749" t="s">
        <v>475</v>
      </c>
      <c r="E33" s="749" t="s">
        <v>572</v>
      </c>
      <c r="F33" s="870" t="s">
        <v>490</v>
      </c>
      <c r="G33" s="870"/>
      <c r="H33" s="751" t="s">
        <v>1</v>
      </c>
      <c r="I33" s="752">
        <v>1.1000000000000001</v>
      </c>
      <c r="J33" s="753">
        <v>2.38</v>
      </c>
      <c r="K33" s="753">
        <v>2.61</v>
      </c>
    </row>
    <row r="34" spans="2:11" x14ac:dyDescent="0.25">
      <c r="B34" s="744"/>
      <c r="C34" s="744"/>
      <c r="D34" s="744"/>
      <c r="E34" s="744"/>
      <c r="F34" s="744" t="s">
        <v>498</v>
      </c>
      <c r="G34" s="745">
        <v>4.2</v>
      </c>
      <c r="H34" s="744" t="s">
        <v>499</v>
      </c>
      <c r="I34" s="745">
        <v>0</v>
      </c>
      <c r="J34" s="744" t="s">
        <v>500</v>
      </c>
      <c r="K34" s="745">
        <v>4.2</v>
      </c>
    </row>
    <row r="35" spans="2:11" ht="16.5" thickBot="1" x14ac:dyDescent="0.3">
      <c r="B35" s="744"/>
      <c r="C35" s="744"/>
      <c r="D35" s="744"/>
      <c r="E35" s="744"/>
      <c r="F35" s="744" t="s">
        <v>501</v>
      </c>
      <c r="G35" s="745">
        <v>2.2999999999999998</v>
      </c>
      <c r="H35" s="744"/>
      <c r="I35" s="746" t="s">
        <v>502</v>
      </c>
      <c r="J35" s="746"/>
      <c r="K35" s="745">
        <v>11.82</v>
      </c>
    </row>
    <row r="36" spans="2:11" ht="16.5" thickTop="1" x14ac:dyDescent="0.25">
      <c r="B36" s="757"/>
      <c r="C36" s="757"/>
      <c r="D36" s="757"/>
      <c r="E36" s="757"/>
      <c r="F36" s="757"/>
      <c r="G36" s="757"/>
      <c r="H36" s="757"/>
      <c r="I36" s="757"/>
      <c r="J36" s="757"/>
      <c r="K36" s="757"/>
    </row>
    <row r="37" spans="2:11" x14ac:dyDescent="0.25">
      <c r="B37" s="735" t="s">
        <v>1334</v>
      </c>
      <c r="C37" s="736" t="s">
        <v>391</v>
      </c>
      <c r="D37" s="735" t="s">
        <v>392</v>
      </c>
      <c r="E37" s="735" t="s">
        <v>42</v>
      </c>
      <c r="F37" s="737" t="s">
        <v>39</v>
      </c>
      <c r="G37" s="737"/>
      <c r="H37" s="738" t="s">
        <v>394</v>
      </c>
      <c r="I37" s="736" t="s">
        <v>395</v>
      </c>
      <c r="J37" s="736" t="s">
        <v>396</v>
      </c>
      <c r="K37" s="736" t="s">
        <v>0</v>
      </c>
    </row>
    <row r="38" spans="2:11" ht="15" customHeight="1" x14ac:dyDescent="0.25">
      <c r="B38" s="739" t="s">
        <v>473</v>
      </c>
      <c r="C38" s="740" t="s">
        <v>573</v>
      </c>
      <c r="D38" s="739" t="s">
        <v>509</v>
      </c>
      <c r="E38" s="739" t="s">
        <v>574</v>
      </c>
      <c r="F38" s="741" t="s">
        <v>568</v>
      </c>
      <c r="G38" s="741"/>
      <c r="H38" s="742" t="s">
        <v>491</v>
      </c>
      <c r="I38" s="837">
        <v>1</v>
      </c>
      <c r="J38" s="743">
        <v>4.04</v>
      </c>
      <c r="K38" s="743">
        <v>4.04</v>
      </c>
    </row>
    <row r="39" spans="2:11" ht="15" customHeight="1" x14ac:dyDescent="0.25">
      <c r="B39" s="749" t="s">
        <v>478</v>
      </c>
      <c r="C39" s="750" t="s">
        <v>526</v>
      </c>
      <c r="D39" s="749" t="s">
        <v>475</v>
      </c>
      <c r="E39" s="749" t="s">
        <v>527</v>
      </c>
      <c r="F39" s="870" t="s">
        <v>1268</v>
      </c>
      <c r="G39" s="870"/>
      <c r="H39" s="751" t="s">
        <v>484</v>
      </c>
      <c r="I39" s="752">
        <v>0.05</v>
      </c>
      <c r="J39" s="753">
        <v>31.14</v>
      </c>
      <c r="K39" s="753">
        <v>1.55</v>
      </c>
    </row>
    <row r="40" spans="2:11" ht="15" customHeight="1" x14ac:dyDescent="0.25">
      <c r="B40" s="749" t="s">
        <v>478</v>
      </c>
      <c r="C40" s="750" t="s">
        <v>485</v>
      </c>
      <c r="D40" s="749" t="s">
        <v>475</v>
      </c>
      <c r="E40" s="749" t="s">
        <v>486</v>
      </c>
      <c r="F40" s="870" t="s">
        <v>1268</v>
      </c>
      <c r="G40" s="870"/>
      <c r="H40" s="751" t="s">
        <v>484</v>
      </c>
      <c r="I40" s="752">
        <v>0.05</v>
      </c>
      <c r="J40" s="753">
        <v>22.76</v>
      </c>
      <c r="K40" s="753">
        <v>1.1299999999999999</v>
      </c>
    </row>
    <row r="41" spans="2:11" x14ac:dyDescent="0.25">
      <c r="B41" s="749" t="s">
        <v>487</v>
      </c>
      <c r="C41" s="750" t="s">
        <v>583</v>
      </c>
      <c r="D41" s="749" t="s">
        <v>475</v>
      </c>
      <c r="E41" s="749" t="s">
        <v>584</v>
      </c>
      <c r="F41" s="870" t="s">
        <v>490</v>
      </c>
      <c r="G41" s="870"/>
      <c r="H41" s="751" t="s">
        <v>513</v>
      </c>
      <c r="I41" s="752">
        <v>8.9999999999999993E-3</v>
      </c>
      <c r="J41" s="753">
        <v>9.39</v>
      </c>
      <c r="K41" s="753">
        <v>0.08</v>
      </c>
    </row>
    <row r="42" spans="2:11" x14ac:dyDescent="0.25">
      <c r="B42" s="749" t="s">
        <v>487</v>
      </c>
      <c r="C42" s="750" t="s">
        <v>577</v>
      </c>
      <c r="D42" s="749" t="s">
        <v>475</v>
      </c>
      <c r="E42" s="749" t="s">
        <v>578</v>
      </c>
      <c r="F42" s="870" t="s">
        <v>943</v>
      </c>
      <c r="G42" s="870"/>
      <c r="H42" s="751" t="s">
        <v>944</v>
      </c>
      <c r="I42" s="752">
        <v>0.24</v>
      </c>
      <c r="J42" s="753">
        <v>1.1299999999999999</v>
      </c>
      <c r="K42" s="753">
        <v>0.27</v>
      </c>
    </row>
    <row r="43" spans="2:11" ht="31.5" x14ac:dyDescent="0.25">
      <c r="B43" s="749" t="s">
        <v>487</v>
      </c>
      <c r="C43" s="750" t="s">
        <v>575</v>
      </c>
      <c r="D43" s="749" t="s">
        <v>475</v>
      </c>
      <c r="E43" s="749" t="s">
        <v>576</v>
      </c>
      <c r="F43" s="870" t="s">
        <v>490</v>
      </c>
      <c r="G43" s="870"/>
      <c r="H43" s="751" t="s">
        <v>491</v>
      </c>
      <c r="I43" s="752">
        <v>0.3</v>
      </c>
      <c r="J43" s="753">
        <v>2.81</v>
      </c>
      <c r="K43" s="753">
        <v>0.84</v>
      </c>
    </row>
    <row r="44" spans="2:11" x14ac:dyDescent="0.25">
      <c r="B44" s="749" t="s">
        <v>487</v>
      </c>
      <c r="C44" s="750" t="s">
        <v>581</v>
      </c>
      <c r="D44" s="749" t="s">
        <v>475</v>
      </c>
      <c r="E44" s="749" t="s">
        <v>582</v>
      </c>
      <c r="F44" s="870" t="s">
        <v>490</v>
      </c>
      <c r="G44" s="870"/>
      <c r="H44" s="751" t="s">
        <v>513</v>
      </c>
      <c r="I44" s="752">
        <v>8.9999999999999993E-3</v>
      </c>
      <c r="J44" s="753">
        <v>9.11</v>
      </c>
      <c r="K44" s="753">
        <v>0.08</v>
      </c>
    </row>
    <row r="45" spans="2:11" x14ac:dyDescent="0.25">
      <c r="B45" s="749" t="s">
        <v>487</v>
      </c>
      <c r="C45" s="750" t="s">
        <v>579</v>
      </c>
      <c r="D45" s="749" t="s">
        <v>475</v>
      </c>
      <c r="E45" s="749" t="s">
        <v>580</v>
      </c>
      <c r="F45" s="870" t="s">
        <v>490</v>
      </c>
      <c r="G45" s="870"/>
      <c r="H45" s="751" t="s">
        <v>513</v>
      </c>
      <c r="I45" s="752">
        <v>8.9999999999999993E-3</v>
      </c>
      <c r="J45" s="753">
        <v>10.46</v>
      </c>
      <c r="K45" s="753">
        <v>0.09</v>
      </c>
    </row>
    <row r="46" spans="2:11" x14ac:dyDescent="0.25">
      <c r="B46" s="744"/>
      <c r="C46" s="744"/>
      <c r="D46" s="744"/>
      <c r="E46" s="744"/>
      <c r="F46" s="744" t="s">
        <v>498</v>
      </c>
      <c r="G46" s="745">
        <v>2.0299999999999998</v>
      </c>
      <c r="H46" s="744" t="s">
        <v>499</v>
      </c>
      <c r="I46" s="745">
        <v>0</v>
      </c>
      <c r="J46" s="744" t="s">
        <v>500</v>
      </c>
      <c r="K46" s="745">
        <v>2.0299999999999998</v>
      </c>
    </row>
    <row r="47" spans="2:11" ht="16.5" thickBot="1" x14ac:dyDescent="0.3">
      <c r="B47" s="744"/>
      <c r="C47" s="744"/>
      <c r="D47" s="744"/>
      <c r="E47" s="744"/>
      <c r="F47" s="744" t="s">
        <v>501</v>
      </c>
      <c r="G47" s="745">
        <v>0.97</v>
      </c>
      <c r="H47" s="744"/>
      <c r="I47" s="746" t="s">
        <v>502</v>
      </c>
      <c r="J47" s="746"/>
      <c r="K47" s="745">
        <v>5.01</v>
      </c>
    </row>
    <row r="48" spans="2:11" ht="16.5" thickTop="1" x14ac:dyDescent="0.25">
      <c r="B48" s="757"/>
      <c r="C48" s="757"/>
      <c r="D48" s="757"/>
      <c r="E48" s="757"/>
      <c r="F48" s="757"/>
      <c r="G48" s="757"/>
      <c r="H48" s="757"/>
      <c r="I48" s="757"/>
      <c r="J48" s="757"/>
      <c r="K48" s="757"/>
    </row>
    <row r="49" spans="2:11" x14ac:dyDescent="0.25">
      <c r="B49" s="735" t="s">
        <v>946</v>
      </c>
      <c r="C49" s="736" t="s">
        <v>391</v>
      </c>
      <c r="D49" s="735" t="s">
        <v>392</v>
      </c>
      <c r="E49" s="735" t="s">
        <v>42</v>
      </c>
      <c r="F49" s="737" t="s">
        <v>39</v>
      </c>
      <c r="G49" s="737"/>
      <c r="H49" s="738" t="s">
        <v>394</v>
      </c>
      <c r="I49" s="736" t="s">
        <v>395</v>
      </c>
      <c r="J49" s="736" t="s">
        <v>396</v>
      </c>
      <c r="K49" s="736" t="s">
        <v>0</v>
      </c>
    </row>
    <row r="50" spans="2:11" ht="31.5" x14ac:dyDescent="0.25">
      <c r="B50" s="739" t="s">
        <v>473</v>
      </c>
      <c r="C50" s="740" t="s">
        <v>947</v>
      </c>
      <c r="D50" s="739" t="s">
        <v>509</v>
      </c>
      <c r="E50" s="739" t="s">
        <v>948</v>
      </c>
      <c r="F50" s="741" t="s">
        <v>568</v>
      </c>
      <c r="G50" s="741"/>
      <c r="H50" s="742" t="s">
        <v>2</v>
      </c>
      <c r="I50" s="837">
        <v>1</v>
      </c>
      <c r="J50" s="743">
        <v>332.93</v>
      </c>
      <c r="K50" s="743">
        <v>332.93</v>
      </c>
    </row>
    <row r="51" spans="2:11" ht="15" customHeight="1" x14ac:dyDescent="0.25">
      <c r="B51" s="749" t="s">
        <v>478</v>
      </c>
      <c r="C51" s="750" t="s">
        <v>485</v>
      </c>
      <c r="D51" s="749" t="s">
        <v>475</v>
      </c>
      <c r="E51" s="749" t="s">
        <v>486</v>
      </c>
      <c r="F51" s="870" t="s">
        <v>1268</v>
      </c>
      <c r="G51" s="870"/>
      <c r="H51" s="751" t="s">
        <v>484</v>
      </c>
      <c r="I51" s="752">
        <v>13</v>
      </c>
      <c r="J51" s="753">
        <v>22.76</v>
      </c>
      <c r="K51" s="753">
        <v>295.88</v>
      </c>
    </row>
    <row r="52" spans="2:11" ht="15" customHeight="1" x14ac:dyDescent="0.25">
      <c r="B52" s="749" t="s">
        <v>478</v>
      </c>
      <c r="C52" s="750" t="s">
        <v>620</v>
      </c>
      <c r="D52" s="749" t="s">
        <v>475</v>
      </c>
      <c r="E52" s="749" t="s">
        <v>621</v>
      </c>
      <c r="F52" s="870" t="s">
        <v>1268</v>
      </c>
      <c r="G52" s="870"/>
      <c r="H52" s="751" t="s">
        <v>484</v>
      </c>
      <c r="I52" s="752">
        <v>1.3</v>
      </c>
      <c r="J52" s="753">
        <v>28.5</v>
      </c>
      <c r="K52" s="753">
        <v>37.049999999999997</v>
      </c>
    </row>
    <row r="53" spans="2:11" x14ac:dyDescent="0.25">
      <c r="B53" s="744"/>
      <c r="C53" s="744"/>
      <c r="D53" s="744"/>
      <c r="E53" s="744"/>
      <c r="F53" s="744" t="s">
        <v>498</v>
      </c>
      <c r="G53" s="745">
        <v>239.08</v>
      </c>
      <c r="H53" s="744" t="s">
        <v>499</v>
      </c>
      <c r="I53" s="745">
        <v>0</v>
      </c>
      <c r="J53" s="744" t="s">
        <v>500</v>
      </c>
      <c r="K53" s="745">
        <v>239.08</v>
      </c>
    </row>
    <row r="54" spans="2:11" ht="16.5" thickBot="1" x14ac:dyDescent="0.3">
      <c r="B54" s="744"/>
      <c r="C54" s="744"/>
      <c r="D54" s="744"/>
      <c r="E54" s="744"/>
      <c r="F54" s="744" t="s">
        <v>501</v>
      </c>
      <c r="G54" s="745">
        <v>80.66</v>
      </c>
      <c r="H54" s="744"/>
      <c r="I54" s="746" t="s">
        <v>502</v>
      </c>
      <c r="J54" s="746"/>
      <c r="K54" s="745">
        <v>413.59</v>
      </c>
    </row>
    <row r="55" spans="2:11" ht="16.5" thickTop="1" x14ac:dyDescent="0.25">
      <c r="B55" s="757"/>
      <c r="C55" s="757"/>
      <c r="D55" s="757"/>
      <c r="E55" s="757"/>
      <c r="F55" s="757"/>
      <c r="G55" s="757"/>
      <c r="H55" s="757"/>
      <c r="I55" s="757"/>
      <c r="J55" s="757"/>
      <c r="K55" s="757"/>
    </row>
    <row r="56" spans="2:11" x14ac:dyDescent="0.25">
      <c r="B56" s="735" t="s">
        <v>419</v>
      </c>
      <c r="C56" s="736" t="s">
        <v>391</v>
      </c>
      <c r="D56" s="735" t="s">
        <v>392</v>
      </c>
      <c r="E56" s="735" t="s">
        <v>42</v>
      </c>
      <c r="F56" s="737" t="s">
        <v>39</v>
      </c>
      <c r="G56" s="737"/>
      <c r="H56" s="738" t="s">
        <v>394</v>
      </c>
      <c r="I56" s="736" t="s">
        <v>395</v>
      </c>
      <c r="J56" s="736" t="s">
        <v>396</v>
      </c>
      <c r="K56" s="736" t="s">
        <v>0</v>
      </c>
    </row>
    <row r="57" spans="2:11" ht="30" customHeight="1" x14ac:dyDescent="0.25">
      <c r="B57" s="739" t="s">
        <v>473</v>
      </c>
      <c r="C57" s="740" t="s">
        <v>957</v>
      </c>
      <c r="D57" s="739" t="s">
        <v>509</v>
      </c>
      <c r="E57" s="739" t="s">
        <v>958</v>
      </c>
      <c r="F57" s="741" t="s">
        <v>642</v>
      </c>
      <c r="G57" s="741"/>
      <c r="H57" s="742" t="s">
        <v>491</v>
      </c>
      <c r="I57" s="837">
        <v>1</v>
      </c>
      <c r="J57" s="743">
        <v>16.850000000000001</v>
      </c>
      <c r="K57" s="743">
        <v>16.850000000000001</v>
      </c>
    </row>
    <row r="58" spans="2:11" ht="15" customHeight="1" x14ac:dyDescent="0.25">
      <c r="B58" s="749" t="s">
        <v>478</v>
      </c>
      <c r="C58" s="750" t="s">
        <v>485</v>
      </c>
      <c r="D58" s="749" t="s">
        <v>475</v>
      </c>
      <c r="E58" s="749" t="s">
        <v>486</v>
      </c>
      <c r="F58" s="870" t="s">
        <v>1268</v>
      </c>
      <c r="G58" s="870"/>
      <c r="H58" s="751" t="s">
        <v>484</v>
      </c>
      <c r="I58" s="752">
        <v>0.13009999999999999</v>
      </c>
      <c r="J58" s="753">
        <v>22.76</v>
      </c>
      <c r="K58" s="753">
        <v>2.96</v>
      </c>
    </row>
    <row r="59" spans="2:11" ht="30" customHeight="1" x14ac:dyDescent="0.25">
      <c r="B59" s="749" t="s">
        <v>478</v>
      </c>
      <c r="C59" s="750" t="s">
        <v>634</v>
      </c>
      <c r="D59" s="749" t="s">
        <v>475</v>
      </c>
      <c r="E59" s="749" t="s">
        <v>635</v>
      </c>
      <c r="F59" s="870" t="s">
        <v>1285</v>
      </c>
      <c r="G59" s="870"/>
      <c r="H59" s="751" t="s">
        <v>564</v>
      </c>
      <c r="I59" s="752">
        <v>4.2200000000000001E-2</v>
      </c>
      <c r="J59" s="753">
        <v>211.46</v>
      </c>
      <c r="K59" s="753">
        <v>8.92</v>
      </c>
    </row>
    <row r="60" spans="2:11" ht="30" customHeight="1" x14ac:dyDescent="0.25">
      <c r="B60" s="749" t="s">
        <v>478</v>
      </c>
      <c r="C60" s="750" t="s">
        <v>636</v>
      </c>
      <c r="D60" s="749" t="s">
        <v>475</v>
      </c>
      <c r="E60" s="749" t="s">
        <v>637</v>
      </c>
      <c r="F60" s="870" t="s">
        <v>1285</v>
      </c>
      <c r="G60" s="870"/>
      <c r="H60" s="751" t="s">
        <v>592</v>
      </c>
      <c r="I60" s="752">
        <v>2.6200000000000001E-2</v>
      </c>
      <c r="J60" s="753">
        <v>91.03</v>
      </c>
      <c r="K60" s="753">
        <v>2.38</v>
      </c>
    </row>
    <row r="61" spans="2:11" ht="15" customHeight="1" x14ac:dyDescent="0.25">
      <c r="B61" s="749" t="s">
        <v>478</v>
      </c>
      <c r="C61" s="750" t="s">
        <v>643</v>
      </c>
      <c r="D61" s="749" t="s">
        <v>475</v>
      </c>
      <c r="E61" s="749" t="s">
        <v>644</v>
      </c>
      <c r="F61" s="870" t="s">
        <v>1268</v>
      </c>
      <c r="G61" s="870"/>
      <c r="H61" s="751" t="s">
        <v>484</v>
      </c>
      <c r="I61" s="752">
        <v>0.13009999999999999</v>
      </c>
      <c r="J61" s="753">
        <v>19.96</v>
      </c>
      <c r="K61" s="753">
        <v>2.59</v>
      </c>
    </row>
    <row r="62" spans="2:11" x14ac:dyDescent="0.25">
      <c r="B62" s="744"/>
      <c r="C62" s="744"/>
      <c r="D62" s="744"/>
      <c r="E62" s="744"/>
      <c r="F62" s="744" t="s">
        <v>498</v>
      </c>
      <c r="G62" s="745">
        <v>5.93</v>
      </c>
      <c r="H62" s="744" t="s">
        <v>499</v>
      </c>
      <c r="I62" s="745">
        <v>0</v>
      </c>
      <c r="J62" s="744" t="s">
        <v>500</v>
      </c>
      <c r="K62" s="745">
        <v>5.93</v>
      </c>
    </row>
    <row r="63" spans="2:11" ht="16.5" thickBot="1" x14ac:dyDescent="0.3">
      <c r="B63" s="744"/>
      <c r="C63" s="744"/>
      <c r="D63" s="744"/>
      <c r="E63" s="744"/>
      <c r="F63" s="744" t="s">
        <v>501</v>
      </c>
      <c r="G63" s="745">
        <v>4.08</v>
      </c>
      <c r="H63" s="744"/>
      <c r="I63" s="746" t="s">
        <v>502</v>
      </c>
      <c r="J63" s="746"/>
      <c r="K63" s="745">
        <v>20.93</v>
      </c>
    </row>
    <row r="64" spans="2:11" ht="16.5" thickTop="1" x14ac:dyDescent="0.25">
      <c r="B64" s="757"/>
      <c r="C64" s="757"/>
      <c r="D64" s="757"/>
      <c r="E64" s="757"/>
      <c r="F64" s="757"/>
      <c r="G64" s="757"/>
      <c r="H64" s="757"/>
      <c r="I64" s="757"/>
      <c r="J64" s="757"/>
      <c r="K64" s="757"/>
    </row>
    <row r="65" spans="2:11" x14ac:dyDescent="0.25">
      <c r="B65" s="735" t="s">
        <v>420</v>
      </c>
      <c r="C65" s="736" t="s">
        <v>391</v>
      </c>
      <c r="D65" s="735" t="s">
        <v>392</v>
      </c>
      <c r="E65" s="735" t="s">
        <v>42</v>
      </c>
      <c r="F65" s="737" t="s">
        <v>39</v>
      </c>
      <c r="G65" s="737"/>
      <c r="H65" s="738" t="s">
        <v>394</v>
      </c>
      <c r="I65" s="736" t="s">
        <v>395</v>
      </c>
      <c r="J65" s="736" t="s">
        <v>396</v>
      </c>
      <c r="K65" s="736" t="s">
        <v>0</v>
      </c>
    </row>
    <row r="66" spans="2:11" ht="30" customHeight="1" x14ac:dyDescent="0.25">
      <c r="B66" s="739" t="s">
        <v>473</v>
      </c>
      <c r="C66" s="740" t="s">
        <v>1172</v>
      </c>
      <c r="D66" s="739" t="s">
        <v>509</v>
      </c>
      <c r="E66" s="739" t="s">
        <v>1173</v>
      </c>
      <c r="F66" s="741" t="s">
        <v>642</v>
      </c>
      <c r="G66" s="741"/>
      <c r="H66" s="742" t="s">
        <v>491</v>
      </c>
      <c r="I66" s="837">
        <v>1</v>
      </c>
      <c r="J66" s="743">
        <v>43.34</v>
      </c>
      <c r="K66" s="743">
        <v>43.34</v>
      </c>
    </row>
    <row r="67" spans="2:11" ht="30" customHeight="1" x14ac:dyDescent="0.25">
      <c r="B67" s="749" t="s">
        <v>478</v>
      </c>
      <c r="C67" s="750" t="s">
        <v>634</v>
      </c>
      <c r="D67" s="749" t="s">
        <v>475</v>
      </c>
      <c r="E67" s="749" t="s">
        <v>635</v>
      </c>
      <c r="F67" s="870" t="s">
        <v>1285</v>
      </c>
      <c r="G67" s="870"/>
      <c r="H67" s="751" t="s">
        <v>564</v>
      </c>
      <c r="I67" s="752">
        <v>9.1700000000000004E-2</v>
      </c>
      <c r="J67" s="753">
        <v>211.46</v>
      </c>
      <c r="K67" s="753">
        <v>19.39</v>
      </c>
    </row>
    <row r="68" spans="2:11" ht="15" customHeight="1" x14ac:dyDescent="0.25">
      <c r="B68" s="749" t="s">
        <v>478</v>
      </c>
      <c r="C68" s="750" t="s">
        <v>643</v>
      </c>
      <c r="D68" s="749" t="s">
        <v>475</v>
      </c>
      <c r="E68" s="749" t="s">
        <v>644</v>
      </c>
      <c r="F68" s="870" t="s">
        <v>1268</v>
      </c>
      <c r="G68" s="870"/>
      <c r="H68" s="751" t="s">
        <v>484</v>
      </c>
      <c r="I68" s="752">
        <v>0.28299999999999997</v>
      </c>
      <c r="J68" s="753">
        <v>19.96</v>
      </c>
      <c r="K68" s="753">
        <v>5.64</v>
      </c>
    </row>
    <row r="69" spans="2:11" ht="30" customHeight="1" x14ac:dyDescent="0.25">
      <c r="B69" s="749" t="s">
        <v>478</v>
      </c>
      <c r="C69" s="750" t="s">
        <v>636</v>
      </c>
      <c r="D69" s="749" t="s">
        <v>475</v>
      </c>
      <c r="E69" s="749" t="s">
        <v>637</v>
      </c>
      <c r="F69" s="870" t="s">
        <v>1285</v>
      </c>
      <c r="G69" s="870"/>
      <c r="H69" s="751" t="s">
        <v>592</v>
      </c>
      <c r="I69" s="752">
        <v>5.7000000000000002E-2</v>
      </c>
      <c r="J69" s="753">
        <v>91.03</v>
      </c>
      <c r="K69" s="753">
        <v>5.18</v>
      </c>
    </row>
    <row r="70" spans="2:11" ht="15" customHeight="1" x14ac:dyDescent="0.25">
      <c r="B70" s="749" t="s">
        <v>478</v>
      </c>
      <c r="C70" s="750" t="s">
        <v>485</v>
      </c>
      <c r="D70" s="749" t="s">
        <v>475</v>
      </c>
      <c r="E70" s="749" t="s">
        <v>486</v>
      </c>
      <c r="F70" s="870" t="s">
        <v>1268</v>
      </c>
      <c r="G70" s="870"/>
      <c r="H70" s="751" t="s">
        <v>484</v>
      </c>
      <c r="I70" s="752">
        <v>0.28299999999999997</v>
      </c>
      <c r="J70" s="753">
        <v>22.76</v>
      </c>
      <c r="K70" s="753">
        <v>6.44</v>
      </c>
    </row>
    <row r="71" spans="2:11" ht="31.5" x14ac:dyDescent="0.25">
      <c r="B71" s="749" t="s">
        <v>487</v>
      </c>
      <c r="C71" s="750" t="s">
        <v>959</v>
      </c>
      <c r="D71" s="749" t="s">
        <v>475</v>
      </c>
      <c r="E71" s="749" t="s">
        <v>960</v>
      </c>
      <c r="F71" s="870" t="s">
        <v>490</v>
      </c>
      <c r="G71" s="870"/>
      <c r="H71" s="751" t="s">
        <v>513</v>
      </c>
      <c r="I71" s="752">
        <v>0.20830000000000001</v>
      </c>
      <c r="J71" s="753">
        <v>32.130000000000003</v>
      </c>
      <c r="K71" s="753">
        <v>6.69</v>
      </c>
    </row>
    <row r="72" spans="2:11" x14ac:dyDescent="0.25">
      <c r="B72" s="744"/>
      <c r="C72" s="744"/>
      <c r="D72" s="744"/>
      <c r="E72" s="744"/>
      <c r="F72" s="744" t="s">
        <v>498</v>
      </c>
      <c r="G72" s="745">
        <v>12.92</v>
      </c>
      <c r="H72" s="744" t="s">
        <v>499</v>
      </c>
      <c r="I72" s="745">
        <v>0</v>
      </c>
      <c r="J72" s="744" t="s">
        <v>500</v>
      </c>
      <c r="K72" s="745">
        <v>12.92</v>
      </c>
    </row>
    <row r="73" spans="2:11" ht="16.5" thickBot="1" x14ac:dyDescent="0.3">
      <c r="B73" s="744"/>
      <c r="C73" s="744"/>
      <c r="D73" s="744"/>
      <c r="E73" s="744"/>
      <c r="F73" s="744" t="s">
        <v>501</v>
      </c>
      <c r="G73" s="745">
        <v>10.5</v>
      </c>
      <c r="H73" s="744"/>
      <c r="I73" s="746" t="s">
        <v>502</v>
      </c>
      <c r="J73" s="746"/>
      <c r="K73" s="745">
        <v>53.84</v>
      </c>
    </row>
    <row r="74" spans="2:11" ht="16.5" thickTop="1" x14ac:dyDescent="0.25">
      <c r="B74" s="757"/>
      <c r="C74" s="757"/>
      <c r="D74" s="757"/>
      <c r="E74" s="757"/>
      <c r="F74" s="757"/>
      <c r="G74" s="757"/>
      <c r="H74" s="757"/>
      <c r="I74" s="757"/>
      <c r="J74" s="757"/>
      <c r="K74" s="757"/>
    </row>
    <row r="75" spans="2:11" x14ac:dyDescent="0.25">
      <c r="B75" s="735" t="s">
        <v>974</v>
      </c>
      <c r="C75" s="736" t="s">
        <v>391</v>
      </c>
      <c r="D75" s="735" t="s">
        <v>392</v>
      </c>
      <c r="E75" s="735" t="s">
        <v>42</v>
      </c>
      <c r="F75" s="737" t="s">
        <v>39</v>
      </c>
      <c r="G75" s="737"/>
      <c r="H75" s="738" t="s">
        <v>394</v>
      </c>
      <c r="I75" s="736" t="s">
        <v>395</v>
      </c>
      <c r="J75" s="736" t="s">
        <v>396</v>
      </c>
      <c r="K75" s="736" t="s">
        <v>0</v>
      </c>
    </row>
    <row r="76" spans="2:11" ht="47.25" customHeight="1" x14ac:dyDescent="0.25">
      <c r="B76" s="739" t="s">
        <v>473</v>
      </c>
      <c r="C76" s="740" t="s">
        <v>1260</v>
      </c>
      <c r="D76" s="739" t="s">
        <v>509</v>
      </c>
      <c r="E76" s="739" t="s">
        <v>658</v>
      </c>
      <c r="F76" s="741" t="s">
        <v>659</v>
      </c>
      <c r="G76" s="741"/>
      <c r="H76" s="742" t="s">
        <v>660</v>
      </c>
      <c r="I76" s="837">
        <v>1</v>
      </c>
      <c r="J76" s="743">
        <v>1831.84</v>
      </c>
      <c r="K76" s="743">
        <v>1831.84</v>
      </c>
    </row>
    <row r="77" spans="2:11" x14ac:dyDescent="0.25">
      <c r="B77" s="749" t="s">
        <v>478</v>
      </c>
      <c r="C77" s="750" t="s">
        <v>662</v>
      </c>
      <c r="D77" s="749" t="s">
        <v>475</v>
      </c>
      <c r="E77" s="749" t="s">
        <v>1189</v>
      </c>
      <c r="F77" s="870" t="s">
        <v>1291</v>
      </c>
      <c r="G77" s="870"/>
      <c r="H77" s="751" t="s">
        <v>2</v>
      </c>
      <c r="I77" s="752">
        <v>0.95</v>
      </c>
      <c r="J77" s="753">
        <v>90.03</v>
      </c>
      <c r="K77" s="753">
        <v>85.52</v>
      </c>
    </row>
    <row r="78" spans="2:11" ht="31.5" x14ac:dyDescent="0.25">
      <c r="B78" s="749" t="s">
        <v>478</v>
      </c>
      <c r="C78" s="750" t="s">
        <v>1188</v>
      </c>
      <c r="D78" s="749" t="s">
        <v>509</v>
      </c>
      <c r="E78" s="749" t="s">
        <v>661</v>
      </c>
      <c r="F78" s="870" t="s">
        <v>477</v>
      </c>
      <c r="G78" s="870"/>
      <c r="H78" s="751" t="s">
        <v>491</v>
      </c>
      <c r="I78" s="752">
        <v>3.31</v>
      </c>
      <c r="J78" s="753">
        <v>3.22</v>
      </c>
      <c r="K78" s="753">
        <v>10.65</v>
      </c>
    </row>
    <row r="79" spans="2:11" ht="31.5" x14ac:dyDescent="0.25">
      <c r="B79" s="749" t="s">
        <v>478</v>
      </c>
      <c r="C79" s="750" t="s">
        <v>666</v>
      </c>
      <c r="D79" s="749" t="s">
        <v>475</v>
      </c>
      <c r="E79" s="749" t="s">
        <v>961</v>
      </c>
      <c r="F79" s="870" t="s">
        <v>1297</v>
      </c>
      <c r="G79" s="870"/>
      <c r="H79" s="751" t="s">
        <v>2</v>
      </c>
      <c r="I79" s="752">
        <v>0.70199999999999996</v>
      </c>
      <c r="J79" s="753">
        <v>491.72</v>
      </c>
      <c r="K79" s="753">
        <v>345.18</v>
      </c>
    </row>
    <row r="80" spans="2:11" ht="47.25" customHeight="1" x14ac:dyDescent="0.25">
      <c r="B80" s="749" t="s">
        <v>478</v>
      </c>
      <c r="C80" s="750" t="s">
        <v>669</v>
      </c>
      <c r="D80" s="749" t="s">
        <v>475</v>
      </c>
      <c r="E80" s="749" t="s">
        <v>670</v>
      </c>
      <c r="F80" s="870" t="s">
        <v>1285</v>
      </c>
      <c r="G80" s="870"/>
      <c r="H80" s="751" t="s">
        <v>564</v>
      </c>
      <c r="I80" s="752">
        <v>0.1</v>
      </c>
      <c r="J80" s="753">
        <v>276.67</v>
      </c>
      <c r="K80" s="753">
        <v>27.66</v>
      </c>
    </row>
    <row r="81" spans="2:11" ht="47.25" x14ac:dyDescent="0.25">
      <c r="B81" s="749" t="s">
        <v>478</v>
      </c>
      <c r="C81" s="750" t="s">
        <v>663</v>
      </c>
      <c r="D81" s="749" t="s">
        <v>475</v>
      </c>
      <c r="E81" s="749" t="s">
        <v>664</v>
      </c>
      <c r="F81" s="870" t="s">
        <v>1298</v>
      </c>
      <c r="G81" s="870"/>
      <c r="H81" s="751" t="s">
        <v>1</v>
      </c>
      <c r="I81" s="752">
        <v>3.04</v>
      </c>
      <c r="J81" s="753">
        <v>80.81</v>
      </c>
      <c r="K81" s="753">
        <v>245.66</v>
      </c>
    </row>
    <row r="82" spans="2:11" ht="31.5" customHeight="1" x14ac:dyDescent="0.25">
      <c r="B82" s="749" t="s">
        <v>478</v>
      </c>
      <c r="C82" s="750" t="s">
        <v>618</v>
      </c>
      <c r="D82" s="749" t="s">
        <v>475</v>
      </c>
      <c r="E82" s="749" t="s">
        <v>1501</v>
      </c>
      <c r="F82" s="870" t="s">
        <v>1292</v>
      </c>
      <c r="G82" s="870"/>
      <c r="H82" s="751" t="s">
        <v>1</v>
      </c>
      <c r="I82" s="752">
        <v>2.06</v>
      </c>
      <c r="J82" s="753">
        <v>7.78</v>
      </c>
      <c r="K82" s="753">
        <v>16.02</v>
      </c>
    </row>
    <row r="83" spans="2:11" ht="47.25" x14ac:dyDescent="0.25">
      <c r="B83" s="749" t="s">
        <v>478</v>
      </c>
      <c r="C83" s="750" t="s">
        <v>672</v>
      </c>
      <c r="D83" s="749" t="s">
        <v>475</v>
      </c>
      <c r="E83" s="749" t="s">
        <v>963</v>
      </c>
      <c r="F83" s="870" t="s">
        <v>1296</v>
      </c>
      <c r="G83" s="870"/>
      <c r="H83" s="751" t="s">
        <v>495</v>
      </c>
      <c r="I83" s="752">
        <v>0.92</v>
      </c>
      <c r="J83" s="753">
        <v>16.920000000000002</v>
      </c>
      <c r="K83" s="753">
        <v>15.56</v>
      </c>
    </row>
    <row r="84" spans="2:11" ht="30" customHeight="1" x14ac:dyDescent="0.25">
      <c r="B84" s="749" t="s">
        <v>478</v>
      </c>
      <c r="C84" s="750" t="s">
        <v>667</v>
      </c>
      <c r="D84" s="749" t="s">
        <v>475</v>
      </c>
      <c r="E84" s="749" t="s">
        <v>668</v>
      </c>
      <c r="F84" s="870" t="s">
        <v>1295</v>
      </c>
      <c r="G84" s="870"/>
      <c r="H84" s="751" t="s">
        <v>2</v>
      </c>
      <c r="I84" s="752">
        <v>0.70199999999999996</v>
      </c>
      <c r="J84" s="753">
        <v>308.54000000000002</v>
      </c>
      <c r="K84" s="753">
        <v>216.59</v>
      </c>
    </row>
    <row r="85" spans="2:11" ht="30" customHeight="1" x14ac:dyDescent="0.25">
      <c r="B85" s="749" t="s">
        <v>478</v>
      </c>
      <c r="C85" s="750" t="s">
        <v>675</v>
      </c>
      <c r="D85" s="749" t="s">
        <v>475</v>
      </c>
      <c r="E85" s="749" t="s">
        <v>964</v>
      </c>
      <c r="F85" s="870" t="s">
        <v>1296</v>
      </c>
      <c r="G85" s="870"/>
      <c r="H85" s="751" t="s">
        <v>495</v>
      </c>
      <c r="I85" s="752">
        <v>2.79</v>
      </c>
      <c r="J85" s="753">
        <v>15.3</v>
      </c>
      <c r="K85" s="753">
        <v>42.68</v>
      </c>
    </row>
    <row r="86" spans="2:11" x14ac:dyDescent="0.25">
      <c r="B86" s="749" t="s">
        <v>487</v>
      </c>
      <c r="C86" s="750" t="s">
        <v>1299</v>
      </c>
      <c r="D86" s="749" t="s">
        <v>509</v>
      </c>
      <c r="E86" s="749" t="s">
        <v>1300</v>
      </c>
      <c r="F86" s="870" t="s">
        <v>490</v>
      </c>
      <c r="G86" s="870"/>
      <c r="H86" s="751" t="s">
        <v>37</v>
      </c>
      <c r="I86" s="752">
        <v>1</v>
      </c>
      <c r="J86" s="753">
        <v>826.32</v>
      </c>
      <c r="K86" s="753">
        <v>826.32</v>
      </c>
    </row>
    <row r="87" spans="2:11" x14ac:dyDescent="0.25">
      <c r="B87" s="744"/>
      <c r="C87" s="744"/>
      <c r="D87" s="744"/>
      <c r="E87" s="744"/>
      <c r="F87" s="744" t="s">
        <v>498</v>
      </c>
      <c r="G87" s="745">
        <v>386.6</v>
      </c>
      <c r="H87" s="744" t="s">
        <v>499</v>
      </c>
      <c r="I87" s="745">
        <v>0</v>
      </c>
      <c r="J87" s="744" t="s">
        <v>500</v>
      </c>
      <c r="K87" s="745">
        <v>386.6</v>
      </c>
    </row>
    <row r="88" spans="2:11" ht="16.5" thickBot="1" x14ac:dyDescent="0.3">
      <c r="B88" s="744"/>
      <c r="C88" s="744"/>
      <c r="D88" s="744"/>
      <c r="E88" s="744"/>
      <c r="F88" s="744" t="s">
        <v>501</v>
      </c>
      <c r="G88" s="745">
        <v>443.85</v>
      </c>
      <c r="H88" s="744"/>
      <c r="I88" s="746" t="s">
        <v>502</v>
      </c>
      <c r="J88" s="746"/>
      <c r="K88" s="745">
        <v>2275.69</v>
      </c>
    </row>
    <row r="89" spans="2:11" ht="16.5" thickTop="1" x14ac:dyDescent="0.25">
      <c r="B89" s="757"/>
      <c r="C89" s="757"/>
      <c r="D89" s="757"/>
      <c r="E89" s="757"/>
      <c r="F89" s="757"/>
      <c r="G89" s="757"/>
      <c r="H89" s="757"/>
      <c r="I89" s="757"/>
      <c r="J89" s="757"/>
      <c r="K89" s="757"/>
    </row>
    <row r="90" spans="2:11" x14ac:dyDescent="0.25">
      <c r="B90" s="735" t="s">
        <v>975</v>
      </c>
      <c r="C90" s="736" t="s">
        <v>391</v>
      </c>
      <c r="D90" s="735" t="s">
        <v>392</v>
      </c>
      <c r="E90" s="735" t="s">
        <v>42</v>
      </c>
      <c r="F90" s="737" t="s">
        <v>39</v>
      </c>
      <c r="G90" s="737"/>
      <c r="H90" s="738" t="s">
        <v>394</v>
      </c>
      <c r="I90" s="736" t="s">
        <v>395</v>
      </c>
      <c r="J90" s="736" t="s">
        <v>396</v>
      </c>
      <c r="K90" s="736" t="s">
        <v>0</v>
      </c>
    </row>
    <row r="91" spans="2:11" ht="31.5" x14ac:dyDescent="0.25">
      <c r="B91" s="739" t="s">
        <v>473</v>
      </c>
      <c r="C91" s="740" t="s">
        <v>1261</v>
      </c>
      <c r="D91" s="739" t="s">
        <v>509</v>
      </c>
      <c r="E91" s="739" t="s">
        <v>1262</v>
      </c>
      <c r="F91" s="741" t="s">
        <v>483</v>
      </c>
      <c r="G91" s="741"/>
      <c r="H91" s="742" t="s">
        <v>213</v>
      </c>
      <c r="I91" s="837">
        <v>1</v>
      </c>
      <c r="J91" s="743">
        <v>3569.1</v>
      </c>
      <c r="K91" s="743">
        <v>3569.1</v>
      </c>
    </row>
    <row r="92" spans="2:11" ht="30" customHeight="1" x14ac:dyDescent="0.25">
      <c r="B92" s="749" t="s">
        <v>478</v>
      </c>
      <c r="C92" s="750" t="s">
        <v>667</v>
      </c>
      <c r="D92" s="749" t="s">
        <v>475</v>
      </c>
      <c r="E92" s="749" t="s">
        <v>668</v>
      </c>
      <c r="F92" s="870" t="s">
        <v>1295</v>
      </c>
      <c r="G92" s="870"/>
      <c r="H92" s="751" t="s">
        <v>2</v>
      </c>
      <c r="I92" s="752">
        <v>1.272</v>
      </c>
      <c r="J92" s="753">
        <v>308.54000000000002</v>
      </c>
      <c r="K92" s="753">
        <v>392.46</v>
      </c>
    </row>
    <row r="93" spans="2:11" x14ac:dyDescent="0.25">
      <c r="B93" s="749" t="s">
        <v>478</v>
      </c>
      <c r="C93" s="750" t="s">
        <v>662</v>
      </c>
      <c r="D93" s="749" t="s">
        <v>475</v>
      </c>
      <c r="E93" s="749" t="s">
        <v>1189</v>
      </c>
      <c r="F93" s="870" t="s">
        <v>1291</v>
      </c>
      <c r="G93" s="870"/>
      <c r="H93" s="751" t="s">
        <v>2</v>
      </c>
      <c r="I93" s="752">
        <v>1.91</v>
      </c>
      <c r="J93" s="753">
        <v>90.03</v>
      </c>
      <c r="K93" s="753">
        <v>171.95</v>
      </c>
    </row>
    <row r="94" spans="2:11" ht="47.25" customHeight="1" x14ac:dyDescent="0.25">
      <c r="B94" s="749" t="s">
        <v>478</v>
      </c>
      <c r="C94" s="750" t="s">
        <v>669</v>
      </c>
      <c r="D94" s="749" t="s">
        <v>475</v>
      </c>
      <c r="E94" s="749" t="s">
        <v>670</v>
      </c>
      <c r="F94" s="870" t="s">
        <v>1285</v>
      </c>
      <c r="G94" s="870"/>
      <c r="H94" s="751" t="s">
        <v>564</v>
      </c>
      <c r="I94" s="752">
        <v>0.1</v>
      </c>
      <c r="J94" s="753">
        <v>276.67</v>
      </c>
      <c r="K94" s="753">
        <v>27.66</v>
      </c>
    </row>
    <row r="95" spans="2:11" ht="47.25" x14ac:dyDescent="0.25">
      <c r="B95" s="749" t="s">
        <v>478</v>
      </c>
      <c r="C95" s="750" t="s">
        <v>675</v>
      </c>
      <c r="D95" s="749" t="s">
        <v>475</v>
      </c>
      <c r="E95" s="749" t="s">
        <v>964</v>
      </c>
      <c r="F95" s="870" t="s">
        <v>1296</v>
      </c>
      <c r="G95" s="870"/>
      <c r="H95" s="751" t="s">
        <v>495</v>
      </c>
      <c r="I95" s="752">
        <v>4.41</v>
      </c>
      <c r="J95" s="753">
        <v>15.3</v>
      </c>
      <c r="K95" s="753">
        <v>67.47</v>
      </c>
    </row>
    <row r="96" spans="2:11" ht="31.5" x14ac:dyDescent="0.25">
      <c r="B96" s="749" t="s">
        <v>478</v>
      </c>
      <c r="C96" s="750" t="s">
        <v>666</v>
      </c>
      <c r="D96" s="749" t="s">
        <v>475</v>
      </c>
      <c r="E96" s="749" t="s">
        <v>961</v>
      </c>
      <c r="F96" s="870" t="s">
        <v>1297</v>
      </c>
      <c r="G96" s="870"/>
      <c r="H96" s="751" t="s">
        <v>2</v>
      </c>
      <c r="I96" s="752">
        <v>1.272</v>
      </c>
      <c r="J96" s="753">
        <v>491.72</v>
      </c>
      <c r="K96" s="753">
        <v>625.46</v>
      </c>
    </row>
    <row r="97" spans="2:11" ht="31.5" customHeight="1" x14ac:dyDescent="0.25">
      <c r="B97" s="749" t="s">
        <v>478</v>
      </c>
      <c r="C97" s="750" t="s">
        <v>618</v>
      </c>
      <c r="D97" s="749" t="s">
        <v>475</v>
      </c>
      <c r="E97" s="749" t="s">
        <v>1501</v>
      </c>
      <c r="F97" s="870" t="s">
        <v>1292</v>
      </c>
      <c r="G97" s="870"/>
      <c r="H97" s="751" t="s">
        <v>1</v>
      </c>
      <c r="I97" s="752">
        <v>3.02</v>
      </c>
      <c r="J97" s="753">
        <v>7.78</v>
      </c>
      <c r="K97" s="753">
        <v>23.49</v>
      </c>
    </row>
    <row r="98" spans="2:11" ht="47.25" x14ac:dyDescent="0.25">
      <c r="B98" s="749" t="s">
        <v>478</v>
      </c>
      <c r="C98" s="750" t="s">
        <v>672</v>
      </c>
      <c r="D98" s="749" t="s">
        <v>475</v>
      </c>
      <c r="E98" s="749" t="s">
        <v>963</v>
      </c>
      <c r="F98" s="870" t="s">
        <v>1296</v>
      </c>
      <c r="G98" s="870"/>
      <c r="H98" s="751" t="s">
        <v>495</v>
      </c>
      <c r="I98" s="752">
        <v>2.5299999999999998</v>
      </c>
      <c r="J98" s="753">
        <v>16.920000000000002</v>
      </c>
      <c r="K98" s="753">
        <v>42.8</v>
      </c>
    </row>
    <row r="99" spans="2:11" ht="47.25" x14ac:dyDescent="0.25">
      <c r="B99" s="749" t="s">
        <v>478</v>
      </c>
      <c r="C99" s="750" t="s">
        <v>671</v>
      </c>
      <c r="D99" s="749" t="s">
        <v>475</v>
      </c>
      <c r="E99" s="749" t="s">
        <v>962</v>
      </c>
      <c r="F99" s="870" t="s">
        <v>1296</v>
      </c>
      <c r="G99" s="870"/>
      <c r="H99" s="751" t="s">
        <v>495</v>
      </c>
      <c r="I99" s="752">
        <v>1.48</v>
      </c>
      <c r="J99" s="753">
        <v>13.85</v>
      </c>
      <c r="K99" s="753">
        <v>20.49</v>
      </c>
    </row>
    <row r="100" spans="2:11" ht="31.5" x14ac:dyDescent="0.25">
      <c r="B100" s="749" t="s">
        <v>478</v>
      </c>
      <c r="C100" s="750" t="s">
        <v>676</v>
      </c>
      <c r="D100" s="749" t="s">
        <v>475</v>
      </c>
      <c r="E100" s="749" t="s">
        <v>677</v>
      </c>
      <c r="F100" s="870" t="s">
        <v>1411</v>
      </c>
      <c r="G100" s="870"/>
      <c r="H100" s="751" t="s">
        <v>1</v>
      </c>
      <c r="I100" s="752">
        <v>4.51</v>
      </c>
      <c r="J100" s="753">
        <v>22.54</v>
      </c>
      <c r="K100" s="753">
        <v>101.65</v>
      </c>
    </row>
    <row r="101" spans="2:11" ht="47.25" x14ac:dyDescent="0.25">
      <c r="B101" s="749" t="s">
        <v>478</v>
      </c>
      <c r="C101" s="750" t="s">
        <v>673</v>
      </c>
      <c r="D101" s="749" t="s">
        <v>475</v>
      </c>
      <c r="E101" s="749" t="s">
        <v>674</v>
      </c>
      <c r="F101" s="870" t="s">
        <v>1298</v>
      </c>
      <c r="G101" s="870"/>
      <c r="H101" s="751" t="s">
        <v>1</v>
      </c>
      <c r="I101" s="752">
        <v>6.36</v>
      </c>
      <c r="J101" s="753">
        <v>69.66</v>
      </c>
      <c r="K101" s="753">
        <v>443.03</v>
      </c>
    </row>
    <row r="102" spans="2:11" x14ac:dyDescent="0.25">
      <c r="B102" s="749" t="s">
        <v>487</v>
      </c>
      <c r="C102" s="750" t="s">
        <v>1299</v>
      </c>
      <c r="D102" s="749" t="s">
        <v>509</v>
      </c>
      <c r="E102" s="749" t="s">
        <v>1300</v>
      </c>
      <c r="F102" s="870" t="s">
        <v>490</v>
      </c>
      <c r="G102" s="870"/>
      <c r="H102" s="751" t="s">
        <v>37</v>
      </c>
      <c r="I102" s="752">
        <v>2</v>
      </c>
      <c r="J102" s="753">
        <v>826.32</v>
      </c>
      <c r="K102" s="753">
        <v>1652.64</v>
      </c>
    </row>
    <row r="103" spans="2:11" x14ac:dyDescent="0.25">
      <c r="B103" s="744"/>
      <c r="C103" s="744"/>
      <c r="D103" s="744"/>
      <c r="E103" s="744"/>
      <c r="F103" s="744" t="s">
        <v>498</v>
      </c>
      <c r="G103" s="745">
        <v>732.53</v>
      </c>
      <c r="H103" s="744" t="s">
        <v>499</v>
      </c>
      <c r="I103" s="745">
        <v>0</v>
      </c>
      <c r="J103" s="744" t="s">
        <v>500</v>
      </c>
      <c r="K103" s="745">
        <v>732.53</v>
      </c>
    </row>
    <row r="104" spans="2:11" ht="16.5" thickBot="1" x14ac:dyDescent="0.3">
      <c r="B104" s="744"/>
      <c r="C104" s="744"/>
      <c r="D104" s="744"/>
      <c r="E104" s="744"/>
      <c r="F104" s="744" t="s">
        <v>501</v>
      </c>
      <c r="G104" s="745">
        <v>864.79</v>
      </c>
      <c r="H104" s="744"/>
      <c r="I104" s="746" t="s">
        <v>502</v>
      </c>
      <c r="J104" s="746"/>
      <c r="K104" s="745">
        <v>4433.8900000000003</v>
      </c>
    </row>
    <row r="105" spans="2:11" ht="16.5" thickTop="1" x14ac:dyDescent="0.25">
      <c r="B105" s="757"/>
      <c r="C105" s="757"/>
      <c r="D105" s="757"/>
      <c r="E105" s="757"/>
      <c r="F105" s="757"/>
      <c r="G105" s="757"/>
      <c r="H105" s="757"/>
      <c r="I105" s="757"/>
      <c r="J105" s="757"/>
      <c r="K105" s="757"/>
    </row>
    <row r="106" spans="2:11" x14ac:dyDescent="0.25">
      <c r="B106" s="735" t="s">
        <v>1193</v>
      </c>
      <c r="C106" s="736" t="s">
        <v>391</v>
      </c>
      <c r="D106" s="735" t="s">
        <v>392</v>
      </c>
      <c r="E106" s="735" t="s">
        <v>42</v>
      </c>
      <c r="F106" s="737" t="s">
        <v>39</v>
      </c>
      <c r="G106" s="737"/>
      <c r="H106" s="738" t="s">
        <v>394</v>
      </c>
      <c r="I106" s="736" t="s">
        <v>395</v>
      </c>
      <c r="J106" s="736" t="s">
        <v>396</v>
      </c>
      <c r="K106" s="736" t="s">
        <v>0</v>
      </c>
    </row>
    <row r="107" spans="2:11" ht="31.5" x14ac:dyDescent="0.25">
      <c r="B107" s="739" t="s">
        <v>473</v>
      </c>
      <c r="C107" s="740" t="s">
        <v>1263</v>
      </c>
      <c r="D107" s="739" t="s">
        <v>509</v>
      </c>
      <c r="E107" s="739" t="s">
        <v>1264</v>
      </c>
      <c r="F107" s="741" t="s">
        <v>483</v>
      </c>
      <c r="G107" s="741"/>
      <c r="H107" s="742" t="s">
        <v>213</v>
      </c>
      <c r="I107" s="837">
        <v>1</v>
      </c>
      <c r="J107" s="743">
        <v>5214.9399999999996</v>
      </c>
      <c r="K107" s="743">
        <v>5214.9399999999996</v>
      </c>
    </row>
    <row r="108" spans="2:11" ht="31.5" customHeight="1" x14ac:dyDescent="0.25">
      <c r="B108" s="749" t="s">
        <v>478</v>
      </c>
      <c r="C108" s="750" t="s">
        <v>667</v>
      </c>
      <c r="D108" s="749" t="s">
        <v>475</v>
      </c>
      <c r="E108" s="749" t="s">
        <v>668</v>
      </c>
      <c r="F108" s="870" t="s">
        <v>1295</v>
      </c>
      <c r="G108" s="870"/>
      <c r="H108" s="751" t="s">
        <v>2</v>
      </c>
      <c r="I108" s="752">
        <v>1.8149999999999999</v>
      </c>
      <c r="J108" s="753">
        <v>308.54000000000002</v>
      </c>
      <c r="K108" s="753">
        <v>560</v>
      </c>
    </row>
    <row r="109" spans="2:11" ht="47.25" x14ac:dyDescent="0.25">
      <c r="B109" s="749" t="s">
        <v>478</v>
      </c>
      <c r="C109" s="750" t="s">
        <v>672</v>
      </c>
      <c r="D109" s="749" t="s">
        <v>475</v>
      </c>
      <c r="E109" s="749" t="s">
        <v>963</v>
      </c>
      <c r="F109" s="870" t="s">
        <v>1296</v>
      </c>
      <c r="G109" s="870"/>
      <c r="H109" s="751" t="s">
        <v>495</v>
      </c>
      <c r="I109" s="752">
        <v>4.2300000000000004</v>
      </c>
      <c r="J109" s="753">
        <v>16.920000000000002</v>
      </c>
      <c r="K109" s="753">
        <v>71.569999999999993</v>
      </c>
    </row>
    <row r="110" spans="2:11" ht="31.5" x14ac:dyDescent="0.25">
      <c r="B110" s="749" t="s">
        <v>478</v>
      </c>
      <c r="C110" s="750" t="s">
        <v>666</v>
      </c>
      <c r="D110" s="749" t="s">
        <v>475</v>
      </c>
      <c r="E110" s="749" t="s">
        <v>961</v>
      </c>
      <c r="F110" s="870" t="s">
        <v>1297</v>
      </c>
      <c r="G110" s="870"/>
      <c r="H110" s="751" t="s">
        <v>2</v>
      </c>
      <c r="I110" s="752">
        <v>1.8149999999999999</v>
      </c>
      <c r="J110" s="753">
        <v>491.72</v>
      </c>
      <c r="K110" s="753">
        <v>892.47</v>
      </c>
    </row>
    <row r="111" spans="2:11" ht="30" customHeight="1" x14ac:dyDescent="0.25">
      <c r="B111" s="749" t="s">
        <v>478</v>
      </c>
      <c r="C111" s="750" t="s">
        <v>675</v>
      </c>
      <c r="D111" s="749" t="s">
        <v>475</v>
      </c>
      <c r="E111" s="749" t="s">
        <v>964</v>
      </c>
      <c r="F111" s="870" t="s">
        <v>1296</v>
      </c>
      <c r="G111" s="870"/>
      <c r="H111" s="751" t="s">
        <v>495</v>
      </c>
      <c r="I111" s="752">
        <v>6.03</v>
      </c>
      <c r="J111" s="753">
        <v>15.3</v>
      </c>
      <c r="K111" s="753">
        <v>92.25</v>
      </c>
    </row>
    <row r="112" spans="2:11" ht="31.5" customHeight="1" x14ac:dyDescent="0.25">
      <c r="B112" s="749" t="s">
        <v>478</v>
      </c>
      <c r="C112" s="750" t="s">
        <v>618</v>
      </c>
      <c r="D112" s="749" t="s">
        <v>475</v>
      </c>
      <c r="E112" s="749" t="s">
        <v>1501</v>
      </c>
      <c r="F112" s="870" t="s">
        <v>1292</v>
      </c>
      <c r="G112" s="870"/>
      <c r="H112" s="751" t="s">
        <v>1</v>
      </c>
      <c r="I112" s="752">
        <v>3.98</v>
      </c>
      <c r="J112" s="753">
        <v>7.78</v>
      </c>
      <c r="K112" s="753">
        <v>30.96</v>
      </c>
    </row>
    <row r="113" spans="2:11" ht="31.5" x14ac:dyDescent="0.25">
      <c r="B113" s="749" t="s">
        <v>478</v>
      </c>
      <c r="C113" s="750" t="s">
        <v>676</v>
      </c>
      <c r="D113" s="749" t="s">
        <v>475</v>
      </c>
      <c r="E113" s="749" t="s">
        <v>677</v>
      </c>
      <c r="F113" s="870" t="s">
        <v>1411</v>
      </c>
      <c r="G113" s="870"/>
      <c r="H113" s="751" t="s">
        <v>1</v>
      </c>
      <c r="I113" s="752">
        <v>5.71</v>
      </c>
      <c r="J113" s="753">
        <v>22.54</v>
      </c>
      <c r="K113" s="753">
        <v>128.69999999999999</v>
      </c>
    </row>
    <row r="114" spans="2:11" ht="47.25" x14ac:dyDescent="0.25">
      <c r="B114" s="749" t="s">
        <v>478</v>
      </c>
      <c r="C114" s="750" t="s">
        <v>673</v>
      </c>
      <c r="D114" s="749" t="s">
        <v>475</v>
      </c>
      <c r="E114" s="749" t="s">
        <v>674</v>
      </c>
      <c r="F114" s="870" t="s">
        <v>1298</v>
      </c>
      <c r="G114" s="870"/>
      <c r="H114" s="751" t="s">
        <v>1</v>
      </c>
      <c r="I114" s="752">
        <v>9.1</v>
      </c>
      <c r="J114" s="753">
        <v>69.66</v>
      </c>
      <c r="K114" s="753">
        <v>633.9</v>
      </c>
    </row>
    <row r="115" spans="2:11" ht="47.25" customHeight="1" x14ac:dyDescent="0.25">
      <c r="B115" s="749" t="s">
        <v>478</v>
      </c>
      <c r="C115" s="750" t="s">
        <v>669</v>
      </c>
      <c r="D115" s="749" t="s">
        <v>475</v>
      </c>
      <c r="E115" s="749" t="s">
        <v>670</v>
      </c>
      <c r="F115" s="870" t="s">
        <v>1285</v>
      </c>
      <c r="G115" s="870"/>
      <c r="H115" s="751" t="s">
        <v>564</v>
      </c>
      <c r="I115" s="752">
        <v>0.1</v>
      </c>
      <c r="J115" s="753">
        <v>276.67</v>
      </c>
      <c r="K115" s="753">
        <v>27.66</v>
      </c>
    </row>
    <row r="116" spans="2:11" x14ac:dyDescent="0.25">
      <c r="B116" s="749" t="s">
        <v>478</v>
      </c>
      <c r="C116" s="750" t="s">
        <v>662</v>
      </c>
      <c r="D116" s="749" t="s">
        <v>475</v>
      </c>
      <c r="E116" s="749" t="s">
        <v>1189</v>
      </c>
      <c r="F116" s="870" t="s">
        <v>1291</v>
      </c>
      <c r="G116" s="870"/>
      <c r="H116" s="751" t="s">
        <v>2</v>
      </c>
      <c r="I116" s="752">
        <v>2.86</v>
      </c>
      <c r="J116" s="753">
        <v>90.03</v>
      </c>
      <c r="K116" s="753">
        <v>257.48</v>
      </c>
    </row>
    <row r="117" spans="2:11" ht="30" customHeight="1" x14ac:dyDescent="0.25">
      <c r="B117" s="749" t="s">
        <v>478</v>
      </c>
      <c r="C117" s="750" t="s">
        <v>671</v>
      </c>
      <c r="D117" s="749" t="s">
        <v>475</v>
      </c>
      <c r="E117" s="749" t="s">
        <v>962</v>
      </c>
      <c r="F117" s="870" t="s">
        <v>1296</v>
      </c>
      <c r="G117" s="870"/>
      <c r="H117" s="751" t="s">
        <v>495</v>
      </c>
      <c r="I117" s="752">
        <v>2.96</v>
      </c>
      <c r="J117" s="753">
        <v>13.85</v>
      </c>
      <c r="K117" s="753">
        <v>40.99</v>
      </c>
    </row>
    <row r="118" spans="2:11" s="560" customFormat="1" x14ac:dyDescent="0.2">
      <c r="B118" s="749" t="s">
        <v>487</v>
      </c>
      <c r="C118" s="750" t="s">
        <v>1299</v>
      </c>
      <c r="D118" s="749" t="s">
        <v>509</v>
      </c>
      <c r="E118" s="749" t="s">
        <v>1300</v>
      </c>
      <c r="F118" s="870" t="s">
        <v>490</v>
      </c>
      <c r="G118" s="870"/>
      <c r="H118" s="751" t="s">
        <v>37</v>
      </c>
      <c r="I118" s="752">
        <v>3</v>
      </c>
      <c r="J118" s="753">
        <v>826.32</v>
      </c>
      <c r="K118" s="753">
        <v>2478.96</v>
      </c>
    </row>
    <row r="119" spans="2:11" s="560" customFormat="1" x14ac:dyDescent="0.2">
      <c r="B119" s="744"/>
      <c r="C119" s="744"/>
      <c r="D119" s="744"/>
      <c r="E119" s="744"/>
      <c r="F119" s="744" t="s">
        <v>498</v>
      </c>
      <c r="G119" s="745">
        <v>1050.25</v>
      </c>
      <c r="H119" s="744" t="s">
        <v>499</v>
      </c>
      <c r="I119" s="745">
        <v>0</v>
      </c>
      <c r="J119" s="744" t="s">
        <v>500</v>
      </c>
      <c r="K119" s="745">
        <v>1050.25</v>
      </c>
    </row>
    <row r="120" spans="2:11" s="560" customFormat="1" ht="16.5" thickBot="1" x14ac:dyDescent="0.25">
      <c r="B120" s="744"/>
      <c r="C120" s="744"/>
      <c r="D120" s="744"/>
      <c r="E120" s="744"/>
      <c r="F120" s="744" t="s">
        <v>501</v>
      </c>
      <c r="G120" s="745">
        <v>1263.57</v>
      </c>
      <c r="H120" s="744"/>
      <c r="I120" s="746" t="s">
        <v>502</v>
      </c>
      <c r="J120" s="746"/>
      <c r="K120" s="745">
        <v>6478.51</v>
      </c>
    </row>
    <row r="121" spans="2:11" ht="16.5" thickTop="1" x14ac:dyDescent="0.25">
      <c r="B121" s="757"/>
      <c r="C121" s="757"/>
      <c r="D121" s="757"/>
      <c r="E121" s="757"/>
      <c r="F121" s="757"/>
      <c r="G121" s="757"/>
      <c r="H121" s="757"/>
      <c r="I121" s="757"/>
      <c r="J121" s="757"/>
      <c r="K121" s="757"/>
    </row>
    <row r="122" spans="2:11" x14ac:dyDescent="0.25">
      <c r="B122" s="735" t="s">
        <v>1197</v>
      </c>
      <c r="C122" s="736" t="s">
        <v>391</v>
      </c>
      <c r="D122" s="735" t="s">
        <v>392</v>
      </c>
      <c r="E122" s="735" t="s">
        <v>42</v>
      </c>
      <c r="F122" s="737" t="s">
        <v>39</v>
      </c>
      <c r="G122" s="737"/>
      <c r="H122" s="738" t="s">
        <v>394</v>
      </c>
      <c r="I122" s="736" t="s">
        <v>395</v>
      </c>
      <c r="J122" s="736" t="s">
        <v>396</v>
      </c>
      <c r="K122" s="736" t="s">
        <v>0</v>
      </c>
    </row>
    <row r="123" spans="2:11" ht="63" x14ac:dyDescent="0.25">
      <c r="B123" s="739" t="s">
        <v>473</v>
      </c>
      <c r="C123" s="740" t="s">
        <v>678</v>
      </c>
      <c r="D123" s="739" t="s">
        <v>509</v>
      </c>
      <c r="E123" s="739" t="s">
        <v>679</v>
      </c>
      <c r="F123" s="741" t="s">
        <v>483</v>
      </c>
      <c r="G123" s="741"/>
      <c r="H123" s="742" t="s">
        <v>213</v>
      </c>
      <c r="I123" s="837">
        <v>1</v>
      </c>
      <c r="J123" s="743">
        <v>5472.65</v>
      </c>
      <c r="K123" s="743">
        <v>5472.65</v>
      </c>
    </row>
    <row r="124" spans="2:11" ht="31.5" x14ac:dyDescent="0.25">
      <c r="B124" s="749" t="s">
        <v>478</v>
      </c>
      <c r="C124" s="750" t="s">
        <v>666</v>
      </c>
      <c r="D124" s="749" t="s">
        <v>475</v>
      </c>
      <c r="E124" s="749" t="s">
        <v>961</v>
      </c>
      <c r="F124" s="870" t="s">
        <v>1297</v>
      </c>
      <c r="G124" s="870"/>
      <c r="H124" s="751" t="s">
        <v>2</v>
      </c>
      <c r="I124" s="752">
        <v>0.64</v>
      </c>
      <c r="J124" s="753">
        <v>491.72</v>
      </c>
      <c r="K124" s="753">
        <v>314.7</v>
      </c>
    </row>
    <row r="125" spans="2:11" ht="15" customHeight="1" x14ac:dyDescent="0.25">
      <c r="B125" s="749" t="s">
        <v>478</v>
      </c>
      <c r="C125" s="750" t="s">
        <v>682</v>
      </c>
      <c r="D125" s="749" t="s">
        <v>475</v>
      </c>
      <c r="E125" s="749" t="s">
        <v>966</v>
      </c>
      <c r="F125" s="870" t="s">
        <v>1293</v>
      </c>
      <c r="G125" s="870"/>
      <c r="H125" s="751" t="s">
        <v>2</v>
      </c>
      <c r="I125" s="752">
        <v>1.1499999999999999</v>
      </c>
      <c r="J125" s="753">
        <v>27.31</v>
      </c>
      <c r="K125" s="753">
        <v>31.4</v>
      </c>
    </row>
    <row r="126" spans="2:11" ht="31.5" x14ac:dyDescent="0.25">
      <c r="B126" s="749" t="s">
        <v>478</v>
      </c>
      <c r="C126" s="750" t="s">
        <v>680</v>
      </c>
      <c r="D126" s="749" t="s">
        <v>475</v>
      </c>
      <c r="E126" s="749" t="s">
        <v>1301</v>
      </c>
      <c r="F126" s="870" t="s">
        <v>1302</v>
      </c>
      <c r="G126" s="870"/>
      <c r="H126" s="751" t="s">
        <v>1</v>
      </c>
      <c r="I126" s="752">
        <v>11.4</v>
      </c>
      <c r="J126" s="753">
        <v>5.03</v>
      </c>
      <c r="K126" s="753">
        <v>57.34</v>
      </c>
    </row>
    <row r="127" spans="2:11" x14ac:dyDescent="0.25">
      <c r="B127" s="749" t="s">
        <v>478</v>
      </c>
      <c r="C127" s="750" t="s">
        <v>662</v>
      </c>
      <c r="D127" s="749" t="s">
        <v>475</v>
      </c>
      <c r="E127" s="749" t="s">
        <v>1189</v>
      </c>
      <c r="F127" s="870" t="s">
        <v>1291</v>
      </c>
      <c r="G127" s="870"/>
      <c r="H127" s="751" t="s">
        <v>2</v>
      </c>
      <c r="I127" s="752">
        <v>1.3</v>
      </c>
      <c r="J127" s="753">
        <v>90.03</v>
      </c>
      <c r="K127" s="753">
        <v>117.03</v>
      </c>
    </row>
    <row r="128" spans="2:11" ht="31.5" x14ac:dyDescent="0.25">
      <c r="B128" s="749" t="s">
        <v>478</v>
      </c>
      <c r="C128" s="750" t="s">
        <v>681</v>
      </c>
      <c r="D128" s="749" t="s">
        <v>475</v>
      </c>
      <c r="E128" s="749" t="s">
        <v>965</v>
      </c>
      <c r="F128" s="870" t="s">
        <v>1297</v>
      </c>
      <c r="G128" s="870"/>
      <c r="H128" s="751" t="s">
        <v>2</v>
      </c>
      <c r="I128" s="752">
        <v>1.74</v>
      </c>
      <c r="J128" s="753">
        <v>444.93</v>
      </c>
      <c r="K128" s="753">
        <v>774.17</v>
      </c>
    </row>
    <row r="129" spans="2:11" ht="30" customHeight="1" x14ac:dyDescent="0.25">
      <c r="B129" s="749" t="s">
        <v>478</v>
      </c>
      <c r="C129" s="750" t="s">
        <v>675</v>
      </c>
      <c r="D129" s="749" t="s">
        <v>475</v>
      </c>
      <c r="E129" s="749" t="s">
        <v>964</v>
      </c>
      <c r="F129" s="870" t="s">
        <v>1296</v>
      </c>
      <c r="G129" s="870"/>
      <c r="H129" s="751" t="s">
        <v>495</v>
      </c>
      <c r="I129" s="752">
        <v>60</v>
      </c>
      <c r="J129" s="753">
        <v>15.3</v>
      </c>
      <c r="K129" s="753">
        <v>918</v>
      </c>
    </row>
    <row r="130" spans="2:11" ht="30" customHeight="1" x14ac:dyDescent="0.25">
      <c r="B130" s="749" t="s">
        <v>478</v>
      </c>
      <c r="C130" s="750" t="s">
        <v>685</v>
      </c>
      <c r="D130" s="749" t="s">
        <v>475</v>
      </c>
      <c r="E130" s="749" t="s">
        <v>1505</v>
      </c>
      <c r="F130" s="870" t="s">
        <v>1292</v>
      </c>
      <c r="G130" s="870"/>
      <c r="H130" s="751" t="s">
        <v>2</v>
      </c>
      <c r="I130" s="752">
        <v>1.02</v>
      </c>
      <c r="J130" s="753">
        <v>241.86</v>
      </c>
      <c r="K130" s="753">
        <v>246.69</v>
      </c>
    </row>
    <row r="131" spans="2:11" ht="47.25" x14ac:dyDescent="0.25">
      <c r="B131" s="749" t="s">
        <v>478</v>
      </c>
      <c r="C131" s="750" t="s">
        <v>683</v>
      </c>
      <c r="D131" s="749" t="s">
        <v>475</v>
      </c>
      <c r="E131" s="749" t="s">
        <v>684</v>
      </c>
      <c r="F131" s="870" t="s">
        <v>1303</v>
      </c>
      <c r="G131" s="870"/>
      <c r="H131" s="751" t="s">
        <v>1</v>
      </c>
      <c r="I131" s="752">
        <v>12.6</v>
      </c>
      <c r="J131" s="753">
        <v>142.81</v>
      </c>
      <c r="K131" s="753">
        <v>1799.4</v>
      </c>
    </row>
    <row r="132" spans="2:11" ht="47.25" x14ac:dyDescent="0.25">
      <c r="B132" s="749" t="s">
        <v>478</v>
      </c>
      <c r="C132" s="750" t="s">
        <v>672</v>
      </c>
      <c r="D132" s="749" t="s">
        <v>475</v>
      </c>
      <c r="E132" s="749" t="s">
        <v>963</v>
      </c>
      <c r="F132" s="870" t="s">
        <v>1296</v>
      </c>
      <c r="G132" s="870"/>
      <c r="H132" s="751" t="s">
        <v>495</v>
      </c>
      <c r="I132" s="752">
        <v>8</v>
      </c>
      <c r="J132" s="753">
        <v>16.920000000000002</v>
      </c>
      <c r="K132" s="753">
        <v>135.36000000000001</v>
      </c>
    </row>
    <row r="133" spans="2:11" ht="31.5" customHeight="1" x14ac:dyDescent="0.25">
      <c r="B133" s="749" t="s">
        <v>478</v>
      </c>
      <c r="C133" s="750" t="s">
        <v>618</v>
      </c>
      <c r="D133" s="749" t="s">
        <v>475</v>
      </c>
      <c r="E133" s="749" t="s">
        <v>1501</v>
      </c>
      <c r="F133" s="870" t="s">
        <v>1292</v>
      </c>
      <c r="G133" s="870"/>
      <c r="H133" s="751" t="s">
        <v>1</v>
      </c>
      <c r="I133" s="752">
        <v>8</v>
      </c>
      <c r="J133" s="753">
        <v>7.78</v>
      </c>
      <c r="K133" s="753">
        <v>62.24</v>
      </c>
    </row>
    <row r="134" spans="2:11" ht="31.5" customHeight="1" x14ac:dyDescent="0.25">
      <c r="B134" s="749" t="s">
        <v>478</v>
      </c>
      <c r="C134" s="750" t="s">
        <v>686</v>
      </c>
      <c r="D134" s="749" t="s">
        <v>475</v>
      </c>
      <c r="E134" s="749" t="s">
        <v>967</v>
      </c>
      <c r="F134" s="870" t="s">
        <v>1304</v>
      </c>
      <c r="G134" s="870"/>
      <c r="H134" s="751" t="s">
        <v>1</v>
      </c>
      <c r="I134" s="752">
        <v>2.72</v>
      </c>
      <c r="J134" s="753">
        <v>93.51</v>
      </c>
      <c r="K134" s="753">
        <v>254.34</v>
      </c>
    </row>
    <row r="135" spans="2:11" ht="31.5" customHeight="1" x14ac:dyDescent="0.25">
      <c r="B135" s="749" t="s">
        <v>478</v>
      </c>
      <c r="C135" s="750" t="s">
        <v>667</v>
      </c>
      <c r="D135" s="749" t="s">
        <v>475</v>
      </c>
      <c r="E135" s="749" t="s">
        <v>668</v>
      </c>
      <c r="F135" s="870" t="s">
        <v>1295</v>
      </c>
      <c r="G135" s="870"/>
      <c r="H135" s="751" t="s">
        <v>2</v>
      </c>
      <c r="I135" s="752">
        <v>2.38</v>
      </c>
      <c r="J135" s="753">
        <v>308.54000000000002</v>
      </c>
      <c r="K135" s="753">
        <v>734.32</v>
      </c>
    </row>
    <row r="136" spans="2:11" ht="45" customHeight="1" x14ac:dyDescent="0.25">
      <c r="B136" s="749" t="s">
        <v>478</v>
      </c>
      <c r="C136" s="750" t="s">
        <v>669</v>
      </c>
      <c r="D136" s="749" t="s">
        <v>475</v>
      </c>
      <c r="E136" s="749" t="s">
        <v>670</v>
      </c>
      <c r="F136" s="870" t="s">
        <v>1285</v>
      </c>
      <c r="G136" s="870"/>
      <c r="H136" s="751" t="s">
        <v>564</v>
      </c>
      <c r="I136" s="752">
        <v>0.1</v>
      </c>
      <c r="J136" s="753">
        <v>276.67</v>
      </c>
      <c r="K136" s="753">
        <v>27.66</v>
      </c>
    </row>
    <row r="137" spans="2:11" x14ac:dyDescent="0.25">
      <c r="B137" s="744"/>
      <c r="C137" s="744"/>
      <c r="D137" s="744"/>
      <c r="E137" s="744"/>
      <c r="F137" s="744" t="s">
        <v>498</v>
      </c>
      <c r="G137" s="745">
        <v>2178.79</v>
      </c>
      <c r="H137" s="744" t="s">
        <v>499</v>
      </c>
      <c r="I137" s="745">
        <v>0</v>
      </c>
      <c r="J137" s="744" t="s">
        <v>500</v>
      </c>
      <c r="K137" s="745">
        <v>2178.79</v>
      </c>
    </row>
    <row r="138" spans="2:11" ht="16.5" thickBot="1" x14ac:dyDescent="0.3">
      <c r="B138" s="744"/>
      <c r="C138" s="744"/>
      <c r="D138" s="744"/>
      <c r="E138" s="744"/>
      <c r="F138" s="744" t="s">
        <v>501</v>
      </c>
      <c r="G138" s="745">
        <v>1326.02</v>
      </c>
      <c r="H138" s="744"/>
      <c r="I138" s="746" t="s">
        <v>502</v>
      </c>
      <c r="J138" s="746"/>
      <c r="K138" s="745">
        <v>6798.67</v>
      </c>
    </row>
    <row r="139" spans="2:11" ht="16.5" thickTop="1" x14ac:dyDescent="0.25">
      <c r="B139" s="757"/>
      <c r="C139" s="757"/>
      <c r="D139" s="757"/>
      <c r="E139" s="757"/>
      <c r="F139" s="757"/>
      <c r="G139" s="757"/>
      <c r="H139" s="757"/>
      <c r="I139" s="757"/>
      <c r="J139" s="757"/>
      <c r="K139" s="757"/>
    </row>
    <row r="140" spans="2:11" x14ac:dyDescent="0.25">
      <c r="B140" s="735" t="s">
        <v>1233</v>
      </c>
      <c r="C140" s="736" t="s">
        <v>391</v>
      </c>
      <c r="D140" s="735" t="s">
        <v>392</v>
      </c>
      <c r="E140" s="735" t="s">
        <v>42</v>
      </c>
      <c r="F140" s="737" t="s">
        <v>39</v>
      </c>
      <c r="G140" s="737"/>
      <c r="H140" s="738" t="s">
        <v>394</v>
      </c>
      <c r="I140" s="736" t="s">
        <v>395</v>
      </c>
      <c r="J140" s="736" t="s">
        <v>396</v>
      </c>
      <c r="K140" s="736" t="s">
        <v>0</v>
      </c>
    </row>
    <row r="141" spans="2:11" ht="15" customHeight="1" x14ac:dyDescent="0.25">
      <c r="B141" s="739" t="s">
        <v>473</v>
      </c>
      <c r="C141" s="740" t="s">
        <v>1321</v>
      </c>
      <c r="D141" s="739" t="s">
        <v>509</v>
      </c>
      <c r="E141" s="739" t="s">
        <v>1322</v>
      </c>
      <c r="F141" s="741" t="s">
        <v>483</v>
      </c>
      <c r="G141" s="741"/>
      <c r="H141" s="742" t="s">
        <v>660</v>
      </c>
      <c r="I141" s="837">
        <v>1</v>
      </c>
      <c r="J141" s="743">
        <v>338.62</v>
      </c>
      <c r="K141" s="743">
        <v>338.62</v>
      </c>
    </row>
    <row r="142" spans="2:11" ht="30" customHeight="1" x14ac:dyDescent="0.25">
      <c r="B142" s="749" t="s">
        <v>478</v>
      </c>
      <c r="C142" s="750" t="s">
        <v>691</v>
      </c>
      <c r="D142" s="749" t="s">
        <v>475</v>
      </c>
      <c r="E142" s="749" t="s">
        <v>692</v>
      </c>
      <c r="F142" s="870" t="s">
        <v>1432</v>
      </c>
      <c r="G142" s="870"/>
      <c r="H142" s="751" t="s">
        <v>491</v>
      </c>
      <c r="I142" s="752">
        <v>0.3</v>
      </c>
      <c r="J142" s="753">
        <v>928.23</v>
      </c>
      <c r="K142" s="753">
        <v>278.45999999999998</v>
      </c>
    </row>
    <row r="143" spans="2:11" ht="47.25" x14ac:dyDescent="0.25">
      <c r="B143" s="749" t="s">
        <v>478</v>
      </c>
      <c r="C143" s="750" t="s">
        <v>1325</v>
      </c>
      <c r="D143" s="749" t="s">
        <v>475</v>
      </c>
      <c r="E143" s="749" t="s">
        <v>1326</v>
      </c>
      <c r="F143" s="870" t="s">
        <v>1434</v>
      </c>
      <c r="G143" s="870"/>
      <c r="H143" s="751" t="s">
        <v>2</v>
      </c>
      <c r="I143" s="752">
        <v>0.02</v>
      </c>
      <c r="J143" s="753">
        <v>2235.96</v>
      </c>
      <c r="K143" s="753">
        <v>44.71</v>
      </c>
    </row>
    <row r="144" spans="2:11" ht="31.5" x14ac:dyDescent="0.25">
      <c r="B144" s="749" t="s">
        <v>478</v>
      </c>
      <c r="C144" s="750" t="s">
        <v>745</v>
      </c>
      <c r="D144" s="749" t="s">
        <v>509</v>
      </c>
      <c r="E144" s="749" t="s">
        <v>746</v>
      </c>
      <c r="F144" s="870" t="s">
        <v>477</v>
      </c>
      <c r="G144" s="870"/>
      <c r="H144" s="751" t="s">
        <v>1</v>
      </c>
      <c r="I144" s="752">
        <v>0.53</v>
      </c>
      <c r="J144" s="753">
        <v>1.1399999999999999</v>
      </c>
      <c r="K144" s="753">
        <v>0.6</v>
      </c>
    </row>
    <row r="145" spans="2:11" ht="31.5" x14ac:dyDescent="0.25">
      <c r="B145" s="749" t="s">
        <v>478</v>
      </c>
      <c r="C145" s="750" t="s">
        <v>1323</v>
      </c>
      <c r="D145" s="749" t="s">
        <v>475</v>
      </c>
      <c r="E145" s="749" t="s">
        <v>1324</v>
      </c>
      <c r="F145" s="870" t="s">
        <v>1434</v>
      </c>
      <c r="G145" s="870"/>
      <c r="H145" s="751" t="s">
        <v>2</v>
      </c>
      <c r="I145" s="752">
        <v>0.08</v>
      </c>
      <c r="J145" s="753">
        <v>185.68</v>
      </c>
      <c r="K145" s="753">
        <v>14.85</v>
      </c>
    </row>
    <row r="146" spans="2:11" x14ac:dyDescent="0.25">
      <c r="B146" s="744"/>
      <c r="C146" s="744"/>
      <c r="D146" s="744"/>
      <c r="E146" s="744"/>
      <c r="F146" s="744" t="s">
        <v>498</v>
      </c>
      <c r="G146" s="745">
        <v>118.92</v>
      </c>
      <c r="H146" s="744" t="s">
        <v>499</v>
      </c>
      <c r="I146" s="745">
        <v>0</v>
      </c>
      <c r="J146" s="744" t="s">
        <v>500</v>
      </c>
      <c r="K146" s="745">
        <v>118.92</v>
      </c>
    </row>
    <row r="147" spans="2:11" ht="16.5" thickBot="1" x14ac:dyDescent="0.3">
      <c r="B147" s="744"/>
      <c r="C147" s="744"/>
      <c r="D147" s="744"/>
      <c r="E147" s="744"/>
      <c r="F147" s="744" t="s">
        <v>501</v>
      </c>
      <c r="G147" s="745">
        <v>82.04</v>
      </c>
      <c r="H147" s="744"/>
      <c r="I147" s="746" t="s">
        <v>502</v>
      </c>
      <c r="J147" s="746"/>
      <c r="K147" s="745">
        <v>420.66</v>
      </c>
    </row>
    <row r="148" spans="2:11" ht="16.5" thickTop="1" x14ac:dyDescent="0.25">
      <c r="B148" s="757"/>
      <c r="C148" s="757"/>
      <c r="D148" s="757"/>
      <c r="E148" s="757"/>
      <c r="F148" s="757"/>
      <c r="G148" s="757"/>
      <c r="H148" s="757"/>
      <c r="I148" s="757"/>
      <c r="J148" s="757"/>
      <c r="K148" s="757"/>
    </row>
    <row r="149" spans="2:11" x14ac:dyDescent="0.25">
      <c r="B149" s="735" t="s">
        <v>443</v>
      </c>
      <c r="C149" s="736" t="s">
        <v>391</v>
      </c>
      <c r="D149" s="735" t="s">
        <v>392</v>
      </c>
      <c r="E149" s="735" t="s">
        <v>42</v>
      </c>
      <c r="F149" s="737" t="s">
        <v>39</v>
      </c>
      <c r="G149" s="737"/>
      <c r="H149" s="738" t="s">
        <v>394</v>
      </c>
      <c r="I149" s="736" t="s">
        <v>395</v>
      </c>
      <c r="J149" s="736" t="s">
        <v>396</v>
      </c>
      <c r="K149" s="736" t="s">
        <v>0</v>
      </c>
    </row>
    <row r="150" spans="2:11" ht="15" customHeight="1" x14ac:dyDescent="0.25">
      <c r="B150" s="739" t="s">
        <v>473</v>
      </c>
      <c r="C150" s="740" t="s">
        <v>745</v>
      </c>
      <c r="D150" s="739" t="s">
        <v>509</v>
      </c>
      <c r="E150" s="739" t="s">
        <v>746</v>
      </c>
      <c r="F150" s="741" t="s">
        <v>477</v>
      </c>
      <c r="G150" s="741"/>
      <c r="H150" s="742" t="s">
        <v>1</v>
      </c>
      <c r="I150" s="837">
        <v>1</v>
      </c>
      <c r="J150" s="743">
        <v>1.1399999999999999</v>
      </c>
      <c r="K150" s="743">
        <v>1.1399999999999999</v>
      </c>
    </row>
    <row r="151" spans="2:11" ht="63" customHeight="1" x14ac:dyDescent="0.25">
      <c r="B151" s="749" t="s">
        <v>478</v>
      </c>
      <c r="C151" s="750" t="s">
        <v>738</v>
      </c>
      <c r="D151" s="749" t="s">
        <v>475</v>
      </c>
      <c r="E151" s="749" t="s">
        <v>739</v>
      </c>
      <c r="F151" s="870" t="s">
        <v>1285</v>
      </c>
      <c r="G151" s="870"/>
      <c r="H151" s="751" t="s">
        <v>564</v>
      </c>
      <c r="I151" s="752">
        <v>1.6999999999999999E-3</v>
      </c>
      <c r="J151" s="753">
        <v>128.85</v>
      </c>
      <c r="K151" s="753">
        <v>0.21</v>
      </c>
    </row>
    <row r="152" spans="2:11" ht="63" customHeight="1" x14ac:dyDescent="0.25">
      <c r="B152" s="749" t="s">
        <v>478</v>
      </c>
      <c r="C152" s="750" t="s">
        <v>749</v>
      </c>
      <c r="D152" s="749" t="s">
        <v>475</v>
      </c>
      <c r="E152" s="749" t="s">
        <v>750</v>
      </c>
      <c r="F152" s="870" t="s">
        <v>1285</v>
      </c>
      <c r="G152" s="870"/>
      <c r="H152" s="751" t="s">
        <v>564</v>
      </c>
      <c r="I152" s="752">
        <v>2E-3</v>
      </c>
      <c r="J152" s="753">
        <v>9.31</v>
      </c>
      <c r="K152" s="753">
        <v>0.01</v>
      </c>
    </row>
    <row r="153" spans="2:11" ht="30" customHeight="1" x14ac:dyDescent="0.25">
      <c r="B153" s="749" t="s">
        <v>478</v>
      </c>
      <c r="C153" s="750" t="s">
        <v>485</v>
      </c>
      <c r="D153" s="749" t="s">
        <v>475</v>
      </c>
      <c r="E153" s="749" t="s">
        <v>486</v>
      </c>
      <c r="F153" s="870" t="s">
        <v>1268</v>
      </c>
      <c r="G153" s="870"/>
      <c r="H153" s="751" t="s">
        <v>484</v>
      </c>
      <c r="I153" s="752">
        <v>5.7999999999999996E-3</v>
      </c>
      <c r="J153" s="753">
        <v>22.76</v>
      </c>
      <c r="K153" s="753">
        <v>0.13</v>
      </c>
    </row>
    <row r="154" spans="2:11" ht="31.5" customHeight="1" x14ac:dyDescent="0.25">
      <c r="B154" s="749" t="s">
        <v>478</v>
      </c>
      <c r="C154" s="750" t="s">
        <v>740</v>
      </c>
      <c r="D154" s="749" t="s">
        <v>475</v>
      </c>
      <c r="E154" s="749" t="s">
        <v>741</v>
      </c>
      <c r="F154" s="870" t="s">
        <v>1285</v>
      </c>
      <c r="G154" s="870"/>
      <c r="H154" s="751" t="s">
        <v>592</v>
      </c>
      <c r="I154" s="752">
        <v>4.1000000000000003E-3</v>
      </c>
      <c r="J154" s="753">
        <v>47.5</v>
      </c>
      <c r="K154" s="753">
        <v>0.19</v>
      </c>
    </row>
    <row r="155" spans="2:11" ht="47.25" customHeight="1" x14ac:dyDescent="0.25">
      <c r="B155" s="749" t="s">
        <v>478</v>
      </c>
      <c r="C155" s="750" t="s">
        <v>748</v>
      </c>
      <c r="D155" s="749" t="s">
        <v>475</v>
      </c>
      <c r="E155" s="749" t="s">
        <v>1312</v>
      </c>
      <c r="F155" s="870" t="s">
        <v>1285</v>
      </c>
      <c r="G155" s="870"/>
      <c r="H155" s="751" t="s">
        <v>564</v>
      </c>
      <c r="I155" s="752">
        <v>1E-3</v>
      </c>
      <c r="J155" s="753">
        <v>268.99</v>
      </c>
      <c r="K155" s="753">
        <v>0.26</v>
      </c>
    </row>
    <row r="156" spans="2:11" ht="47.25" customHeight="1" x14ac:dyDescent="0.25">
      <c r="B156" s="749" t="s">
        <v>478</v>
      </c>
      <c r="C156" s="750" t="s">
        <v>747</v>
      </c>
      <c r="D156" s="749" t="s">
        <v>475</v>
      </c>
      <c r="E156" s="749" t="s">
        <v>1311</v>
      </c>
      <c r="F156" s="870" t="s">
        <v>1285</v>
      </c>
      <c r="G156" s="870"/>
      <c r="H156" s="751" t="s">
        <v>592</v>
      </c>
      <c r="I156" s="752">
        <v>4.8999999999999998E-3</v>
      </c>
      <c r="J156" s="753">
        <v>69.3</v>
      </c>
      <c r="K156" s="753">
        <v>0.33</v>
      </c>
    </row>
    <row r="157" spans="2:11" ht="30" customHeight="1" x14ac:dyDescent="0.25">
      <c r="B157" s="749" t="s">
        <v>478</v>
      </c>
      <c r="C157" s="750" t="s">
        <v>751</v>
      </c>
      <c r="D157" s="749" t="s">
        <v>475</v>
      </c>
      <c r="E157" s="749" t="s">
        <v>752</v>
      </c>
      <c r="F157" s="870" t="s">
        <v>1285</v>
      </c>
      <c r="G157" s="870"/>
      <c r="H157" s="751" t="s">
        <v>592</v>
      </c>
      <c r="I157" s="752">
        <v>4.0000000000000001E-3</v>
      </c>
      <c r="J157" s="753">
        <v>4.68</v>
      </c>
      <c r="K157" s="753">
        <v>0.01</v>
      </c>
    </row>
    <row r="158" spans="2:11" x14ac:dyDescent="0.25">
      <c r="B158" s="744"/>
      <c r="C158" s="744"/>
      <c r="D158" s="744"/>
      <c r="E158" s="744"/>
      <c r="F158" s="744" t="s">
        <v>498</v>
      </c>
      <c r="G158" s="745">
        <v>0.35</v>
      </c>
      <c r="H158" s="744" t="s">
        <v>499</v>
      </c>
      <c r="I158" s="745">
        <v>0</v>
      </c>
      <c r="J158" s="744" t="s">
        <v>500</v>
      </c>
      <c r="K158" s="745">
        <v>0.35</v>
      </c>
    </row>
    <row r="159" spans="2:11" ht="16.5" thickBot="1" x14ac:dyDescent="0.3">
      <c r="B159" s="744"/>
      <c r="C159" s="744"/>
      <c r="D159" s="744"/>
      <c r="E159" s="744"/>
      <c r="F159" s="744" t="s">
        <v>501</v>
      </c>
      <c r="G159" s="745">
        <v>0.27</v>
      </c>
      <c r="H159" s="744"/>
      <c r="I159" s="746" t="s">
        <v>502</v>
      </c>
      <c r="J159" s="746"/>
      <c r="K159" s="745">
        <v>1.41</v>
      </c>
    </row>
    <row r="160" spans="2:11" ht="16.5" thickTop="1" x14ac:dyDescent="0.25">
      <c r="B160" s="757"/>
      <c r="C160" s="757"/>
      <c r="D160" s="757"/>
      <c r="E160" s="757"/>
      <c r="F160" s="757"/>
      <c r="G160" s="757"/>
      <c r="H160" s="757"/>
      <c r="I160" s="757"/>
      <c r="J160" s="757"/>
      <c r="K160" s="757"/>
    </row>
    <row r="161" spans="2:11" x14ac:dyDescent="0.25">
      <c r="B161" s="735" t="s">
        <v>446</v>
      </c>
      <c r="C161" s="736" t="s">
        <v>391</v>
      </c>
      <c r="D161" s="735" t="s">
        <v>392</v>
      </c>
      <c r="E161" s="735" t="s">
        <v>42</v>
      </c>
      <c r="F161" s="737" t="s">
        <v>39</v>
      </c>
      <c r="G161" s="737"/>
      <c r="H161" s="738" t="s">
        <v>394</v>
      </c>
      <c r="I161" s="736" t="s">
        <v>395</v>
      </c>
      <c r="J161" s="736" t="s">
        <v>396</v>
      </c>
      <c r="K161" s="736" t="s">
        <v>0</v>
      </c>
    </row>
    <row r="162" spans="2:11" ht="15" customHeight="1" x14ac:dyDescent="0.25">
      <c r="B162" s="739" t="s">
        <v>473</v>
      </c>
      <c r="C162" s="740" t="s">
        <v>761</v>
      </c>
      <c r="D162" s="739" t="s">
        <v>509</v>
      </c>
      <c r="E162" s="739" t="s">
        <v>762</v>
      </c>
      <c r="F162" s="741" t="s">
        <v>477</v>
      </c>
      <c r="G162" s="741"/>
      <c r="H162" s="742" t="s">
        <v>1</v>
      </c>
      <c r="I162" s="837">
        <v>1</v>
      </c>
      <c r="J162" s="743">
        <v>0.98</v>
      </c>
      <c r="K162" s="743">
        <v>0.98</v>
      </c>
    </row>
    <row r="163" spans="2:11" ht="31.5" customHeight="1" x14ac:dyDescent="0.25">
      <c r="B163" s="749" t="s">
        <v>478</v>
      </c>
      <c r="C163" s="750" t="s">
        <v>740</v>
      </c>
      <c r="D163" s="749" t="s">
        <v>475</v>
      </c>
      <c r="E163" s="749" t="s">
        <v>741</v>
      </c>
      <c r="F163" s="870" t="s">
        <v>1285</v>
      </c>
      <c r="G163" s="870"/>
      <c r="H163" s="751" t="s">
        <v>592</v>
      </c>
      <c r="I163" s="752">
        <v>3.8E-3</v>
      </c>
      <c r="J163" s="753">
        <v>47.5</v>
      </c>
      <c r="K163" s="753">
        <v>0.18</v>
      </c>
    </row>
    <row r="164" spans="2:11" ht="47.25" customHeight="1" x14ac:dyDescent="0.25">
      <c r="B164" s="749" t="s">
        <v>478</v>
      </c>
      <c r="C164" s="750" t="s">
        <v>748</v>
      </c>
      <c r="D164" s="749" t="s">
        <v>475</v>
      </c>
      <c r="E164" s="749" t="s">
        <v>1312</v>
      </c>
      <c r="F164" s="870" t="s">
        <v>1285</v>
      </c>
      <c r="G164" s="870"/>
      <c r="H164" s="751" t="s">
        <v>564</v>
      </c>
      <c r="I164" s="752">
        <v>4.0000000000000002E-4</v>
      </c>
      <c r="J164" s="753">
        <v>268.99</v>
      </c>
      <c r="K164" s="753">
        <v>0.1</v>
      </c>
    </row>
    <row r="165" spans="2:11" ht="30" customHeight="1" x14ac:dyDescent="0.25">
      <c r="B165" s="749" t="s">
        <v>478</v>
      </c>
      <c r="C165" s="750" t="s">
        <v>485</v>
      </c>
      <c r="D165" s="749" t="s">
        <v>475</v>
      </c>
      <c r="E165" s="749" t="s">
        <v>486</v>
      </c>
      <c r="F165" s="870" t="s">
        <v>1268</v>
      </c>
      <c r="G165" s="870"/>
      <c r="H165" s="751" t="s">
        <v>484</v>
      </c>
      <c r="I165" s="752">
        <v>5.4999999999999997E-3</v>
      </c>
      <c r="J165" s="753">
        <v>22.76</v>
      </c>
      <c r="K165" s="753">
        <v>0.12</v>
      </c>
    </row>
    <row r="166" spans="2:11" ht="31.5" customHeight="1" x14ac:dyDescent="0.25">
      <c r="B166" s="749" t="s">
        <v>478</v>
      </c>
      <c r="C166" s="750" t="s">
        <v>738</v>
      </c>
      <c r="D166" s="749" t="s">
        <v>475</v>
      </c>
      <c r="E166" s="749" t="s">
        <v>739</v>
      </c>
      <c r="F166" s="870" t="s">
        <v>1285</v>
      </c>
      <c r="G166" s="870"/>
      <c r="H166" s="751" t="s">
        <v>564</v>
      </c>
      <c r="I166" s="752">
        <v>1.6999999999999999E-3</v>
      </c>
      <c r="J166" s="753">
        <v>128.85</v>
      </c>
      <c r="K166" s="753">
        <v>0.21</v>
      </c>
    </row>
    <row r="167" spans="2:11" ht="63" customHeight="1" x14ac:dyDescent="0.25">
      <c r="B167" s="749" t="s">
        <v>478</v>
      </c>
      <c r="C167" s="750" t="s">
        <v>751</v>
      </c>
      <c r="D167" s="749" t="s">
        <v>475</v>
      </c>
      <c r="E167" s="749" t="s">
        <v>752</v>
      </c>
      <c r="F167" s="870" t="s">
        <v>1285</v>
      </c>
      <c r="G167" s="870"/>
      <c r="H167" s="751" t="s">
        <v>592</v>
      </c>
      <c r="I167" s="752">
        <v>4.0000000000000001E-3</v>
      </c>
      <c r="J167" s="753">
        <v>4.68</v>
      </c>
      <c r="K167" s="753">
        <v>0.01</v>
      </c>
    </row>
    <row r="168" spans="2:11" ht="63" customHeight="1" x14ac:dyDescent="0.25">
      <c r="B168" s="749" t="s">
        <v>478</v>
      </c>
      <c r="C168" s="750" t="s">
        <v>749</v>
      </c>
      <c r="D168" s="749" t="s">
        <v>475</v>
      </c>
      <c r="E168" s="749" t="s">
        <v>750</v>
      </c>
      <c r="F168" s="870" t="s">
        <v>1285</v>
      </c>
      <c r="G168" s="870"/>
      <c r="H168" s="751" t="s">
        <v>564</v>
      </c>
      <c r="I168" s="752">
        <v>2E-3</v>
      </c>
      <c r="J168" s="753">
        <v>9.31</v>
      </c>
      <c r="K168" s="753">
        <v>0.01</v>
      </c>
    </row>
    <row r="169" spans="2:11" ht="47.25" customHeight="1" x14ac:dyDescent="0.25">
      <c r="B169" s="749" t="s">
        <v>478</v>
      </c>
      <c r="C169" s="750" t="s">
        <v>747</v>
      </c>
      <c r="D169" s="749" t="s">
        <v>475</v>
      </c>
      <c r="E169" s="749" t="s">
        <v>1311</v>
      </c>
      <c r="F169" s="870" t="s">
        <v>1285</v>
      </c>
      <c r="G169" s="870"/>
      <c r="H169" s="751" t="s">
        <v>592</v>
      </c>
      <c r="I169" s="752">
        <v>5.1000000000000004E-3</v>
      </c>
      <c r="J169" s="753">
        <v>69.3</v>
      </c>
      <c r="K169" s="753">
        <v>0.35</v>
      </c>
    </row>
    <row r="170" spans="2:11" x14ac:dyDescent="0.25">
      <c r="B170" s="744"/>
      <c r="C170" s="744"/>
      <c r="D170" s="744"/>
      <c r="E170" s="744"/>
      <c r="F170" s="744" t="s">
        <v>498</v>
      </c>
      <c r="G170" s="745">
        <v>0.31</v>
      </c>
      <c r="H170" s="744" t="s">
        <v>499</v>
      </c>
      <c r="I170" s="745">
        <v>0</v>
      </c>
      <c r="J170" s="744" t="s">
        <v>500</v>
      </c>
      <c r="K170" s="745">
        <v>0.31</v>
      </c>
    </row>
    <row r="171" spans="2:11" ht="16.5" thickBot="1" x14ac:dyDescent="0.3">
      <c r="B171" s="744"/>
      <c r="C171" s="744"/>
      <c r="D171" s="744"/>
      <c r="E171" s="744"/>
      <c r="F171" s="744" t="s">
        <v>501</v>
      </c>
      <c r="G171" s="745">
        <v>0.23</v>
      </c>
      <c r="H171" s="744"/>
      <c r="I171" s="746" t="s">
        <v>502</v>
      </c>
      <c r="J171" s="746"/>
      <c r="K171" s="745">
        <v>1.21</v>
      </c>
    </row>
    <row r="172" spans="2:11" ht="16.5" thickTop="1" x14ac:dyDescent="0.25">
      <c r="B172" s="757"/>
      <c r="C172" s="757"/>
      <c r="D172" s="757"/>
      <c r="E172" s="757"/>
      <c r="F172" s="757"/>
      <c r="G172" s="757"/>
      <c r="H172" s="757"/>
      <c r="I172" s="757"/>
      <c r="J172" s="757"/>
      <c r="K172" s="757"/>
    </row>
    <row r="173" spans="2:11" x14ac:dyDescent="0.25">
      <c r="B173" s="735" t="s">
        <v>449</v>
      </c>
      <c r="C173" s="736" t="s">
        <v>391</v>
      </c>
      <c r="D173" s="735" t="s">
        <v>392</v>
      </c>
      <c r="E173" s="735" t="s">
        <v>42</v>
      </c>
      <c r="F173" s="737" t="s">
        <v>39</v>
      </c>
      <c r="G173" s="737"/>
      <c r="H173" s="738" t="s">
        <v>394</v>
      </c>
      <c r="I173" s="736" t="s">
        <v>395</v>
      </c>
      <c r="J173" s="736" t="s">
        <v>396</v>
      </c>
      <c r="K173" s="736" t="s">
        <v>0</v>
      </c>
    </row>
    <row r="174" spans="2:11" ht="31.5" x14ac:dyDescent="0.25">
      <c r="B174" s="739" t="s">
        <v>473</v>
      </c>
      <c r="C174" s="740" t="s">
        <v>763</v>
      </c>
      <c r="D174" s="739" t="s">
        <v>509</v>
      </c>
      <c r="E174" s="739" t="s">
        <v>764</v>
      </c>
      <c r="F174" s="741" t="s">
        <v>477</v>
      </c>
      <c r="G174" s="741"/>
      <c r="H174" s="742" t="s">
        <v>2</v>
      </c>
      <c r="I174" s="837">
        <v>1</v>
      </c>
      <c r="J174" s="743">
        <v>1737.71</v>
      </c>
      <c r="K174" s="743">
        <v>1737.71</v>
      </c>
    </row>
    <row r="175" spans="2:11" ht="47.25" customHeight="1" x14ac:dyDescent="0.25">
      <c r="B175" s="749" t="s">
        <v>478</v>
      </c>
      <c r="C175" s="750" t="s">
        <v>729</v>
      </c>
      <c r="D175" s="749" t="s">
        <v>475</v>
      </c>
      <c r="E175" s="749" t="s">
        <v>1201</v>
      </c>
      <c r="F175" s="870" t="s">
        <v>1285</v>
      </c>
      <c r="G175" s="870"/>
      <c r="H175" s="751" t="s">
        <v>564</v>
      </c>
      <c r="I175" s="752">
        <v>4.19E-2</v>
      </c>
      <c r="J175" s="753">
        <v>218.59</v>
      </c>
      <c r="K175" s="753">
        <v>9.15</v>
      </c>
    </row>
    <row r="176" spans="2:11" ht="47.25" customHeight="1" x14ac:dyDescent="0.25">
      <c r="B176" s="749" t="s">
        <v>478</v>
      </c>
      <c r="C176" s="750" t="s">
        <v>773</v>
      </c>
      <c r="D176" s="749" t="s">
        <v>475</v>
      </c>
      <c r="E176" s="749" t="s">
        <v>774</v>
      </c>
      <c r="F176" s="870" t="s">
        <v>1285</v>
      </c>
      <c r="G176" s="870"/>
      <c r="H176" s="751" t="s">
        <v>592</v>
      </c>
      <c r="I176" s="752">
        <v>6.0699999999999997E-2</v>
      </c>
      <c r="J176" s="753">
        <v>85.83</v>
      </c>
      <c r="K176" s="753">
        <v>5.2</v>
      </c>
    </row>
    <row r="177" spans="2:11" ht="15" customHeight="1" x14ac:dyDescent="0.25">
      <c r="B177" s="749" t="s">
        <v>478</v>
      </c>
      <c r="C177" s="750" t="s">
        <v>730</v>
      </c>
      <c r="D177" s="749" t="s">
        <v>475</v>
      </c>
      <c r="E177" s="749" t="s">
        <v>1200</v>
      </c>
      <c r="F177" s="870" t="s">
        <v>1285</v>
      </c>
      <c r="G177" s="870"/>
      <c r="H177" s="751" t="s">
        <v>592</v>
      </c>
      <c r="I177" s="752">
        <v>9.9000000000000005E-2</v>
      </c>
      <c r="J177" s="753">
        <v>92.1</v>
      </c>
      <c r="K177" s="753">
        <v>9.11</v>
      </c>
    </row>
    <row r="178" spans="2:11" ht="31.5" customHeight="1" x14ac:dyDescent="0.25">
      <c r="B178" s="749" t="s">
        <v>478</v>
      </c>
      <c r="C178" s="750" t="s">
        <v>765</v>
      </c>
      <c r="D178" s="749" t="s">
        <v>475</v>
      </c>
      <c r="E178" s="749" t="s">
        <v>766</v>
      </c>
      <c r="F178" s="870" t="s">
        <v>1285</v>
      </c>
      <c r="G178" s="870"/>
      <c r="H178" s="751" t="s">
        <v>564</v>
      </c>
      <c r="I178" s="752">
        <v>4.6399999999999997E-2</v>
      </c>
      <c r="J178" s="753">
        <v>384.51</v>
      </c>
      <c r="K178" s="753">
        <v>17.84</v>
      </c>
    </row>
    <row r="179" spans="2:11" ht="45" customHeight="1" x14ac:dyDescent="0.25">
      <c r="B179" s="749" t="s">
        <v>478</v>
      </c>
      <c r="C179" s="750" t="s">
        <v>769</v>
      </c>
      <c r="D179" s="749" t="s">
        <v>475</v>
      </c>
      <c r="E179" s="749" t="s">
        <v>770</v>
      </c>
      <c r="F179" s="870" t="s">
        <v>1268</v>
      </c>
      <c r="G179" s="870"/>
      <c r="H179" s="751" t="s">
        <v>484</v>
      </c>
      <c r="I179" s="752">
        <v>1.1301000000000001</v>
      </c>
      <c r="J179" s="753">
        <v>24.82</v>
      </c>
      <c r="K179" s="753">
        <v>28.04</v>
      </c>
    </row>
    <row r="180" spans="2:11" ht="45" customHeight="1" x14ac:dyDescent="0.25">
      <c r="B180" s="749" t="s">
        <v>478</v>
      </c>
      <c r="C180" s="750" t="s">
        <v>777</v>
      </c>
      <c r="D180" s="749" t="s">
        <v>475</v>
      </c>
      <c r="E180" s="749" t="s">
        <v>778</v>
      </c>
      <c r="F180" s="870" t="s">
        <v>1285</v>
      </c>
      <c r="G180" s="870"/>
      <c r="H180" s="751" t="s">
        <v>564</v>
      </c>
      <c r="I180" s="752">
        <v>3.4099999999999998E-2</v>
      </c>
      <c r="J180" s="753">
        <v>137.18</v>
      </c>
      <c r="K180" s="753">
        <v>4.67</v>
      </c>
    </row>
    <row r="181" spans="2:11" ht="30" customHeight="1" x14ac:dyDescent="0.25">
      <c r="B181" s="749" t="s">
        <v>478</v>
      </c>
      <c r="C181" s="750" t="s">
        <v>601</v>
      </c>
      <c r="D181" s="749" t="s">
        <v>475</v>
      </c>
      <c r="E181" s="749" t="s">
        <v>602</v>
      </c>
      <c r="F181" s="870" t="s">
        <v>1285</v>
      </c>
      <c r="G181" s="870"/>
      <c r="H181" s="751" t="s">
        <v>564</v>
      </c>
      <c r="I181" s="752">
        <v>4.6399999999999997E-2</v>
      </c>
      <c r="J181" s="753">
        <v>270.25</v>
      </c>
      <c r="K181" s="753">
        <v>12.53</v>
      </c>
    </row>
    <row r="182" spans="2:11" ht="63" customHeight="1" x14ac:dyDescent="0.25">
      <c r="B182" s="749" t="s">
        <v>478</v>
      </c>
      <c r="C182" s="750" t="s">
        <v>767</v>
      </c>
      <c r="D182" s="749" t="s">
        <v>475</v>
      </c>
      <c r="E182" s="749" t="s">
        <v>768</v>
      </c>
      <c r="F182" s="870" t="s">
        <v>1285</v>
      </c>
      <c r="G182" s="870"/>
      <c r="H182" s="751" t="s">
        <v>592</v>
      </c>
      <c r="I182" s="752">
        <v>9.4899999999999998E-2</v>
      </c>
      <c r="J182" s="753">
        <v>151.91999999999999</v>
      </c>
      <c r="K182" s="753">
        <v>14.41</v>
      </c>
    </row>
    <row r="183" spans="2:11" ht="63" customHeight="1" x14ac:dyDescent="0.25">
      <c r="B183" s="749" t="s">
        <v>478</v>
      </c>
      <c r="C183" s="750" t="s">
        <v>775</v>
      </c>
      <c r="D183" s="749" t="s">
        <v>475</v>
      </c>
      <c r="E183" s="749" t="s">
        <v>776</v>
      </c>
      <c r="F183" s="870" t="s">
        <v>1285</v>
      </c>
      <c r="G183" s="870"/>
      <c r="H183" s="751" t="s">
        <v>592</v>
      </c>
      <c r="I183" s="752">
        <v>0.1071</v>
      </c>
      <c r="J183" s="753">
        <v>51.97</v>
      </c>
      <c r="K183" s="753">
        <v>5.56</v>
      </c>
    </row>
    <row r="184" spans="2:11" ht="63" customHeight="1" x14ac:dyDescent="0.25">
      <c r="B184" s="749" t="s">
        <v>478</v>
      </c>
      <c r="C184" s="750" t="s">
        <v>771</v>
      </c>
      <c r="D184" s="749" t="s">
        <v>475</v>
      </c>
      <c r="E184" s="749" t="s">
        <v>772</v>
      </c>
      <c r="F184" s="870" t="s">
        <v>1285</v>
      </c>
      <c r="G184" s="870"/>
      <c r="H184" s="751" t="s">
        <v>564</v>
      </c>
      <c r="I184" s="752">
        <v>8.0500000000000002E-2</v>
      </c>
      <c r="J184" s="753">
        <v>231.41</v>
      </c>
      <c r="K184" s="753">
        <v>18.62</v>
      </c>
    </row>
    <row r="185" spans="2:11" ht="31.5" x14ac:dyDescent="0.25">
      <c r="B185" s="749" t="s">
        <v>487</v>
      </c>
      <c r="C185" s="750" t="s">
        <v>779</v>
      </c>
      <c r="D185" s="749" t="s">
        <v>475</v>
      </c>
      <c r="E185" s="749" t="s">
        <v>780</v>
      </c>
      <c r="F185" s="870" t="s">
        <v>490</v>
      </c>
      <c r="G185" s="870"/>
      <c r="H185" s="751" t="s">
        <v>116</v>
      </c>
      <c r="I185" s="752">
        <v>2.5548000000000002</v>
      </c>
      <c r="J185" s="753">
        <v>631.20000000000005</v>
      </c>
      <c r="K185" s="753">
        <v>1612.58</v>
      </c>
    </row>
    <row r="186" spans="2:11" x14ac:dyDescent="0.25">
      <c r="B186" s="744"/>
      <c r="C186" s="744"/>
      <c r="D186" s="744"/>
      <c r="E186" s="744"/>
      <c r="F186" s="744" t="s">
        <v>498</v>
      </c>
      <c r="G186" s="745">
        <v>36.43</v>
      </c>
      <c r="H186" s="744" t="s">
        <v>499</v>
      </c>
      <c r="I186" s="745">
        <v>0</v>
      </c>
      <c r="J186" s="744" t="s">
        <v>500</v>
      </c>
      <c r="K186" s="745">
        <v>36.43</v>
      </c>
    </row>
    <row r="187" spans="2:11" ht="30" customHeight="1" thickBot="1" x14ac:dyDescent="0.3">
      <c r="B187" s="744"/>
      <c r="C187" s="744"/>
      <c r="D187" s="744"/>
      <c r="E187" s="744"/>
      <c r="F187" s="744" t="s">
        <v>501</v>
      </c>
      <c r="G187" s="745">
        <v>421.04</v>
      </c>
      <c r="H187" s="744"/>
      <c r="I187" s="746" t="s">
        <v>502</v>
      </c>
      <c r="J187" s="746"/>
      <c r="K187" s="745">
        <v>2158.75</v>
      </c>
    </row>
    <row r="188" spans="2:11" ht="45" customHeight="1" thickTop="1" x14ac:dyDescent="0.25">
      <c r="B188" s="757"/>
      <c r="C188" s="757"/>
      <c r="D188" s="757"/>
      <c r="E188" s="757"/>
      <c r="F188" s="757"/>
      <c r="G188" s="757"/>
      <c r="H188" s="757"/>
      <c r="I188" s="757"/>
      <c r="J188" s="757"/>
      <c r="K188" s="757"/>
    </row>
    <row r="189" spans="2:11" ht="15" customHeight="1" x14ac:dyDescent="0.25">
      <c r="B189" s="735" t="s">
        <v>452</v>
      </c>
      <c r="C189" s="736" t="s">
        <v>391</v>
      </c>
      <c r="D189" s="735" t="s">
        <v>392</v>
      </c>
      <c r="E189" s="735" t="s">
        <v>42</v>
      </c>
      <c r="F189" s="737" t="s">
        <v>39</v>
      </c>
      <c r="G189" s="737"/>
      <c r="H189" s="738" t="s">
        <v>394</v>
      </c>
      <c r="I189" s="736" t="s">
        <v>395</v>
      </c>
      <c r="J189" s="736" t="s">
        <v>396</v>
      </c>
      <c r="K189" s="736" t="s">
        <v>0</v>
      </c>
    </row>
    <row r="190" spans="2:11" ht="30" customHeight="1" x14ac:dyDescent="0.25">
      <c r="B190" s="739" t="s">
        <v>473</v>
      </c>
      <c r="C190" s="740" t="s">
        <v>1202</v>
      </c>
      <c r="D190" s="739" t="s">
        <v>509</v>
      </c>
      <c r="E190" s="739" t="s">
        <v>781</v>
      </c>
      <c r="F190" s="741" t="s">
        <v>483</v>
      </c>
      <c r="G190" s="741"/>
      <c r="H190" s="742" t="s">
        <v>3</v>
      </c>
      <c r="I190" s="837">
        <v>1</v>
      </c>
      <c r="J190" s="743">
        <v>69.98</v>
      </c>
      <c r="K190" s="743">
        <v>69.98</v>
      </c>
    </row>
    <row r="191" spans="2:11" ht="30" customHeight="1" x14ac:dyDescent="0.25">
      <c r="B191" s="749" t="s">
        <v>478</v>
      </c>
      <c r="C191" s="750" t="s">
        <v>485</v>
      </c>
      <c r="D191" s="749" t="s">
        <v>475</v>
      </c>
      <c r="E191" s="749" t="s">
        <v>486</v>
      </c>
      <c r="F191" s="870" t="s">
        <v>1268</v>
      </c>
      <c r="G191" s="870"/>
      <c r="H191" s="751" t="s">
        <v>484</v>
      </c>
      <c r="I191" s="752">
        <v>0.48699999999999999</v>
      </c>
      <c r="J191" s="753">
        <v>22.76</v>
      </c>
      <c r="K191" s="753">
        <v>11.08</v>
      </c>
    </row>
    <row r="192" spans="2:11" ht="30" customHeight="1" x14ac:dyDescent="0.25">
      <c r="B192" s="749" t="s">
        <v>478</v>
      </c>
      <c r="C192" s="750" t="s">
        <v>790</v>
      </c>
      <c r="D192" s="749" t="s">
        <v>475</v>
      </c>
      <c r="E192" s="749" t="s">
        <v>791</v>
      </c>
      <c r="F192" s="870" t="s">
        <v>1313</v>
      </c>
      <c r="G192" s="870"/>
      <c r="H192" s="751" t="s">
        <v>491</v>
      </c>
      <c r="I192" s="752">
        <v>0.25</v>
      </c>
      <c r="J192" s="753">
        <v>1.69</v>
      </c>
      <c r="K192" s="753">
        <v>0.42</v>
      </c>
    </row>
    <row r="193" spans="2:11" ht="45" customHeight="1" x14ac:dyDescent="0.25">
      <c r="B193" s="749" t="s">
        <v>478</v>
      </c>
      <c r="C193" s="750" t="s">
        <v>662</v>
      </c>
      <c r="D193" s="749" t="s">
        <v>475</v>
      </c>
      <c r="E193" s="749" t="s">
        <v>1189</v>
      </c>
      <c r="F193" s="870" t="s">
        <v>1291</v>
      </c>
      <c r="G193" s="870"/>
      <c r="H193" s="751" t="s">
        <v>2</v>
      </c>
      <c r="I193" s="752">
        <v>5.04E-2</v>
      </c>
      <c r="J193" s="753">
        <v>90.03</v>
      </c>
      <c r="K193" s="753">
        <v>4.53</v>
      </c>
    </row>
    <row r="194" spans="2:11" ht="47.25" customHeight="1" x14ac:dyDescent="0.25">
      <c r="B194" s="749" t="s">
        <v>478</v>
      </c>
      <c r="C194" s="750" t="s">
        <v>786</v>
      </c>
      <c r="D194" s="749" t="s">
        <v>475</v>
      </c>
      <c r="E194" s="749" t="s">
        <v>787</v>
      </c>
      <c r="F194" s="870" t="s">
        <v>1268</v>
      </c>
      <c r="G194" s="870"/>
      <c r="H194" s="751" t="s">
        <v>484</v>
      </c>
      <c r="I194" s="752">
        <v>0.109</v>
      </c>
      <c r="J194" s="753">
        <v>23.74</v>
      </c>
      <c r="K194" s="753">
        <v>2.58</v>
      </c>
    </row>
    <row r="195" spans="2:11" ht="31.5" x14ac:dyDescent="0.25">
      <c r="B195" s="749" t="s">
        <v>478</v>
      </c>
      <c r="C195" s="750" t="s">
        <v>788</v>
      </c>
      <c r="D195" s="749" t="s">
        <v>475</v>
      </c>
      <c r="E195" s="749" t="s">
        <v>789</v>
      </c>
      <c r="F195" s="870" t="s">
        <v>1294</v>
      </c>
      <c r="G195" s="870"/>
      <c r="H195" s="751" t="s">
        <v>2</v>
      </c>
      <c r="I195" s="752">
        <v>3.0000000000000001E-3</v>
      </c>
      <c r="J195" s="753">
        <v>606.29</v>
      </c>
      <c r="K195" s="753">
        <v>1.81</v>
      </c>
    </row>
    <row r="196" spans="2:11" ht="63" customHeight="1" x14ac:dyDescent="0.25">
      <c r="B196" s="749" t="s">
        <v>478</v>
      </c>
      <c r="C196" s="750" t="s">
        <v>784</v>
      </c>
      <c r="D196" s="749" t="s">
        <v>475</v>
      </c>
      <c r="E196" s="749" t="s">
        <v>785</v>
      </c>
      <c r="F196" s="870" t="s">
        <v>1285</v>
      </c>
      <c r="G196" s="870"/>
      <c r="H196" s="751" t="s">
        <v>592</v>
      </c>
      <c r="I196" s="752">
        <v>0</v>
      </c>
      <c r="J196" s="753">
        <v>5.22</v>
      </c>
      <c r="K196" s="753">
        <v>0</v>
      </c>
    </row>
    <row r="197" spans="2:11" ht="31.5" x14ac:dyDescent="0.25">
      <c r="B197" s="749" t="s">
        <v>478</v>
      </c>
      <c r="C197" s="750" t="s">
        <v>1203</v>
      </c>
      <c r="D197" s="749" t="s">
        <v>509</v>
      </c>
      <c r="E197" s="749" t="s">
        <v>792</v>
      </c>
      <c r="F197" s="870" t="s">
        <v>665</v>
      </c>
      <c r="G197" s="870"/>
      <c r="H197" s="751" t="s">
        <v>2</v>
      </c>
      <c r="I197" s="752">
        <v>3.1199999999999999E-2</v>
      </c>
      <c r="J197" s="753">
        <v>211.61</v>
      </c>
      <c r="K197" s="753">
        <v>6.6</v>
      </c>
    </row>
    <row r="198" spans="2:11" ht="63" customHeight="1" x14ac:dyDescent="0.25">
      <c r="B198" s="749" t="s">
        <v>478</v>
      </c>
      <c r="C198" s="750" t="s">
        <v>782</v>
      </c>
      <c r="D198" s="749" t="s">
        <v>475</v>
      </c>
      <c r="E198" s="749" t="s">
        <v>783</v>
      </c>
      <c r="F198" s="870" t="s">
        <v>1285</v>
      </c>
      <c r="G198" s="870"/>
      <c r="H198" s="751" t="s">
        <v>564</v>
      </c>
      <c r="I198" s="752">
        <v>1.7999999999999999E-2</v>
      </c>
      <c r="J198" s="753">
        <v>19.079999999999998</v>
      </c>
      <c r="K198" s="753">
        <v>0.34</v>
      </c>
    </row>
    <row r="199" spans="2:11" ht="30" customHeight="1" x14ac:dyDescent="0.25">
      <c r="B199" s="749" t="s">
        <v>478</v>
      </c>
      <c r="C199" s="750" t="s">
        <v>620</v>
      </c>
      <c r="D199" s="749" t="s">
        <v>475</v>
      </c>
      <c r="E199" s="749" t="s">
        <v>621</v>
      </c>
      <c r="F199" s="870" t="s">
        <v>1268</v>
      </c>
      <c r="G199" s="870"/>
      <c r="H199" s="751" t="s">
        <v>484</v>
      </c>
      <c r="I199" s="752">
        <v>0.24399999999999999</v>
      </c>
      <c r="J199" s="753">
        <v>28.5</v>
      </c>
      <c r="K199" s="753">
        <v>6.95</v>
      </c>
    </row>
    <row r="200" spans="2:11" ht="31.5" x14ac:dyDescent="0.25">
      <c r="B200" s="749" t="s">
        <v>487</v>
      </c>
      <c r="C200" s="750" t="s">
        <v>709</v>
      </c>
      <c r="D200" s="749" t="s">
        <v>475</v>
      </c>
      <c r="E200" s="749" t="s">
        <v>710</v>
      </c>
      <c r="F200" s="870" t="s">
        <v>490</v>
      </c>
      <c r="G200" s="870"/>
      <c r="H200" s="751" t="s">
        <v>2</v>
      </c>
      <c r="I200" s="752">
        <v>6.1499999999999999E-2</v>
      </c>
      <c r="J200" s="753">
        <v>580</v>
      </c>
      <c r="K200" s="753">
        <v>35.67</v>
      </c>
    </row>
    <row r="201" spans="2:11" ht="30" customHeight="1" x14ac:dyDescent="0.25">
      <c r="B201" s="744"/>
      <c r="C201" s="744"/>
      <c r="D201" s="744"/>
      <c r="E201" s="744"/>
      <c r="F201" s="744" t="s">
        <v>498</v>
      </c>
      <c r="G201" s="745">
        <v>20.64</v>
      </c>
      <c r="H201" s="744" t="s">
        <v>499</v>
      </c>
      <c r="I201" s="745">
        <v>0</v>
      </c>
      <c r="J201" s="744" t="s">
        <v>500</v>
      </c>
      <c r="K201" s="745">
        <v>20.64</v>
      </c>
    </row>
    <row r="202" spans="2:11" ht="30" customHeight="1" thickBot="1" x14ac:dyDescent="0.3">
      <c r="B202" s="744"/>
      <c r="C202" s="744"/>
      <c r="D202" s="744"/>
      <c r="E202" s="744"/>
      <c r="F202" s="744" t="s">
        <v>501</v>
      </c>
      <c r="G202" s="745">
        <v>16.95</v>
      </c>
      <c r="H202" s="744"/>
      <c r="I202" s="746" t="s">
        <v>502</v>
      </c>
      <c r="J202" s="746"/>
      <c r="K202" s="745">
        <v>86.93</v>
      </c>
    </row>
    <row r="203" spans="2:11" ht="15" customHeight="1" thickTop="1" x14ac:dyDescent="0.25">
      <c r="B203" s="757"/>
      <c r="C203" s="757"/>
      <c r="D203" s="757"/>
      <c r="E203" s="757"/>
      <c r="F203" s="757"/>
      <c r="G203" s="757"/>
      <c r="H203" s="757"/>
      <c r="I203" s="757"/>
      <c r="J203" s="757"/>
      <c r="K203" s="757"/>
    </row>
    <row r="204" spans="2:11" ht="30" customHeight="1" x14ac:dyDescent="0.25">
      <c r="B204" s="735" t="s">
        <v>455</v>
      </c>
      <c r="C204" s="736" t="s">
        <v>391</v>
      </c>
      <c r="D204" s="735" t="s">
        <v>392</v>
      </c>
      <c r="E204" s="735" t="s">
        <v>42</v>
      </c>
      <c r="F204" s="737" t="s">
        <v>39</v>
      </c>
      <c r="G204" s="737"/>
      <c r="H204" s="738" t="s">
        <v>394</v>
      </c>
      <c r="I204" s="736" t="s">
        <v>395</v>
      </c>
      <c r="J204" s="736" t="s">
        <v>396</v>
      </c>
      <c r="K204" s="736" t="s">
        <v>0</v>
      </c>
    </row>
    <row r="205" spans="2:11" ht="45" customHeight="1" x14ac:dyDescent="0.25">
      <c r="B205" s="739" t="s">
        <v>473</v>
      </c>
      <c r="C205" s="740" t="s">
        <v>1206</v>
      </c>
      <c r="D205" s="739" t="s">
        <v>509</v>
      </c>
      <c r="E205" s="739" t="s">
        <v>793</v>
      </c>
      <c r="F205" s="741" t="s">
        <v>483</v>
      </c>
      <c r="G205" s="741"/>
      <c r="H205" s="742" t="s">
        <v>3</v>
      </c>
      <c r="I205" s="837">
        <v>1</v>
      </c>
      <c r="J205" s="743">
        <v>25.33</v>
      </c>
      <c r="K205" s="743">
        <v>25.33</v>
      </c>
    </row>
    <row r="206" spans="2:11" ht="30" customHeight="1" x14ac:dyDescent="0.25">
      <c r="B206" s="749" t="s">
        <v>478</v>
      </c>
      <c r="C206" s="750" t="s">
        <v>662</v>
      </c>
      <c r="D206" s="749" t="s">
        <v>475</v>
      </c>
      <c r="E206" s="749" t="s">
        <v>1189</v>
      </c>
      <c r="F206" s="870" t="s">
        <v>1291</v>
      </c>
      <c r="G206" s="870"/>
      <c r="H206" s="751" t="s">
        <v>2</v>
      </c>
      <c r="I206" s="752">
        <v>3.3000000000000002E-2</v>
      </c>
      <c r="J206" s="753">
        <v>90.03</v>
      </c>
      <c r="K206" s="753">
        <v>2.97</v>
      </c>
    </row>
    <row r="207" spans="2:11" ht="30" customHeight="1" x14ac:dyDescent="0.25">
      <c r="B207" s="749" t="s">
        <v>478</v>
      </c>
      <c r="C207" s="750" t="s">
        <v>1188</v>
      </c>
      <c r="D207" s="749" t="s">
        <v>509</v>
      </c>
      <c r="E207" s="749" t="s">
        <v>661</v>
      </c>
      <c r="F207" s="870" t="s">
        <v>477</v>
      </c>
      <c r="G207" s="870"/>
      <c r="H207" s="751" t="s">
        <v>491</v>
      </c>
      <c r="I207" s="752">
        <v>1</v>
      </c>
      <c r="J207" s="753">
        <v>3.22</v>
      </c>
      <c r="K207" s="753">
        <v>3.22</v>
      </c>
    </row>
    <row r="208" spans="2:11" ht="30" customHeight="1" x14ac:dyDescent="0.25">
      <c r="B208" s="749" t="s">
        <v>487</v>
      </c>
      <c r="C208" s="750" t="s">
        <v>709</v>
      </c>
      <c r="D208" s="749" t="s">
        <v>475</v>
      </c>
      <c r="E208" s="749" t="s">
        <v>710</v>
      </c>
      <c r="F208" s="870" t="s">
        <v>490</v>
      </c>
      <c r="G208" s="870"/>
      <c r="H208" s="751" t="s">
        <v>2</v>
      </c>
      <c r="I208" s="752">
        <v>3.3000000000000002E-2</v>
      </c>
      <c r="J208" s="753">
        <v>580</v>
      </c>
      <c r="K208" s="753">
        <v>19.14</v>
      </c>
    </row>
    <row r="209" spans="2:11" x14ac:dyDescent="0.25">
      <c r="B209" s="744"/>
      <c r="C209" s="744"/>
      <c r="D209" s="744"/>
      <c r="E209" s="744"/>
      <c r="F209" s="744" t="s">
        <v>498</v>
      </c>
      <c r="G209" s="745">
        <v>3.45</v>
      </c>
      <c r="H209" s="744" t="s">
        <v>499</v>
      </c>
      <c r="I209" s="745">
        <v>0</v>
      </c>
      <c r="J209" s="744" t="s">
        <v>500</v>
      </c>
      <c r="K209" s="745">
        <v>3.45</v>
      </c>
    </row>
    <row r="210" spans="2:11" ht="16.5" thickBot="1" x14ac:dyDescent="0.3">
      <c r="B210" s="744"/>
      <c r="C210" s="744"/>
      <c r="D210" s="744"/>
      <c r="E210" s="744"/>
      <c r="F210" s="744" t="s">
        <v>501</v>
      </c>
      <c r="G210" s="745">
        <v>6.13</v>
      </c>
      <c r="H210" s="744"/>
      <c r="I210" s="746" t="s">
        <v>502</v>
      </c>
      <c r="J210" s="746"/>
      <c r="K210" s="745">
        <v>31.46</v>
      </c>
    </row>
    <row r="211" spans="2:11" ht="16.5" thickTop="1" x14ac:dyDescent="0.25">
      <c r="B211" s="757"/>
      <c r="C211" s="757"/>
      <c r="D211" s="757"/>
      <c r="E211" s="757"/>
      <c r="F211" s="757"/>
      <c r="G211" s="757"/>
      <c r="H211" s="757"/>
      <c r="I211" s="757"/>
      <c r="J211" s="757"/>
      <c r="K211" s="757"/>
    </row>
    <row r="212" spans="2:11" x14ac:dyDescent="0.25">
      <c r="B212" s="735" t="s">
        <v>456</v>
      </c>
      <c r="C212" s="736" t="s">
        <v>391</v>
      </c>
      <c r="D212" s="735" t="s">
        <v>392</v>
      </c>
      <c r="E212" s="735" t="s">
        <v>42</v>
      </c>
      <c r="F212" s="737" t="s">
        <v>39</v>
      </c>
      <c r="G212" s="737"/>
      <c r="H212" s="738" t="s">
        <v>394</v>
      </c>
      <c r="I212" s="736" t="s">
        <v>395</v>
      </c>
      <c r="J212" s="736" t="s">
        <v>396</v>
      </c>
      <c r="K212" s="736" t="s">
        <v>0</v>
      </c>
    </row>
    <row r="213" spans="2:11" ht="47.25" customHeight="1" x14ac:dyDescent="0.25">
      <c r="B213" s="739" t="s">
        <v>473</v>
      </c>
      <c r="C213" s="740" t="s">
        <v>799</v>
      </c>
      <c r="D213" s="739" t="s">
        <v>509</v>
      </c>
      <c r="E213" s="739" t="s">
        <v>800</v>
      </c>
      <c r="F213" s="741" t="s">
        <v>587</v>
      </c>
      <c r="G213" s="741"/>
      <c r="H213" s="742" t="s">
        <v>1</v>
      </c>
      <c r="I213" s="837">
        <v>1</v>
      </c>
      <c r="J213" s="743">
        <v>1.33</v>
      </c>
      <c r="K213" s="743">
        <v>1.33</v>
      </c>
    </row>
    <row r="214" spans="2:11" ht="63" customHeight="1" x14ac:dyDescent="0.25">
      <c r="B214" s="749" t="s">
        <v>478</v>
      </c>
      <c r="C214" s="750" t="s">
        <v>801</v>
      </c>
      <c r="D214" s="749" t="s">
        <v>475</v>
      </c>
      <c r="E214" s="749" t="s">
        <v>802</v>
      </c>
      <c r="F214" s="870" t="s">
        <v>1285</v>
      </c>
      <c r="G214" s="870"/>
      <c r="H214" s="751" t="s">
        <v>592</v>
      </c>
      <c r="I214" s="752">
        <v>4.0000000000000001E-3</v>
      </c>
      <c r="J214" s="753">
        <v>65.67</v>
      </c>
      <c r="K214" s="753">
        <v>0.26</v>
      </c>
    </row>
    <row r="215" spans="2:11" ht="15" customHeight="1" x14ac:dyDescent="0.25">
      <c r="B215" s="749" t="s">
        <v>478</v>
      </c>
      <c r="C215" s="750" t="s">
        <v>485</v>
      </c>
      <c r="D215" s="749" t="s">
        <v>475</v>
      </c>
      <c r="E215" s="749" t="s">
        <v>486</v>
      </c>
      <c r="F215" s="870" t="s">
        <v>1268</v>
      </c>
      <c r="G215" s="870"/>
      <c r="H215" s="751" t="s">
        <v>484</v>
      </c>
      <c r="I215" s="752">
        <v>0.01</v>
      </c>
      <c r="J215" s="753">
        <v>22.76</v>
      </c>
      <c r="K215" s="753">
        <v>0.22</v>
      </c>
    </row>
    <row r="216" spans="2:11" ht="15" customHeight="1" x14ac:dyDescent="0.25">
      <c r="B216" s="749" t="s">
        <v>478</v>
      </c>
      <c r="C216" s="750" t="s">
        <v>803</v>
      </c>
      <c r="D216" s="749" t="s">
        <v>475</v>
      </c>
      <c r="E216" s="749" t="s">
        <v>804</v>
      </c>
      <c r="F216" s="870" t="s">
        <v>1285</v>
      </c>
      <c r="G216" s="870"/>
      <c r="H216" s="751" t="s">
        <v>564</v>
      </c>
      <c r="I216" s="752">
        <v>6.0000000000000001E-3</v>
      </c>
      <c r="J216" s="753">
        <v>141.79</v>
      </c>
      <c r="K216" s="753">
        <v>0.85</v>
      </c>
    </row>
    <row r="217" spans="2:11" x14ac:dyDescent="0.25">
      <c r="B217" s="744"/>
      <c r="C217" s="744"/>
      <c r="D217" s="744"/>
      <c r="E217" s="744"/>
      <c r="F217" s="744" t="s">
        <v>498</v>
      </c>
      <c r="G217" s="745">
        <v>0.41</v>
      </c>
      <c r="H217" s="744" t="s">
        <v>499</v>
      </c>
      <c r="I217" s="745">
        <v>0</v>
      </c>
      <c r="J217" s="744" t="s">
        <v>500</v>
      </c>
      <c r="K217" s="745">
        <v>0.41</v>
      </c>
    </row>
    <row r="218" spans="2:11" ht="15" customHeight="1" thickBot="1" x14ac:dyDescent="0.3">
      <c r="B218" s="744"/>
      <c r="C218" s="744"/>
      <c r="D218" s="744"/>
      <c r="E218" s="744"/>
      <c r="F218" s="744" t="s">
        <v>501</v>
      </c>
      <c r="G218" s="745">
        <v>0.32</v>
      </c>
      <c r="H218" s="744"/>
      <c r="I218" s="746" t="s">
        <v>502</v>
      </c>
      <c r="J218" s="746"/>
      <c r="K218" s="745">
        <v>1.65</v>
      </c>
    </row>
    <row r="219" spans="2:11" ht="16.5" thickTop="1" x14ac:dyDescent="0.25">
      <c r="B219" s="757"/>
      <c r="C219" s="757"/>
      <c r="D219" s="757"/>
      <c r="E219" s="757"/>
      <c r="F219" s="757"/>
      <c r="G219" s="757"/>
      <c r="H219" s="757"/>
      <c r="I219" s="757"/>
      <c r="J219" s="757"/>
      <c r="K219" s="757"/>
    </row>
    <row r="220" spans="2:11" ht="30" customHeight="1" x14ac:dyDescent="0.25">
      <c r="B220" s="735" t="s">
        <v>465</v>
      </c>
      <c r="C220" s="736" t="s">
        <v>391</v>
      </c>
      <c r="D220" s="735" t="s">
        <v>392</v>
      </c>
      <c r="E220" s="735" t="s">
        <v>42</v>
      </c>
      <c r="F220" s="737" t="s">
        <v>39</v>
      </c>
      <c r="G220" s="737"/>
      <c r="H220" s="738" t="s">
        <v>394</v>
      </c>
      <c r="I220" s="736" t="s">
        <v>395</v>
      </c>
      <c r="J220" s="736" t="s">
        <v>396</v>
      </c>
      <c r="K220" s="736" t="s">
        <v>0</v>
      </c>
    </row>
    <row r="221" spans="2:11" ht="31.5" x14ac:dyDescent="0.25">
      <c r="B221" s="739" t="s">
        <v>473</v>
      </c>
      <c r="C221" s="740" t="s">
        <v>858</v>
      </c>
      <c r="D221" s="739" t="s">
        <v>509</v>
      </c>
      <c r="E221" s="739" t="s">
        <v>859</v>
      </c>
      <c r="F221" s="741" t="s">
        <v>483</v>
      </c>
      <c r="G221" s="741"/>
      <c r="H221" s="742" t="s">
        <v>37</v>
      </c>
      <c r="I221" s="837">
        <v>1</v>
      </c>
      <c r="J221" s="743">
        <v>619.70000000000005</v>
      </c>
      <c r="K221" s="743">
        <v>619.70000000000005</v>
      </c>
    </row>
    <row r="222" spans="2:11" ht="31.5" customHeight="1" x14ac:dyDescent="0.25">
      <c r="B222" s="749" t="s">
        <v>478</v>
      </c>
      <c r="C222" s="750" t="s">
        <v>667</v>
      </c>
      <c r="D222" s="749" t="s">
        <v>475</v>
      </c>
      <c r="E222" s="749" t="s">
        <v>668</v>
      </c>
      <c r="F222" s="870" t="s">
        <v>1295</v>
      </c>
      <c r="G222" s="870"/>
      <c r="H222" s="751" t="s">
        <v>2</v>
      </c>
      <c r="I222" s="752">
        <v>0.03</v>
      </c>
      <c r="J222" s="753">
        <v>308.54000000000002</v>
      </c>
      <c r="K222" s="753">
        <v>9.25</v>
      </c>
    </row>
    <row r="223" spans="2:11" ht="63" x14ac:dyDescent="0.25">
      <c r="B223" s="749" t="s">
        <v>478</v>
      </c>
      <c r="C223" s="750" t="s">
        <v>562</v>
      </c>
      <c r="D223" s="749" t="s">
        <v>475</v>
      </c>
      <c r="E223" s="749" t="s">
        <v>563</v>
      </c>
      <c r="F223" s="870" t="s">
        <v>1285</v>
      </c>
      <c r="G223" s="870"/>
      <c r="H223" s="751" t="s">
        <v>564</v>
      </c>
      <c r="I223" s="752">
        <v>0.01</v>
      </c>
      <c r="J223" s="753">
        <v>248.87</v>
      </c>
      <c r="K223" s="753">
        <v>2.48</v>
      </c>
    </row>
    <row r="224" spans="2:11" ht="31.5" customHeight="1" x14ac:dyDescent="0.25">
      <c r="B224" s="749" t="s">
        <v>478</v>
      </c>
      <c r="C224" s="750" t="s">
        <v>1229</v>
      </c>
      <c r="D224" s="749" t="s">
        <v>509</v>
      </c>
      <c r="E224" s="749" t="s">
        <v>860</v>
      </c>
      <c r="F224" s="870" t="s">
        <v>483</v>
      </c>
      <c r="G224" s="870"/>
      <c r="H224" s="751" t="s">
        <v>2</v>
      </c>
      <c r="I224" s="752">
        <v>0.03</v>
      </c>
      <c r="J224" s="753">
        <v>454.34</v>
      </c>
      <c r="K224" s="753">
        <v>13.63</v>
      </c>
    </row>
    <row r="225" spans="2:11" x14ac:dyDescent="0.25">
      <c r="B225" s="749" t="s">
        <v>478</v>
      </c>
      <c r="C225" s="750" t="s">
        <v>662</v>
      </c>
      <c r="D225" s="749" t="s">
        <v>475</v>
      </c>
      <c r="E225" s="749" t="s">
        <v>1189</v>
      </c>
      <c r="F225" s="870" t="s">
        <v>1291</v>
      </c>
      <c r="G225" s="870"/>
      <c r="H225" s="751" t="s">
        <v>2</v>
      </c>
      <c r="I225" s="752">
        <v>0.03</v>
      </c>
      <c r="J225" s="753">
        <v>90.03</v>
      </c>
      <c r="K225" s="753">
        <v>2.7</v>
      </c>
    </row>
    <row r="226" spans="2:11" ht="47.25" customHeight="1" x14ac:dyDescent="0.25">
      <c r="B226" s="749" t="s">
        <v>478</v>
      </c>
      <c r="C226" s="750" t="s">
        <v>485</v>
      </c>
      <c r="D226" s="749" t="s">
        <v>475</v>
      </c>
      <c r="E226" s="749" t="s">
        <v>486</v>
      </c>
      <c r="F226" s="870" t="s">
        <v>1268</v>
      </c>
      <c r="G226" s="870"/>
      <c r="H226" s="751" t="s">
        <v>484</v>
      </c>
      <c r="I226" s="752">
        <v>0.2</v>
      </c>
      <c r="J226" s="753">
        <v>22.76</v>
      </c>
      <c r="K226" s="753">
        <v>4.55</v>
      </c>
    </row>
    <row r="227" spans="2:11" ht="47.25" customHeight="1" x14ac:dyDescent="0.25">
      <c r="B227" s="749" t="s">
        <v>478</v>
      </c>
      <c r="C227" s="750" t="s">
        <v>620</v>
      </c>
      <c r="D227" s="749" t="s">
        <v>475</v>
      </c>
      <c r="E227" s="749" t="s">
        <v>621</v>
      </c>
      <c r="F227" s="870" t="s">
        <v>1268</v>
      </c>
      <c r="G227" s="870"/>
      <c r="H227" s="751" t="s">
        <v>484</v>
      </c>
      <c r="I227" s="752">
        <v>0.2</v>
      </c>
      <c r="J227" s="753">
        <v>28.5</v>
      </c>
      <c r="K227" s="753">
        <v>5.7</v>
      </c>
    </row>
    <row r="228" spans="2:11" ht="31.5" x14ac:dyDescent="0.25">
      <c r="B228" s="749" t="s">
        <v>487</v>
      </c>
      <c r="C228" s="750" t="s">
        <v>868</v>
      </c>
      <c r="D228" s="749" t="s">
        <v>475</v>
      </c>
      <c r="E228" s="749" t="s">
        <v>869</v>
      </c>
      <c r="F228" s="870" t="s">
        <v>490</v>
      </c>
      <c r="G228" s="870"/>
      <c r="H228" s="751" t="s">
        <v>513</v>
      </c>
      <c r="I228" s="752">
        <v>2</v>
      </c>
      <c r="J228" s="753">
        <v>12.13</v>
      </c>
      <c r="K228" s="753">
        <v>24.26</v>
      </c>
    </row>
    <row r="229" spans="2:11" ht="31.5" x14ac:dyDescent="0.25">
      <c r="B229" s="749" t="s">
        <v>487</v>
      </c>
      <c r="C229" s="750" t="s">
        <v>867</v>
      </c>
      <c r="D229" s="749" t="s">
        <v>475</v>
      </c>
      <c r="E229" s="749" t="s">
        <v>978</v>
      </c>
      <c r="F229" s="870" t="s">
        <v>490</v>
      </c>
      <c r="G229" s="870"/>
      <c r="H229" s="751" t="s">
        <v>513</v>
      </c>
      <c r="I229" s="752">
        <v>2</v>
      </c>
      <c r="J229" s="753">
        <v>1.63</v>
      </c>
      <c r="K229" s="753">
        <v>3.26</v>
      </c>
    </row>
    <row r="230" spans="2:11" ht="31.5" x14ac:dyDescent="0.25">
      <c r="B230" s="749" t="s">
        <v>487</v>
      </c>
      <c r="C230" s="750" t="s">
        <v>863</v>
      </c>
      <c r="D230" s="749" t="s">
        <v>475</v>
      </c>
      <c r="E230" s="749" t="s">
        <v>864</v>
      </c>
      <c r="F230" s="870" t="s">
        <v>490</v>
      </c>
      <c r="G230" s="870"/>
      <c r="H230" s="751" t="s">
        <v>491</v>
      </c>
      <c r="I230" s="752">
        <v>3</v>
      </c>
      <c r="J230" s="753">
        <v>73.63</v>
      </c>
      <c r="K230" s="753">
        <v>220.89</v>
      </c>
    </row>
    <row r="231" spans="2:11" x14ac:dyDescent="0.25">
      <c r="B231" s="749" t="s">
        <v>487</v>
      </c>
      <c r="C231" s="750" t="s">
        <v>861</v>
      </c>
      <c r="D231" s="749" t="s">
        <v>475</v>
      </c>
      <c r="E231" s="749" t="s">
        <v>862</v>
      </c>
      <c r="F231" s="870" t="s">
        <v>490</v>
      </c>
      <c r="G231" s="870"/>
      <c r="H231" s="751" t="s">
        <v>1</v>
      </c>
      <c r="I231" s="752">
        <v>0.36</v>
      </c>
      <c r="J231" s="753">
        <v>924</v>
      </c>
      <c r="K231" s="753">
        <v>332.64</v>
      </c>
    </row>
    <row r="232" spans="2:11" x14ac:dyDescent="0.25">
      <c r="B232" s="749" t="s">
        <v>487</v>
      </c>
      <c r="C232" s="750" t="s">
        <v>865</v>
      </c>
      <c r="D232" s="749" t="s">
        <v>475</v>
      </c>
      <c r="E232" s="749" t="s">
        <v>866</v>
      </c>
      <c r="F232" s="870" t="s">
        <v>490</v>
      </c>
      <c r="G232" s="870"/>
      <c r="H232" s="751" t="s">
        <v>513</v>
      </c>
      <c r="I232" s="752">
        <v>2</v>
      </c>
      <c r="J232" s="753">
        <v>0.17</v>
      </c>
      <c r="K232" s="753">
        <v>0.34</v>
      </c>
    </row>
    <row r="233" spans="2:11" x14ac:dyDescent="0.25">
      <c r="B233" s="744"/>
      <c r="C233" s="744"/>
      <c r="D233" s="744"/>
      <c r="E233" s="744"/>
      <c r="F233" s="744" t="s">
        <v>498</v>
      </c>
      <c r="G233" s="745">
        <v>19.39</v>
      </c>
      <c r="H233" s="744" t="s">
        <v>499</v>
      </c>
      <c r="I233" s="745">
        <v>0</v>
      </c>
      <c r="J233" s="744" t="s">
        <v>500</v>
      </c>
      <c r="K233" s="745">
        <v>19.39</v>
      </c>
    </row>
    <row r="234" spans="2:11" ht="16.5" thickBot="1" x14ac:dyDescent="0.3">
      <c r="B234" s="744"/>
      <c r="C234" s="744"/>
      <c r="D234" s="744"/>
      <c r="E234" s="744"/>
      <c r="F234" s="744" t="s">
        <v>501</v>
      </c>
      <c r="G234" s="745">
        <v>150.15</v>
      </c>
      <c r="H234" s="744"/>
      <c r="I234" s="746" t="s">
        <v>502</v>
      </c>
      <c r="J234" s="746"/>
      <c r="K234" s="745">
        <v>769.85</v>
      </c>
    </row>
    <row r="235" spans="2:11" ht="16.5" thickTop="1" x14ac:dyDescent="0.25">
      <c r="B235" s="757"/>
      <c r="C235" s="757"/>
      <c r="D235" s="757"/>
      <c r="E235" s="757"/>
      <c r="F235" s="757"/>
      <c r="G235" s="757"/>
      <c r="H235" s="757"/>
      <c r="I235" s="757"/>
      <c r="J235" s="757"/>
      <c r="K235" s="757"/>
    </row>
    <row r="236" spans="2:11" x14ac:dyDescent="0.25">
      <c r="B236" s="735" t="s">
        <v>466</v>
      </c>
      <c r="C236" s="736" t="s">
        <v>391</v>
      </c>
      <c r="D236" s="735" t="s">
        <v>392</v>
      </c>
      <c r="E236" s="735" t="s">
        <v>42</v>
      </c>
      <c r="F236" s="737" t="s">
        <v>39</v>
      </c>
      <c r="G236" s="737"/>
      <c r="H236" s="738" t="s">
        <v>394</v>
      </c>
      <c r="I236" s="736" t="s">
        <v>395</v>
      </c>
      <c r="J236" s="736" t="s">
        <v>396</v>
      </c>
      <c r="K236" s="736" t="s">
        <v>0</v>
      </c>
    </row>
    <row r="237" spans="2:11" ht="31.5" x14ac:dyDescent="0.25">
      <c r="B237" s="739" t="s">
        <v>473</v>
      </c>
      <c r="C237" s="740" t="s">
        <v>870</v>
      </c>
      <c r="D237" s="739" t="s">
        <v>509</v>
      </c>
      <c r="E237" s="739" t="s">
        <v>871</v>
      </c>
      <c r="F237" s="741" t="s">
        <v>483</v>
      </c>
      <c r="G237" s="741"/>
      <c r="H237" s="742" t="s">
        <v>213</v>
      </c>
      <c r="I237" s="837">
        <v>1</v>
      </c>
      <c r="J237" s="743">
        <v>141.66</v>
      </c>
      <c r="K237" s="743">
        <v>141.66</v>
      </c>
    </row>
    <row r="238" spans="2:11" ht="30" customHeight="1" x14ac:dyDescent="0.25">
      <c r="B238" s="749" t="s">
        <v>478</v>
      </c>
      <c r="C238" s="750" t="s">
        <v>485</v>
      </c>
      <c r="D238" s="749" t="s">
        <v>475</v>
      </c>
      <c r="E238" s="749" t="s">
        <v>486</v>
      </c>
      <c r="F238" s="870" t="s">
        <v>1268</v>
      </c>
      <c r="G238" s="870"/>
      <c r="H238" s="751" t="s">
        <v>484</v>
      </c>
      <c r="I238" s="752">
        <v>0.4</v>
      </c>
      <c r="J238" s="753">
        <v>22.76</v>
      </c>
      <c r="K238" s="753">
        <v>9.1</v>
      </c>
    </row>
    <row r="239" spans="2:11" ht="31.5" x14ac:dyDescent="0.25">
      <c r="B239" s="749" t="s">
        <v>487</v>
      </c>
      <c r="C239" s="750" t="s">
        <v>550</v>
      </c>
      <c r="D239" s="749" t="s">
        <v>475</v>
      </c>
      <c r="E239" s="749" t="s">
        <v>551</v>
      </c>
      <c r="F239" s="870" t="s">
        <v>490</v>
      </c>
      <c r="G239" s="870"/>
      <c r="H239" s="751" t="s">
        <v>513</v>
      </c>
      <c r="I239" s="752">
        <v>4</v>
      </c>
      <c r="J239" s="753">
        <v>0.14000000000000001</v>
      </c>
      <c r="K239" s="753">
        <v>0.56000000000000005</v>
      </c>
    </row>
    <row r="240" spans="2:11" ht="30" customHeight="1" x14ac:dyDescent="0.25">
      <c r="B240" s="749" t="s">
        <v>487</v>
      </c>
      <c r="C240" s="750" t="s">
        <v>872</v>
      </c>
      <c r="D240" s="749" t="s">
        <v>475</v>
      </c>
      <c r="E240" s="749" t="s">
        <v>979</v>
      </c>
      <c r="F240" s="870" t="s">
        <v>490</v>
      </c>
      <c r="G240" s="870"/>
      <c r="H240" s="751" t="s">
        <v>513</v>
      </c>
      <c r="I240" s="752">
        <v>1</v>
      </c>
      <c r="J240" s="753">
        <v>132</v>
      </c>
      <c r="K240" s="753">
        <v>132</v>
      </c>
    </row>
    <row r="241" spans="2:11" x14ac:dyDescent="0.25">
      <c r="B241" s="744"/>
      <c r="C241" s="744"/>
      <c r="D241" s="744"/>
      <c r="E241" s="744"/>
      <c r="F241" s="744" t="s">
        <v>498</v>
      </c>
      <c r="G241" s="745">
        <v>6.48</v>
      </c>
      <c r="H241" s="744" t="s">
        <v>499</v>
      </c>
      <c r="I241" s="745">
        <v>0</v>
      </c>
      <c r="J241" s="744" t="s">
        <v>500</v>
      </c>
      <c r="K241" s="745">
        <v>6.48</v>
      </c>
    </row>
    <row r="242" spans="2:11" ht="16.5" thickBot="1" x14ac:dyDescent="0.3">
      <c r="B242" s="744"/>
      <c r="C242" s="744"/>
      <c r="D242" s="744"/>
      <c r="E242" s="744"/>
      <c r="F242" s="744" t="s">
        <v>501</v>
      </c>
      <c r="G242" s="745">
        <v>34.32</v>
      </c>
      <c r="H242" s="744"/>
      <c r="I242" s="746" t="s">
        <v>502</v>
      </c>
      <c r="J242" s="746"/>
      <c r="K242" s="745">
        <v>175.98</v>
      </c>
    </row>
    <row r="243" spans="2:11" ht="16.5" thickTop="1" x14ac:dyDescent="0.25">
      <c r="B243" s="757"/>
      <c r="C243" s="757"/>
      <c r="D243" s="757"/>
      <c r="E243" s="757"/>
      <c r="F243" s="757"/>
      <c r="G243" s="757"/>
      <c r="H243" s="757"/>
      <c r="I243" s="757"/>
      <c r="J243" s="757"/>
      <c r="K243" s="757"/>
    </row>
    <row r="244" spans="2:11" x14ac:dyDescent="0.25">
      <c r="B244" s="735" t="s">
        <v>467</v>
      </c>
      <c r="C244" s="736" t="s">
        <v>391</v>
      </c>
      <c r="D244" s="735" t="s">
        <v>392</v>
      </c>
      <c r="E244" s="735" t="s">
        <v>42</v>
      </c>
      <c r="F244" s="737" t="s">
        <v>39</v>
      </c>
      <c r="G244" s="737"/>
      <c r="H244" s="738" t="s">
        <v>394</v>
      </c>
      <c r="I244" s="736" t="s">
        <v>395</v>
      </c>
      <c r="J244" s="736" t="s">
        <v>396</v>
      </c>
      <c r="K244" s="736" t="s">
        <v>0</v>
      </c>
    </row>
    <row r="245" spans="2:11" ht="31.5" x14ac:dyDescent="0.25">
      <c r="B245" s="739" t="s">
        <v>473</v>
      </c>
      <c r="C245" s="740" t="s">
        <v>873</v>
      </c>
      <c r="D245" s="739" t="s">
        <v>509</v>
      </c>
      <c r="E245" s="739" t="s">
        <v>874</v>
      </c>
      <c r="F245" s="741" t="s">
        <v>483</v>
      </c>
      <c r="G245" s="741"/>
      <c r="H245" s="742" t="s">
        <v>213</v>
      </c>
      <c r="I245" s="837">
        <v>1</v>
      </c>
      <c r="J245" s="743">
        <v>276.16000000000003</v>
      </c>
      <c r="K245" s="743">
        <v>276.16000000000003</v>
      </c>
    </row>
    <row r="246" spans="2:11" ht="30" customHeight="1" x14ac:dyDescent="0.25">
      <c r="B246" s="749" t="s">
        <v>478</v>
      </c>
      <c r="C246" s="750" t="s">
        <v>695</v>
      </c>
      <c r="D246" s="749" t="s">
        <v>475</v>
      </c>
      <c r="E246" s="749" t="s">
        <v>696</v>
      </c>
      <c r="F246" s="870" t="s">
        <v>1294</v>
      </c>
      <c r="G246" s="870"/>
      <c r="H246" s="751" t="s">
        <v>2</v>
      </c>
      <c r="I246" s="752">
        <v>3.2000000000000001E-2</v>
      </c>
      <c r="J246" s="753">
        <v>586.39</v>
      </c>
      <c r="K246" s="753">
        <v>18.760000000000002</v>
      </c>
    </row>
    <row r="247" spans="2:11" x14ac:dyDescent="0.25">
      <c r="B247" s="749" t="s">
        <v>478</v>
      </c>
      <c r="C247" s="750" t="s">
        <v>662</v>
      </c>
      <c r="D247" s="749" t="s">
        <v>475</v>
      </c>
      <c r="E247" s="749" t="s">
        <v>1189</v>
      </c>
      <c r="F247" s="870" t="s">
        <v>1291</v>
      </c>
      <c r="G247" s="870"/>
      <c r="H247" s="751" t="s">
        <v>2</v>
      </c>
      <c r="I247" s="752">
        <v>3.2000000000000001E-2</v>
      </c>
      <c r="J247" s="753">
        <v>90.03</v>
      </c>
      <c r="K247" s="753">
        <v>2.88</v>
      </c>
    </row>
    <row r="248" spans="2:11" ht="15.75" customHeight="1" x14ac:dyDescent="0.25">
      <c r="B248" s="749" t="s">
        <v>478</v>
      </c>
      <c r="C248" s="750" t="s">
        <v>485</v>
      </c>
      <c r="D248" s="749" t="s">
        <v>475</v>
      </c>
      <c r="E248" s="749" t="s">
        <v>486</v>
      </c>
      <c r="F248" s="870" t="s">
        <v>1268</v>
      </c>
      <c r="G248" s="870"/>
      <c r="H248" s="751" t="s">
        <v>484</v>
      </c>
      <c r="I248" s="752">
        <v>0.5</v>
      </c>
      <c r="J248" s="753">
        <v>22.76</v>
      </c>
      <c r="K248" s="753">
        <v>11.38</v>
      </c>
    </row>
    <row r="249" spans="2:11" x14ac:dyDescent="0.25">
      <c r="B249" s="749" t="s">
        <v>487</v>
      </c>
      <c r="C249" s="750" t="s">
        <v>878</v>
      </c>
      <c r="D249" s="749" t="s">
        <v>475</v>
      </c>
      <c r="E249" s="749" t="s">
        <v>981</v>
      </c>
      <c r="F249" s="870" t="s">
        <v>490</v>
      </c>
      <c r="G249" s="870"/>
      <c r="H249" s="751" t="s">
        <v>491</v>
      </c>
      <c r="I249" s="752">
        <v>0.5</v>
      </c>
      <c r="J249" s="753">
        <v>11.46</v>
      </c>
      <c r="K249" s="753">
        <v>5.73</v>
      </c>
    </row>
    <row r="250" spans="2:11" ht="31.5" x14ac:dyDescent="0.25">
      <c r="B250" s="749" t="s">
        <v>487</v>
      </c>
      <c r="C250" s="750" t="s">
        <v>863</v>
      </c>
      <c r="D250" s="749" t="s">
        <v>475</v>
      </c>
      <c r="E250" s="749" t="s">
        <v>864</v>
      </c>
      <c r="F250" s="870" t="s">
        <v>490</v>
      </c>
      <c r="G250" s="870"/>
      <c r="H250" s="751" t="s">
        <v>491</v>
      </c>
      <c r="I250" s="752">
        <v>3</v>
      </c>
      <c r="J250" s="753">
        <v>73.63</v>
      </c>
      <c r="K250" s="753">
        <v>220.89</v>
      </c>
    </row>
    <row r="251" spans="2:11" ht="31.5" x14ac:dyDescent="0.25">
      <c r="B251" s="749" t="s">
        <v>487</v>
      </c>
      <c r="C251" s="750" t="s">
        <v>875</v>
      </c>
      <c r="D251" s="749" t="s">
        <v>475</v>
      </c>
      <c r="E251" s="749" t="s">
        <v>876</v>
      </c>
      <c r="F251" s="870" t="s">
        <v>490</v>
      </c>
      <c r="G251" s="870"/>
      <c r="H251" s="751" t="s">
        <v>513</v>
      </c>
      <c r="I251" s="752">
        <v>4</v>
      </c>
      <c r="J251" s="753">
        <v>0.26</v>
      </c>
      <c r="K251" s="753">
        <v>1.04</v>
      </c>
    </row>
    <row r="252" spans="2:11" x14ac:dyDescent="0.25">
      <c r="B252" s="749" t="s">
        <v>487</v>
      </c>
      <c r="C252" s="750" t="s">
        <v>877</v>
      </c>
      <c r="D252" s="749" t="s">
        <v>475</v>
      </c>
      <c r="E252" s="749" t="s">
        <v>980</v>
      </c>
      <c r="F252" s="870" t="s">
        <v>490</v>
      </c>
      <c r="G252" s="870"/>
      <c r="H252" s="751" t="s">
        <v>513</v>
      </c>
      <c r="I252" s="752">
        <v>8</v>
      </c>
      <c r="J252" s="753">
        <v>1.76</v>
      </c>
      <c r="K252" s="753">
        <v>14.08</v>
      </c>
    </row>
    <row r="253" spans="2:11" x14ac:dyDescent="0.25">
      <c r="B253" s="749" t="s">
        <v>487</v>
      </c>
      <c r="C253" s="750" t="s">
        <v>558</v>
      </c>
      <c r="D253" s="749" t="s">
        <v>475</v>
      </c>
      <c r="E253" s="749" t="s">
        <v>559</v>
      </c>
      <c r="F253" s="870" t="s">
        <v>490</v>
      </c>
      <c r="G253" s="870"/>
      <c r="H253" s="751" t="s">
        <v>513</v>
      </c>
      <c r="I253" s="752">
        <v>4</v>
      </c>
      <c r="J253" s="753">
        <v>0.35</v>
      </c>
      <c r="K253" s="753">
        <v>1.4</v>
      </c>
    </row>
    <row r="254" spans="2:11" x14ac:dyDescent="0.25">
      <c r="B254" s="744"/>
      <c r="C254" s="744"/>
      <c r="D254" s="744"/>
      <c r="E254" s="744"/>
      <c r="F254" s="744" t="s">
        <v>498</v>
      </c>
      <c r="G254" s="745">
        <v>12.58</v>
      </c>
      <c r="H254" s="744" t="s">
        <v>499</v>
      </c>
      <c r="I254" s="745">
        <v>0</v>
      </c>
      <c r="J254" s="744" t="s">
        <v>500</v>
      </c>
      <c r="K254" s="745">
        <v>12.58</v>
      </c>
    </row>
    <row r="255" spans="2:11" ht="16.5" thickBot="1" x14ac:dyDescent="0.3">
      <c r="B255" s="744"/>
      <c r="C255" s="744"/>
      <c r="D255" s="744"/>
      <c r="E255" s="744"/>
      <c r="F255" s="744" t="s">
        <v>501</v>
      </c>
      <c r="G255" s="745">
        <v>66.91</v>
      </c>
      <c r="H255" s="744"/>
      <c r="I255" s="746" t="s">
        <v>502</v>
      </c>
      <c r="J255" s="746"/>
      <c r="K255" s="745">
        <v>343.07</v>
      </c>
    </row>
    <row r="256" spans="2:11" ht="16.5" thickTop="1" x14ac:dyDescent="0.25">
      <c r="B256" s="757"/>
      <c r="C256" s="757"/>
      <c r="D256" s="757"/>
      <c r="E256" s="757"/>
      <c r="F256" s="757"/>
      <c r="G256" s="757"/>
      <c r="H256" s="757"/>
      <c r="I256" s="757"/>
      <c r="J256" s="757"/>
      <c r="K256" s="757"/>
    </row>
    <row r="257" spans="2:11" x14ac:dyDescent="0.25">
      <c r="B257" s="735" t="s">
        <v>468</v>
      </c>
      <c r="C257" s="736" t="s">
        <v>391</v>
      </c>
      <c r="D257" s="735" t="s">
        <v>392</v>
      </c>
      <c r="E257" s="735" t="s">
        <v>42</v>
      </c>
      <c r="F257" s="737" t="s">
        <v>39</v>
      </c>
      <c r="G257" s="737"/>
      <c r="H257" s="738" t="s">
        <v>394</v>
      </c>
      <c r="I257" s="736" t="s">
        <v>395</v>
      </c>
      <c r="J257" s="736" t="s">
        <v>396</v>
      </c>
      <c r="K257" s="736" t="s">
        <v>0</v>
      </c>
    </row>
    <row r="258" spans="2:11" ht="15.75" customHeight="1" x14ac:dyDescent="0.25">
      <c r="B258" s="739" t="s">
        <v>473</v>
      </c>
      <c r="C258" s="740" t="s">
        <v>1230</v>
      </c>
      <c r="D258" s="739" t="s">
        <v>509</v>
      </c>
      <c r="E258" s="739" t="s">
        <v>1231</v>
      </c>
      <c r="F258" s="741" t="s">
        <v>483</v>
      </c>
      <c r="G258" s="741"/>
      <c r="H258" s="742" t="s">
        <v>213</v>
      </c>
      <c r="I258" s="837">
        <v>1</v>
      </c>
      <c r="J258" s="743">
        <v>309258</v>
      </c>
      <c r="K258" s="743">
        <v>309258</v>
      </c>
    </row>
    <row r="259" spans="2:11" ht="15.75" customHeight="1" x14ac:dyDescent="0.25">
      <c r="B259" s="749" t="s">
        <v>478</v>
      </c>
      <c r="C259" s="750" t="s">
        <v>891</v>
      </c>
      <c r="D259" s="749" t="s">
        <v>475</v>
      </c>
      <c r="E259" s="749" t="s">
        <v>892</v>
      </c>
      <c r="F259" s="870" t="s">
        <v>1268</v>
      </c>
      <c r="G259" s="870"/>
      <c r="H259" s="751" t="s">
        <v>484</v>
      </c>
      <c r="I259" s="752">
        <v>900</v>
      </c>
      <c r="J259" s="753">
        <v>36.14</v>
      </c>
      <c r="K259" s="753">
        <v>32526</v>
      </c>
    </row>
    <row r="260" spans="2:11" ht="15.75" customHeight="1" x14ac:dyDescent="0.25">
      <c r="B260" s="749" t="s">
        <v>478</v>
      </c>
      <c r="C260" s="750" t="s">
        <v>889</v>
      </c>
      <c r="D260" s="749" t="s">
        <v>475</v>
      </c>
      <c r="E260" s="749" t="s">
        <v>890</v>
      </c>
      <c r="F260" s="870" t="s">
        <v>1268</v>
      </c>
      <c r="G260" s="870"/>
      <c r="H260" s="751" t="s">
        <v>484</v>
      </c>
      <c r="I260" s="752">
        <v>900</v>
      </c>
      <c r="J260" s="753">
        <v>42.47</v>
      </c>
      <c r="K260" s="753">
        <v>38223</v>
      </c>
    </row>
    <row r="261" spans="2:11" ht="15.75" customHeight="1" x14ac:dyDescent="0.25">
      <c r="B261" s="749" t="s">
        <v>478</v>
      </c>
      <c r="C261" s="750" t="s">
        <v>881</v>
      </c>
      <c r="D261" s="749" t="s">
        <v>475</v>
      </c>
      <c r="E261" s="749" t="s">
        <v>882</v>
      </c>
      <c r="F261" s="870" t="s">
        <v>1268</v>
      </c>
      <c r="G261" s="870"/>
      <c r="H261" s="751" t="s">
        <v>484</v>
      </c>
      <c r="I261" s="752">
        <v>1000</v>
      </c>
      <c r="J261" s="753">
        <v>44.28</v>
      </c>
      <c r="K261" s="753">
        <v>44280</v>
      </c>
    </row>
    <row r="262" spans="2:11" ht="15" customHeight="1" x14ac:dyDescent="0.25">
      <c r="B262" s="749" t="s">
        <v>478</v>
      </c>
      <c r="C262" s="750" t="s">
        <v>887</v>
      </c>
      <c r="D262" s="749" t="s">
        <v>475</v>
      </c>
      <c r="E262" s="749" t="s">
        <v>888</v>
      </c>
      <c r="F262" s="870" t="s">
        <v>1268</v>
      </c>
      <c r="G262" s="870"/>
      <c r="H262" s="751" t="s">
        <v>484</v>
      </c>
      <c r="I262" s="752">
        <v>900</v>
      </c>
      <c r="J262" s="753">
        <v>19.760000000000002</v>
      </c>
      <c r="K262" s="753">
        <v>17784</v>
      </c>
    </row>
    <row r="263" spans="2:11" ht="15.75" customHeight="1" x14ac:dyDescent="0.25">
      <c r="B263" s="749" t="s">
        <v>478</v>
      </c>
      <c r="C263" s="750" t="s">
        <v>883</v>
      </c>
      <c r="D263" s="749" t="s">
        <v>475</v>
      </c>
      <c r="E263" s="749" t="s">
        <v>884</v>
      </c>
      <c r="F263" s="870" t="s">
        <v>1268</v>
      </c>
      <c r="G263" s="870"/>
      <c r="H263" s="751" t="s">
        <v>484</v>
      </c>
      <c r="I263" s="752">
        <v>1000</v>
      </c>
      <c r="J263" s="753">
        <v>22.51</v>
      </c>
      <c r="K263" s="753">
        <v>22510</v>
      </c>
    </row>
    <row r="264" spans="2:11" ht="15.75" customHeight="1" x14ac:dyDescent="0.25">
      <c r="B264" s="749" t="s">
        <v>478</v>
      </c>
      <c r="C264" s="750" t="s">
        <v>879</v>
      </c>
      <c r="D264" s="749" t="s">
        <v>475</v>
      </c>
      <c r="E264" s="749" t="s">
        <v>880</v>
      </c>
      <c r="F264" s="870" t="s">
        <v>1268</v>
      </c>
      <c r="G264" s="870"/>
      <c r="H264" s="751" t="s">
        <v>484</v>
      </c>
      <c r="I264" s="752">
        <v>850</v>
      </c>
      <c r="J264" s="753">
        <v>141.5</v>
      </c>
      <c r="K264" s="753">
        <v>120275</v>
      </c>
    </row>
    <row r="265" spans="2:11" ht="15.75" customHeight="1" x14ac:dyDescent="0.25">
      <c r="B265" s="749" t="s">
        <v>478</v>
      </c>
      <c r="C265" s="750" t="s">
        <v>885</v>
      </c>
      <c r="D265" s="749" t="s">
        <v>475</v>
      </c>
      <c r="E265" s="749" t="s">
        <v>886</v>
      </c>
      <c r="F265" s="870" t="s">
        <v>1268</v>
      </c>
      <c r="G265" s="870"/>
      <c r="H265" s="751" t="s">
        <v>484</v>
      </c>
      <c r="I265" s="752">
        <v>900</v>
      </c>
      <c r="J265" s="753">
        <v>37.4</v>
      </c>
      <c r="K265" s="753">
        <v>33660</v>
      </c>
    </row>
    <row r="266" spans="2:11" x14ac:dyDescent="0.25">
      <c r="B266" s="744"/>
      <c r="C266" s="744"/>
      <c r="D266" s="744"/>
      <c r="E266" s="744"/>
      <c r="F266" s="744" t="s">
        <v>498</v>
      </c>
      <c r="G266" s="745">
        <v>273817</v>
      </c>
      <c r="H266" s="744" t="s">
        <v>499</v>
      </c>
      <c r="I266" s="745">
        <v>0</v>
      </c>
      <c r="J266" s="744" t="s">
        <v>500</v>
      </c>
      <c r="K266" s="745">
        <v>273817</v>
      </c>
    </row>
    <row r="267" spans="2:11" ht="16.5" thickBot="1" x14ac:dyDescent="0.3">
      <c r="B267" s="744"/>
      <c r="C267" s="744"/>
      <c r="D267" s="744"/>
      <c r="E267" s="744"/>
      <c r="F267" s="744" t="s">
        <v>501</v>
      </c>
      <c r="G267" s="745">
        <v>74933.210000000006</v>
      </c>
      <c r="H267" s="744"/>
      <c r="I267" s="746" t="s">
        <v>502</v>
      </c>
      <c r="J267" s="746"/>
      <c r="K267" s="745">
        <v>384191.21</v>
      </c>
    </row>
    <row r="268" spans="2:11" ht="16.5" thickTop="1" x14ac:dyDescent="0.25">
      <c r="B268" s="757"/>
      <c r="C268" s="757"/>
      <c r="D268" s="757"/>
      <c r="E268" s="757"/>
      <c r="F268" s="757"/>
      <c r="G268" s="757"/>
      <c r="H268" s="757"/>
      <c r="I268" s="757"/>
      <c r="J268" s="757"/>
      <c r="K268" s="757"/>
    </row>
    <row r="269" spans="2:11" ht="31.5" x14ac:dyDescent="0.25">
      <c r="B269" s="838" t="s">
        <v>909</v>
      </c>
      <c r="C269" s="839"/>
      <c r="D269" s="839"/>
      <c r="E269" s="839"/>
      <c r="F269" s="839"/>
      <c r="G269" s="839"/>
      <c r="H269" s="839"/>
      <c r="I269" s="839"/>
      <c r="J269" s="839"/>
      <c r="K269" s="839"/>
    </row>
    <row r="270" spans="2:11" x14ac:dyDescent="0.25">
      <c r="B270" s="735"/>
      <c r="C270" s="736" t="s">
        <v>391</v>
      </c>
      <c r="D270" s="735" t="s">
        <v>392</v>
      </c>
      <c r="E270" s="735" t="s">
        <v>42</v>
      </c>
      <c r="F270" s="737" t="s">
        <v>39</v>
      </c>
      <c r="G270" s="737"/>
      <c r="H270" s="738" t="s">
        <v>394</v>
      </c>
      <c r="I270" s="736" t="s">
        <v>395</v>
      </c>
      <c r="J270" s="736" t="s">
        <v>396</v>
      </c>
      <c r="K270" s="736" t="s">
        <v>0</v>
      </c>
    </row>
    <row r="271" spans="2:11" ht="31.5" customHeight="1" x14ac:dyDescent="0.25">
      <c r="B271" s="739" t="s">
        <v>473</v>
      </c>
      <c r="C271" s="740" t="s">
        <v>1229</v>
      </c>
      <c r="D271" s="739" t="s">
        <v>509</v>
      </c>
      <c r="E271" s="739" t="s">
        <v>860</v>
      </c>
      <c r="F271" s="741" t="s">
        <v>483</v>
      </c>
      <c r="G271" s="741"/>
      <c r="H271" s="742" t="s">
        <v>2</v>
      </c>
      <c r="I271" s="837">
        <v>1</v>
      </c>
      <c r="J271" s="743">
        <v>454.34</v>
      </c>
      <c r="K271" s="743">
        <v>454.34</v>
      </c>
    </row>
    <row r="272" spans="2:11" ht="47.25" customHeight="1" x14ac:dyDescent="0.25">
      <c r="B272" s="749" t="s">
        <v>478</v>
      </c>
      <c r="C272" s="750" t="s">
        <v>910</v>
      </c>
      <c r="D272" s="749" t="s">
        <v>475</v>
      </c>
      <c r="E272" s="749" t="s">
        <v>982</v>
      </c>
      <c r="F272" s="870" t="s">
        <v>1285</v>
      </c>
      <c r="G272" s="870"/>
      <c r="H272" s="751" t="s">
        <v>564</v>
      </c>
      <c r="I272" s="752">
        <v>0.71399999999999997</v>
      </c>
      <c r="J272" s="753">
        <v>2.13</v>
      </c>
      <c r="K272" s="753">
        <v>1.52</v>
      </c>
    </row>
    <row r="273" spans="2:11" ht="15.75" customHeight="1" x14ac:dyDescent="0.25">
      <c r="B273" s="749" t="s">
        <v>478</v>
      </c>
      <c r="C273" s="750" t="s">
        <v>485</v>
      </c>
      <c r="D273" s="749" t="s">
        <v>475</v>
      </c>
      <c r="E273" s="749" t="s">
        <v>486</v>
      </c>
      <c r="F273" s="870" t="s">
        <v>1268</v>
      </c>
      <c r="G273" s="870"/>
      <c r="H273" s="751" t="s">
        <v>484</v>
      </c>
      <c r="I273" s="752">
        <v>6</v>
      </c>
      <c r="J273" s="753">
        <v>22.76</v>
      </c>
      <c r="K273" s="753">
        <v>136.56</v>
      </c>
    </row>
    <row r="274" spans="2:11" x14ac:dyDescent="0.25">
      <c r="B274" s="749" t="s">
        <v>487</v>
      </c>
      <c r="C274" s="750" t="s">
        <v>742</v>
      </c>
      <c r="D274" s="749" t="s">
        <v>475</v>
      </c>
      <c r="E274" s="749" t="s">
        <v>743</v>
      </c>
      <c r="F274" s="870" t="s">
        <v>490</v>
      </c>
      <c r="G274" s="870"/>
      <c r="H274" s="751" t="s">
        <v>495</v>
      </c>
      <c r="I274" s="752">
        <v>210</v>
      </c>
      <c r="J274" s="753">
        <v>0.83</v>
      </c>
      <c r="K274" s="753">
        <v>174.3</v>
      </c>
    </row>
    <row r="275" spans="2:11" ht="31.5" x14ac:dyDescent="0.25">
      <c r="B275" s="749" t="s">
        <v>487</v>
      </c>
      <c r="C275" s="750" t="s">
        <v>911</v>
      </c>
      <c r="D275" s="749" t="s">
        <v>475</v>
      </c>
      <c r="E275" s="749" t="s">
        <v>912</v>
      </c>
      <c r="F275" s="870" t="s">
        <v>490</v>
      </c>
      <c r="G275" s="870"/>
      <c r="H275" s="751" t="s">
        <v>2</v>
      </c>
      <c r="I275" s="752">
        <v>0.57999999999999996</v>
      </c>
      <c r="J275" s="753">
        <v>83.07</v>
      </c>
      <c r="K275" s="753">
        <v>48.18</v>
      </c>
    </row>
    <row r="276" spans="2:11" x14ac:dyDescent="0.25">
      <c r="B276" s="749" t="s">
        <v>487</v>
      </c>
      <c r="C276" s="750" t="s">
        <v>913</v>
      </c>
      <c r="D276" s="749" t="s">
        <v>475</v>
      </c>
      <c r="E276" s="749" t="s">
        <v>914</v>
      </c>
      <c r="F276" s="870" t="s">
        <v>490</v>
      </c>
      <c r="G276" s="870"/>
      <c r="H276" s="751" t="s">
        <v>2</v>
      </c>
      <c r="I276" s="752">
        <v>0.95</v>
      </c>
      <c r="J276" s="753">
        <v>98.72</v>
      </c>
      <c r="K276" s="753">
        <v>93.78</v>
      </c>
    </row>
    <row r="277" spans="2:11" x14ac:dyDescent="0.25">
      <c r="B277" s="744"/>
      <c r="C277" s="744"/>
      <c r="D277" s="744"/>
      <c r="E277" s="744"/>
      <c r="F277" s="744" t="s">
        <v>498</v>
      </c>
      <c r="G277" s="745">
        <v>97.32</v>
      </c>
      <c r="H277" s="744" t="s">
        <v>499</v>
      </c>
      <c r="I277" s="745">
        <v>0</v>
      </c>
      <c r="J277" s="744" t="s">
        <v>500</v>
      </c>
      <c r="K277" s="745">
        <v>97.32</v>
      </c>
    </row>
    <row r="278" spans="2:11" ht="16.5" thickBot="1" x14ac:dyDescent="0.3">
      <c r="B278" s="744"/>
      <c r="C278" s="744"/>
      <c r="D278" s="744"/>
      <c r="E278" s="744"/>
      <c r="F278" s="744" t="s">
        <v>501</v>
      </c>
      <c r="G278" s="745">
        <v>110.08</v>
      </c>
      <c r="H278" s="744"/>
      <c r="I278" s="746" t="s">
        <v>502</v>
      </c>
      <c r="J278" s="746"/>
      <c r="K278" s="745">
        <v>564.41999999999996</v>
      </c>
    </row>
    <row r="279" spans="2:11" ht="16.5" thickTop="1" x14ac:dyDescent="0.25">
      <c r="B279" s="757"/>
      <c r="C279" s="757"/>
      <c r="D279" s="757"/>
      <c r="E279" s="757"/>
      <c r="F279" s="757"/>
      <c r="G279" s="757"/>
      <c r="H279" s="757"/>
      <c r="I279" s="757"/>
      <c r="J279" s="757"/>
      <c r="K279" s="757"/>
    </row>
    <row r="280" spans="2:11" x14ac:dyDescent="0.25">
      <c r="B280" s="735"/>
      <c r="C280" s="736" t="s">
        <v>391</v>
      </c>
      <c r="D280" s="735" t="s">
        <v>392</v>
      </c>
      <c r="E280" s="735" t="s">
        <v>42</v>
      </c>
      <c r="F280" s="737" t="s">
        <v>39</v>
      </c>
      <c r="G280" s="737"/>
      <c r="H280" s="738" t="s">
        <v>394</v>
      </c>
      <c r="I280" s="736" t="s">
        <v>395</v>
      </c>
      <c r="J280" s="736" t="s">
        <v>396</v>
      </c>
      <c r="K280" s="736" t="s">
        <v>0</v>
      </c>
    </row>
    <row r="281" spans="2:11" ht="31.5" x14ac:dyDescent="0.25">
      <c r="B281" s="739" t="s">
        <v>473</v>
      </c>
      <c r="C281" s="740" t="s">
        <v>1203</v>
      </c>
      <c r="D281" s="739" t="s">
        <v>509</v>
      </c>
      <c r="E281" s="739" t="s">
        <v>792</v>
      </c>
      <c r="F281" s="741" t="s">
        <v>665</v>
      </c>
      <c r="G281" s="741"/>
      <c r="H281" s="742" t="s">
        <v>2</v>
      </c>
      <c r="I281" s="837">
        <v>1</v>
      </c>
      <c r="J281" s="743">
        <v>211.61</v>
      </c>
      <c r="K281" s="743">
        <v>211.61</v>
      </c>
    </row>
    <row r="282" spans="2:11" ht="15" customHeight="1" x14ac:dyDescent="0.25">
      <c r="B282" s="749" t="s">
        <v>478</v>
      </c>
      <c r="C282" s="750" t="s">
        <v>485</v>
      </c>
      <c r="D282" s="749" t="s">
        <v>475</v>
      </c>
      <c r="E282" s="749" t="s">
        <v>486</v>
      </c>
      <c r="F282" s="870" t="s">
        <v>1268</v>
      </c>
      <c r="G282" s="870"/>
      <c r="H282" s="751" t="s">
        <v>484</v>
      </c>
      <c r="I282" s="752">
        <v>0.76500000000000001</v>
      </c>
      <c r="J282" s="753">
        <v>22.76</v>
      </c>
      <c r="K282" s="753">
        <v>17.41</v>
      </c>
    </row>
    <row r="283" spans="2:11" ht="15" customHeight="1" x14ac:dyDescent="0.25">
      <c r="B283" s="749" t="s">
        <v>478</v>
      </c>
      <c r="C283" s="750" t="s">
        <v>620</v>
      </c>
      <c r="D283" s="749" t="s">
        <v>475</v>
      </c>
      <c r="E283" s="749" t="s">
        <v>621</v>
      </c>
      <c r="F283" s="870" t="s">
        <v>1268</v>
      </c>
      <c r="G283" s="870"/>
      <c r="H283" s="751" t="s">
        <v>484</v>
      </c>
      <c r="I283" s="752">
        <v>1.9419999999999999</v>
      </c>
      <c r="J283" s="753">
        <v>28.5</v>
      </c>
      <c r="K283" s="753">
        <v>55.34</v>
      </c>
    </row>
    <row r="284" spans="2:11" ht="31.5" customHeight="1" x14ac:dyDescent="0.25">
      <c r="B284" s="749" t="s">
        <v>478</v>
      </c>
      <c r="C284" s="750" t="s">
        <v>915</v>
      </c>
      <c r="D284" s="749" t="s">
        <v>475</v>
      </c>
      <c r="E284" s="749" t="s">
        <v>916</v>
      </c>
      <c r="F284" s="870" t="s">
        <v>1285</v>
      </c>
      <c r="G284" s="870"/>
      <c r="H284" s="751" t="s">
        <v>564</v>
      </c>
      <c r="I284" s="752">
        <v>0.41899999999999998</v>
      </c>
      <c r="J284" s="753">
        <v>6.29</v>
      </c>
      <c r="K284" s="753">
        <v>2.63</v>
      </c>
    </row>
    <row r="285" spans="2:11" ht="15" customHeight="1" x14ac:dyDescent="0.25">
      <c r="B285" s="749" t="s">
        <v>487</v>
      </c>
      <c r="C285" s="750" t="s">
        <v>913</v>
      </c>
      <c r="D285" s="749" t="s">
        <v>475</v>
      </c>
      <c r="E285" s="749" t="s">
        <v>914</v>
      </c>
      <c r="F285" s="870" t="s">
        <v>490</v>
      </c>
      <c r="G285" s="870"/>
      <c r="H285" s="751" t="s">
        <v>2</v>
      </c>
      <c r="I285" s="752">
        <v>1.38</v>
      </c>
      <c r="J285" s="753">
        <v>98.72</v>
      </c>
      <c r="K285" s="753">
        <v>136.22999999999999</v>
      </c>
    </row>
    <row r="286" spans="2:11" ht="15" customHeight="1" x14ac:dyDescent="0.25">
      <c r="B286" s="744"/>
      <c r="C286" s="744"/>
      <c r="D286" s="744"/>
      <c r="E286" s="744"/>
      <c r="F286" s="744" t="s">
        <v>498</v>
      </c>
      <c r="G286" s="745">
        <v>54.56</v>
      </c>
      <c r="H286" s="744" t="s">
        <v>499</v>
      </c>
      <c r="I286" s="745">
        <v>0</v>
      </c>
      <c r="J286" s="744" t="s">
        <v>500</v>
      </c>
      <c r="K286" s="745">
        <v>54.56</v>
      </c>
    </row>
    <row r="287" spans="2:11" ht="15" customHeight="1" thickBot="1" x14ac:dyDescent="0.3">
      <c r="B287" s="744"/>
      <c r="C287" s="744"/>
      <c r="D287" s="744"/>
      <c r="E287" s="744"/>
      <c r="F287" s="744" t="s">
        <v>501</v>
      </c>
      <c r="G287" s="745">
        <v>51.27</v>
      </c>
      <c r="H287" s="744"/>
      <c r="I287" s="746" t="s">
        <v>502</v>
      </c>
      <c r="J287" s="746"/>
      <c r="K287" s="745">
        <v>262.88</v>
      </c>
    </row>
    <row r="288" spans="2:11" ht="15" customHeight="1" thickTop="1" x14ac:dyDescent="0.25">
      <c r="B288" s="757"/>
      <c r="C288" s="757"/>
      <c r="D288" s="757"/>
      <c r="E288" s="757"/>
      <c r="F288" s="757"/>
      <c r="G288" s="757"/>
      <c r="H288" s="757"/>
      <c r="I288" s="757"/>
      <c r="J288" s="757"/>
      <c r="K288" s="757"/>
    </row>
    <row r="289" spans="2:11" ht="15" customHeight="1" x14ac:dyDescent="0.25">
      <c r="B289" s="735"/>
      <c r="C289" s="736" t="s">
        <v>391</v>
      </c>
      <c r="D289" s="735" t="s">
        <v>392</v>
      </c>
      <c r="E289" s="735" t="s">
        <v>42</v>
      </c>
      <c r="F289" s="737" t="s">
        <v>39</v>
      </c>
      <c r="G289" s="737"/>
      <c r="H289" s="738" t="s">
        <v>394</v>
      </c>
      <c r="I289" s="736" t="s">
        <v>395</v>
      </c>
      <c r="J289" s="736" t="s">
        <v>396</v>
      </c>
      <c r="K289" s="736" t="s">
        <v>0</v>
      </c>
    </row>
    <row r="290" spans="2:11" ht="36.75" customHeight="1" x14ac:dyDescent="0.25">
      <c r="B290" s="739" t="s">
        <v>473</v>
      </c>
      <c r="C290" s="740" t="s">
        <v>1148</v>
      </c>
      <c r="D290" s="739" t="s">
        <v>509</v>
      </c>
      <c r="E290" s="739" t="s">
        <v>516</v>
      </c>
      <c r="F290" s="741" t="s">
        <v>517</v>
      </c>
      <c r="G290" s="741"/>
      <c r="H290" s="742" t="s">
        <v>513</v>
      </c>
      <c r="I290" s="837">
        <v>1</v>
      </c>
      <c r="J290" s="743">
        <v>67.64</v>
      </c>
      <c r="K290" s="743">
        <v>67.64</v>
      </c>
    </row>
    <row r="291" spans="2:11" ht="15.75" customHeight="1" x14ac:dyDescent="0.25">
      <c r="B291" s="749" t="s">
        <v>478</v>
      </c>
      <c r="C291" s="750" t="s">
        <v>485</v>
      </c>
      <c r="D291" s="749" t="s">
        <v>475</v>
      </c>
      <c r="E291" s="749" t="s">
        <v>486</v>
      </c>
      <c r="F291" s="870" t="s">
        <v>1268</v>
      </c>
      <c r="G291" s="870"/>
      <c r="H291" s="751" t="s">
        <v>484</v>
      </c>
      <c r="I291" s="752">
        <v>0.6</v>
      </c>
      <c r="J291" s="753">
        <v>22.76</v>
      </c>
      <c r="K291" s="753">
        <v>13.65</v>
      </c>
    </row>
    <row r="292" spans="2:11" ht="15.75" customHeight="1" x14ac:dyDescent="0.25">
      <c r="B292" s="749" t="s">
        <v>478</v>
      </c>
      <c r="C292" s="750" t="s">
        <v>917</v>
      </c>
      <c r="D292" s="749" t="s">
        <v>475</v>
      </c>
      <c r="E292" s="749" t="s">
        <v>918</v>
      </c>
      <c r="F292" s="870" t="s">
        <v>1268</v>
      </c>
      <c r="G292" s="870"/>
      <c r="H292" s="751" t="s">
        <v>484</v>
      </c>
      <c r="I292" s="752">
        <v>0.6</v>
      </c>
      <c r="J292" s="753">
        <v>27.84</v>
      </c>
      <c r="K292" s="753">
        <v>16.7</v>
      </c>
    </row>
    <row r="293" spans="2:11" ht="15" customHeight="1" x14ac:dyDescent="0.25">
      <c r="B293" s="749" t="s">
        <v>487</v>
      </c>
      <c r="C293" s="750" t="s">
        <v>921</v>
      </c>
      <c r="D293" s="749" t="s">
        <v>475</v>
      </c>
      <c r="E293" s="749" t="s">
        <v>1235</v>
      </c>
      <c r="F293" s="870" t="s">
        <v>490</v>
      </c>
      <c r="G293" s="870"/>
      <c r="H293" s="751" t="s">
        <v>513</v>
      </c>
      <c r="I293" s="752">
        <v>8.9999999999999993E-3</v>
      </c>
      <c r="J293" s="753">
        <v>19.170000000000002</v>
      </c>
      <c r="K293" s="753">
        <v>0.17</v>
      </c>
    </row>
    <row r="294" spans="2:11" x14ac:dyDescent="0.25">
      <c r="B294" s="749" t="s">
        <v>487</v>
      </c>
      <c r="C294" s="750" t="s">
        <v>922</v>
      </c>
      <c r="D294" s="749" t="s">
        <v>475</v>
      </c>
      <c r="E294" s="749" t="s">
        <v>923</v>
      </c>
      <c r="F294" s="870" t="s">
        <v>490</v>
      </c>
      <c r="G294" s="870"/>
      <c r="H294" s="751" t="s">
        <v>513</v>
      </c>
      <c r="I294" s="752">
        <v>1</v>
      </c>
      <c r="J294" s="753">
        <v>5.6</v>
      </c>
      <c r="K294" s="753">
        <v>5.6</v>
      </c>
    </row>
    <row r="295" spans="2:11" ht="31.5" x14ac:dyDescent="0.25">
      <c r="B295" s="749" t="s">
        <v>487</v>
      </c>
      <c r="C295" s="750" t="s">
        <v>919</v>
      </c>
      <c r="D295" s="749" t="s">
        <v>475</v>
      </c>
      <c r="E295" s="749" t="s">
        <v>920</v>
      </c>
      <c r="F295" s="870" t="s">
        <v>490</v>
      </c>
      <c r="G295" s="870"/>
      <c r="H295" s="751" t="s">
        <v>513</v>
      </c>
      <c r="I295" s="752">
        <v>1</v>
      </c>
      <c r="J295" s="753">
        <v>13.98</v>
      </c>
      <c r="K295" s="753">
        <v>13.98</v>
      </c>
    </row>
    <row r="296" spans="2:11" ht="30" customHeight="1" x14ac:dyDescent="0.25">
      <c r="B296" s="749" t="s">
        <v>487</v>
      </c>
      <c r="C296" s="750" t="s">
        <v>924</v>
      </c>
      <c r="D296" s="749" t="s">
        <v>475</v>
      </c>
      <c r="E296" s="749" t="s">
        <v>925</v>
      </c>
      <c r="F296" s="870" t="s">
        <v>490</v>
      </c>
      <c r="G296" s="870"/>
      <c r="H296" s="751" t="s">
        <v>513</v>
      </c>
      <c r="I296" s="752">
        <v>1</v>
      </c>
      <c r="J296" s="753">
        <v>17.54</v>
      </c>
      <c r="K296" s="753">
        <v>17.54</v>
      </c>
    </row>
    <row r="297" spans="2:11" ht="15" customHeight="1" x14ac:dyDescent="0.25">
      <c r="B297" s="744"/>
      <c r="C297" s="744"/>
      <c r="D297" s="744"/>
      <c r="E297" s="744"/>
      <c r="F297" s="744" t="s">
        <v>498</v>
      </c>
      <c r="G297" s="745">
        <v>22.71</v>
      </c>
      <c r="H297" s="744" t="s">
        <v>499</v>
      </c>
      <c r="I297" s="745">
        <v>0</v>
      </c>
      <c r="J297" s="744" t="s">
        <v>500</v>
      </c>
      <c r="K297" s="745">
        <v>22.71</v>
      </c>
    </row>
    <row r="298" spans="2:11" ht="16.5" thickBot="1" x14ac:dyDescent="0.3">
      <c r="B298" s="744"/>
      <c r="C298" s="744"/>
      <c r="D298" s="744"/>
      <c r="E298" s="744"/>
      <c r="F298" s="744" t="s">
        <v>501</v>
      </c>
      <c r="G298" s="745">
        <v>16.38</v>
      </c>
      <c r="H298" s="744"/>
      <c r="I298" s="746" t="s">
        <v>502</v>
      </c>
      <c r="J298" s="746"/>
      <c r="K298" s="745">
        <v>84.02</v>
      </c>
    </row>
    <row r="299" spans="2:11" ht="16.5" thickTop="1" x14ac:dyDescent="0.25">
      <c r="B299" s="757"/>
      <c r="C299" s="757"/>
      <c r="D299" s="757"/>
      <c r="E299" s="757"/>
      <c r="F299" s="757"/>
      <c r="G299" s="757"/>
      <c r="H299" s="757"/>
      <c r="I299" s="757"/>
      <c r="J299" s="757"/>
      <c r="K299" s="757"/>
    </row>
    <row r="300" spans="2:11" x14ac:dyDescent="0.25">
      <c r="B300" s="735"/>
      <c r="C300" s="736" t="s">
        <v>391</v>
      </c>
      <c r="D300" s="735" t="s">
        <v>392</v>
      </c>
      <c r="E300" s="735" t="s">
        <v>42</v>
      </c>
      <c r="F300" s="737" t="s">
        <v>39</v>
      </c>
      <c r="G300" s="737"/>
      <c r="H300" s="738" t="s">
        <v>394</v>
      </c>
      <c r="I300" s="736" t="s">
        <v>395</v>
      </c>
      <c r="J300" s="736" t="s">
        <v>396</v>
      </c>
      <c r="K300" s="736" t="s">
        <v>0</v>
      </c>
    </row>
    <row r="301" spans="2:11" ht="35.25" customHeight="1" x14ac:dyDescent="0.25">
      <c r="B301" s="739" t="s">
        <v>473</v>
      </c>
      <c r="C301" s="740" t="s">
        <v>1147</v>
      </c>
      <c r="D301" s="739" t="s">
        <v>509</v>
      </c>
      <c r="E301" s="739" t="s">
        <v>518</v>
      </c>
      <c r="F301" s="741" t="s">
        <v>517</v>
      </c>
      <c r="G301" s="741"/>
      <c r="H301" s="742" t="s">
        <v>491</v>
      </c>
      <c r="I301" s="837">
        <v>1</v>
      </c>
      <c r="J301" s="743">
        <v>28.64</v>
      </c>
      <c r="K301" s="743">
        <v>28.64</v>
      </c>
    </row>
    <row r="302" spans="2:11" ht="15.75" customHeight="1" x14ac:dyDescent="0.25">
      <c r="B302" s="749" t="s">
        <v>478</v>
      </c>
      <c r="C302" s="750" t="s">
        <v>485</v>
      </c>
      <c r="D302" s="749" t="s">
        <v>475</v>
      </c>
      <c r="E302" s="749" t="s">
        <v>486</v>
      </c>
      <c r="F302" s="870" t="s">
        <v>1268</v>
      </c>
      <c r="G302" s="870"/>
      <c r="H302" s="751" t="s">
        <v>484</v>
      </c>
      <c r="I302" s="752">
        <v>0.04</v>
      </c>
      <c r="J302" s="753">
        <v>22.76</v>
      </c>
      <c r="K302" s="753">
        <v>0.91</v>
      </c>
    </row>
    <row r="303" spans="2:11" x14ac:dyDescent="0.25">
      <c r="B303" s="749" t="s">
        <v>478</v>
      </c>
      <c r="C303" s="750" t="s">
        <v>662</v>
      </c>
      <c r="D303" s="749" t="s">
        <v>475</v>
      </c>
      <c r="E303" s="749" t="s">
        <v>1189</v>
      </c>
      <c r="F303" s="870" t="s">
        <v>1291</v>
      </c>
      <c r="G303" s="870"/>
      <c r="H303" s="751" t="s">
        <v>2</v>
      </c>
      <c r="I303" s="752">
        <v>0.18</v>
      </c>
      <c r="J303" s="753">
        <v>90.03</v>
      </c>
      <c r="K303" s="753">
        <v>16.2</v>
      </c>
    </row>
    <row r="304" spans="2:11" ht="15.75" customHeight="1" x14ac:dyDescent="0.25">
      <c r="B304" s="749" t="s">
        <v>478</v>
      </c>
      <c r="C304" s="750" t="s">
        <v>917</v>
      </c>
      <c r="D304" s="749" t="s">
        <v>475</v>
      </c>
      <c r="E304" s="749" t="s">
        <v>918</v>
      </c>
      <c r="F304" s="870" t="s">
        <v>1268</v>
      </c>
      <c r="G304" s="870"/>
      <c r="H304" s="751" t="s">
        <v>484</v>
      </c>
      <c r="I304" s="752">
        <v>0.04</v>
      </c>
      <c r="J304" s="753">
        <v>27.84</v>
      </c>
      <c r="K304" s="753">
        <v>1.1100000000000001</v>
      </c>
    </row>
    <row r="305" spans="2:11" ht="31.5" x14ac:dyDescent="0.25">
      <c r="B305" s="749" t="s">
        <v>478</v>
      </c>
      <c r="C305" s="750" t="s">
        <v>682</v>
      </c>
      <c r="D305" s="749" t="s">
        <v>475</v>
      </c>
      <c r="E305" s="749" t="s">
        <v>966</v>
      </c>
      <c r="F305" s="870" t="s">
        <v>1293</v>
      </c>
      <c r="G305" s="870"/>
      <c r="H305" s="751" t="s">
        <v>2</v>
      </c>
      <c r="I305" s="752">
        <v>0.18</v>
      </c>
      <c r="J305" s="753">
        <v>27.31</v>
      </c>
      <c r="K305" s="753">
        <v>4.91</v>
      </c>
    </row>
    <row r="306" spans="2:11" ht="15" customHeight="1" x14ac:dyDescent="0.25">
      <c r="B306" s="749" t="s">
        <v>487</v>
      </c>
      <c r="C306" s="750" t="s">
        <v>926</v>
      </c>
      <c r="D306" s="749" t="s">
        <v>475</v>
      </c>
      <c r="E306" s="749" t="s">
        <v>927</v>
      </c>
      <c r="F306" s="870" t="s">
        <v>490</v>
      </c>
      <c r="G306" s="870"/>
      <c r="H306" s="751" t="s">
        <v>491</v>
      </c>
      <c r="I306" s="752">
        <v>1</v>
      </c>
      <c r="J306" s="753">
        <v>5.51</v>
      </c>
      <c r="K306" s="753">
        <v>5.51</v>
      </c>
    </row>
    <row r="307" spans="2:11" x14ac:dyDescent="0.25">
      <c r="B307" s="744"/>
      <c r="C307" s="744"/>
      <c r="D307" s="744"/>
      <c r="E307" s="744"/>
      <c r="F307" s="744" t="s">
        <v>498</v>
      </c>
      <c r="G307" s="745">
        <v>16.25</v>
      </c>
      <c r="H307" s="744" t="s">
        <v>499</v>
      </c>
      <c r="I307" s="745">
        <v>0</v>
      </c>
      <c r="J307" s="744" t="s">
        <v>500</v>
      </c>
      <c r="K307" s="745">
        <v>16.25</v>
      </c>
    </row>
    <row r="308" spans="2:11" ht="15" customHeight="1" thickBot="1" x14ac:dyDescent="0.3">
      <c r="B308" s="744"/>
      <c r="C308" s="744"/>
      <c r="D308" s="744"/>
      <c r="E308" s="744"/>
      <c r="F308" s="744" t="s">
        <v>501</v>
      </c>
      <c r="G308" s="745">
        <v>6.93</v>
      </c>
      <c r="H308" s="744"/>
      <c r="I308" s="746" t="s">
        <v>502</v>
      </c>
      <c r="J308" s="746"/>
      <c r="K308" s="745">
        <v>35.57</v>
      </c>
    </row>
    <row r="309" spans="2:11" ht="16.5" thickTop="1" x14ac:dyDescent="0.25">
      <c r="B309" s="757"/>
      <c r="C309" s="757"/>
      <c r="D309" s="757"/>
      <c r="E309" s="757"/>
      <c r="F309" s="757"/>
      <c r="G309" s="757"/>
      <c r="H309" s="757"/>
      <c r="I309" s="757"/>
      <c r="J309" s="757"/>
      <c r="K309" s="757"/>
    </row>
    <row r="310" spans="2:11" x14ac:dyDescent="0.25">
      <c r="B310" s="735"/>
      <c r="C310" s="736" t="s">
        <v>391</v>
      </c>
      <c r="D310" s="735" t="s">
        <v>392</v>
      </c>
      <c r="E310" s="735" t="s">
        <v>42</v>
      </c>
      <c r="F310" s="737" t="s">
        <v>39</v>
      </c>
      <c r="G310" s="737"/>
      <c r="H310" s="738" t="s">
        <v>394</v>
      </c>
      <c r="I310" s="736" t="s">
        <v>395</v>
      </c>
      <c r="J310" s="736" t="s">
        <v>396</v>
      </c>
      <c r="K310" s="736" t="s">
        <v>0</v>
      </c>
    </row>
    <row r="311" spans="2:11" ht="31.5" x14ac:dyDescent="0.25">
      <c r="B311" s="739" t="s">
        <v>473</v>
      </c>
      <c r="C311" s="740" t="s">
        <v>1188</v>
      </c>
      <c r="D311" s="739" t="s">
        <v>509</v>
      </c>
      <c r="E311" s="739" t="s">
        <v>661</v>
      </c>
      <c r="F311" s="741" t="s">
        <v>477</v>
      </c>
      <c r="G311" s="741"/>
      <c r="H311" s="742" t="s">
        <v>491</v>
      </c>
      <c r="I311" s="837">
        <v>1</v>
      </c>
      <c r="J311" s="743">
        <v>3.22</v>
      </c>
      <c r="K311" s="743">
        <v>3.22</v>
      </c>
    </row>
    <row r="312" spans="2:11" ht="50.25" customHeight="1" x14ac:dyDescent="0.25">
      <c r="B312" s="749" t="s">
        <v>478</v>
      </c>
      <c r="C312" s="750" t="s">
        <v>1151</v>
      </c>
      <c r="D312" s="749" t="s">
        <v>475</v>
      </c>
      <c r="E312" s="749" t="s">
        <v>1152</v>
      </c>
      <c r="F312" s="870" t="s">
        <v>1285</v>
      </c>
      <c r="G312" s="870"/>
      <c r="H312" s="751" t="s">
        <v>592</v>
      </c>
      <c r="I312" s="752">
        <v>2.7699999999999999E-2</v>
      </c>
      <c r="J312" s="753">
        <v>0.62</v>
      </c>
      <c r="K312" s="753">
        <v>0.01</v>
      </c>
    </row>
    <row r="313" spans="2:11" ht="47.25" customHeight="1" x14ac:dyDescent="0.25">
      <c r="B313" s="749" t="s">
        <v>478</v>
      </c>
      <c r="C313" s="750" t="s">
        <v>794</v>
      </c>
      <c r="D313" s="749" t="s">
        <v>475</v>
      </c>
      <c r="E313" s="749" t="s">
        <v>795</v>
      </c>
      <c r="F313" s="870" t="s">
        <v>1285</v>
      </c>
      <c r="G313" s="870"/>
      <c r="H313" s="751" t="s">
        <v>564</v>
      </c>
      <c r="I313" s="752">
        <v>8.3000000000000004E-2</v>
      </c>
      <c r="J313" s="753">
        <v>10.06</v>
      </c>
      <c r="K313" s="753">
        <v>0.83</v>
      </c>
    </row>
    <row r="314" spans="2:11" ht="15.75" customHeight="1" x14ac:dyDescent="0.25">
      <c r="B314" s="749" t="s">
        <v>478</v>
      </c>
      <c r="C314" s="750" t="s">
        <v>485</v>
      </c>
      <c r="D314" s="749" t="s">
        <v>475</v>
      </c>
      <c r="E314" s="749" t="s">
        <v>486</v>
      </c>
      <c r="F314" s="870" t="s">
        <v>1268</v>
      </c>
      <c r="G314" s="870"/>
      <c r="H314" s="751" t="s">
        <v>484</v>
      </c>
      <c r="I314" s="752">
        <v>8.3000000000000004E-2</v>
      </c>
      <c r="J314" s="753">
        <v>22.76</v>
      </c>
      <c r="K314" s="753">
        <v>1.88</v>
      </c>
    </row>
    <row r="315" spans="2:11" ht="15" customHeight="1" x14ac:dyDescent="0.25">
      <c r="B315" s="749" t="s">
        <v>487</v>
      </c>
      <c r="C315" s="750" t="s">
        <v>796</v>
      </c>
      <c r="D315" s="749" t="s">
        <v>475</v>
      </c>
      <c r="E315" s="749" t="s">
        <v>1236</v>
      </c>
      <c r="F315" s="870" t="s">
        <v>490</v>
      </c>
      <c r="G315" s="870"/>
      <c r="H315" s="751" t="s">
        <v>513</v>
      </c>
      <c r="I315" s="752">
        <v>2E-3</v>
      </c>
      <c r="J315" s="753">
        <v>250.05</v>
      </c>
      <c r="K315" s="753">
        <v>0.5</v>
      </c>
    </row>
    <row r="316" spans="2:11" ht="15" customHeight="1" x14ac:dyDescent="0.25">
      <c r="B316" s="744"/>
      <c r="C316" s="744"/>
      <c r="D316" s="744"/>
      <c r="E316" s="744"/>
      <c r="F316" s="744" t="s">
        <v>498</v>
      </c>
      <c r="G316" s="745">
        <v>1.34</v>
      </c>
      <c r="H316" s="744" t="s">
        <v>499</v>
      </c>
      <c r="I316" s="745">
        <v>0</v>
      </c>
      <c r="J316" s="744" t="s">
        <v>500</v>
      </c>
      <c r="K316" s="745">
        <v>1.34</v>
      </c>
    </row>
    <row r="317" spans="2:11" ht="30" customHeight="1" x14ac:dyDescent="0.25">
      <c r="B317" s="744"/>
      <c r="C317" s="744"/>
      <c r="D317" s="744"/>
      <c r="E317" s="744"/>
      <c r="F317" s="744" t="s">
        <v>501</v>
      </c>
      <c r="G317" s="745">
        <v>0.78</v>
      </c>
      <c r="H317" s="744"/>
      <c r="I317" s="746" t="s">
        <v>502</v>
      </c>
      <c r="J317" s="746"/>
      <c r="K317" s="745">
        <v>4</v>
      </c>
    </row>
    <row r="318" spans="2:11" x14ac:dyDescent="0.25">
      <c r="B318" s="854"/>
      <c r="C318" s="855"/>
      <c r="D318" s="854"/>
      <c r="E318" s="854"/>
      <c r="F318" s="856"/>
      <c r="G318" s="856"/>
      <c r="H318" s="857"/>
      <c r="I318" s="858"/>
      <c r="J318" s="859"/>
      <c r="K318" s="859"/>
    </row>
    <row r="319" spans="2:11" x14ac:dyDescent="0.25">
      <c r="B319" s="855"/>
      <c r="C319" s="855"/>
      <c r="D319" s="855"/>
      <c r="E319" s="855"/>
      <c r="F319" s="855"/>
      <c r="G319" s="859"/>
      <c r="H319" s="855"/>
      <c r="I319" s="859"/>
      <c r="J319" s="855"/>
      <c r="K319" s="859"/>
    </row>
    <row r="320" spans="2:11" x14ac:dyDescent="0.25">
      <c r="B320" s="855"/>
      <c r="C320" s="855"/>
      <c r="D320" s="855"/>
      <c r="E320" s="855"/>
      <c r="F320" s="855"/>
      <c r="G320" s="859"/>
      <c r="H320" s="855"/>
      <c r="I320" s="856"/>
      <c r="J320" s="856"/>
      <c r="K320" s="859"/>
    </row>
    <row r="321" spans="2:11" x14ac:dyDescent="0.25">
      <c r="B321" s="860"/>
      <c r="C321" s="860"/>
      <c r="D321" s="860"/>
      <c r="E321" s="860"/>
      <c r="F321" s="860"/>
      <c r="G321" s="860"/>
      <c r="H321" s="860"/>
      <c r="I321" s="860"/>
      <c r="J321" s="860"/>
      <c r="K321" s="860"/>
    </row>
    <row r="322" spans="2:11" x14ac:dyDescent="0.25">
      <c r="B322" s="861"/>
      <c r="C322" s="862"/>
      <c r="D322" s="861"/>
      <c r="E322" s="861"/>
      <c r="F322" s="863"/>
      <c r="G322" s="863"/>
      <c r="H322" s="864"/>
      <c r="I322" s="862"/>
      <c r="J322" s="862"/>
      <c r="K322" s="862"/>
    </row>
    <row r="323" spans="2:11" x14ac:dyDescent="0.25">
      <c r="B323" s="860"/>
      <c r="C323" s="865"/>
      <c r="D323" s="860"/>
      <c r="E323" s="860"/>
      <c r="F323" s="866"/>
      <c r="G323" s="866"/>
      <c r="H323" s="867"/>
      <c r="I323" s="868"/>
      <c r="J323" s="869"/>
      <c r="K323" s="869"/>
    </row>
    <row r="324" spans="2:11" x14ac:dyDescent="0.25">
      <c r="B324" s="854"/>
      <c r="C324" s="855"/>
      <c r="D324" s="854"/>
      <c r="E324" s="854"/>
      <c r="F324" s="856"/>
      <c r="G324" s="856"/>
      <c r="H324" s="857"/>
      <c r="I324" s="858"/>
      <c r="J324" s="859"/>
      <c r="K324" s="859"/>
    </row>
    <row r="325" spans="2:11" x14ac:dyDescent="0.25">
      <c r="B325" s="854"/>
      <c r="C325" s="855"/>
      <c r="D325" s="854"/>
      <c r="E325" s="854"/>
      <c r="F325" s="856"/>
      <c r="G325" s="856"/>
      <c r="H325" s="857"/>
      <c r="I325" s="858"/>
      <c r="J325" s="859"/>
      <c r="K325" s="859"/>
    </row>
    <row r="326" spans="2:11" x14ac:dyDescent="0.25">
      <c r="B326" s="854"/>
      <c r="C326" s="855"/>
      <c r="D326" s="854"/>
      <c r="E326" s="854"/>
      <c r="F326" s="856"/>
      <c r="G326" s="856"/>
      <c r="H326" s="857"/>
      <c r="I326" s="858"/>
      <c r="J326" s="859"/>
      <c r="K326" s="859"/>
    </row>
    <row r="327" spans="2:11" x14ac:dyDescent="0.25">
      <c r="B327" s="854"/>
      <c r="C327" s="855"/>
      <c r="D327" s="854"/>
      <c r="E327" s="854"/>
      <c r="F327" s="856"/>
      <c r="G327" s="856"/>
      <c r="H327" s="857"/>
      <c r="I327" s="858"/>
      <c r="J327" s="859"/>
      <c r="K327" s="859"/>
    </row>
    <row r="328" spans="2:11" x14ac:dyDescent="0.25">
      <c r="B328" s="854"/>
      <c r="C328" s="855"/>
      <c r="D328" s="854"/>
      <c r="E328" s="854"/>
      <c r="F328" s="856"/>
      <c r="G328" s="856"/>
      <c r="H328" s="857"/>
      <c r="I328" s="858"/>
      <c r="J328" s="859"/>
      <c r="K328" s="859"/>
    </row>
    <row r="329" spans="2:11" x14ac:dyDescent="0.25">
      <c r="B329" s="854"/>
      <c r="C329" s="855"/>
      <c r="D329" s="854"/>
      <c r="E329" s="854"/>
      <c r="F329" s="856"/>
      <c r="G329" s="856"/>
      <c r="H329" s="857"/>
      <c r="I329" s="858"/>
      <c r="J329" s="859"/>
      <c r="K329" s="859"/>
    </row>
    <row r="330" spans="2:11" x14ac:dyDescent="0.25">
      <c r="B330" s="855"/>
      <c r="C330" s="855"/>
      <c r="D330" s="855"/>
      <c r="E330" s="855"/>
      <c r="F330" s="855"/>
      <c r="G330" s="859"/>
      <c r="H330" s="855"/>
      <c r="I330" s="859"/>
      <c r="J330" s="855"/>
      <c r="K330" s="859"/>
    </row>
    <row r="331" spans="2:11" x14ac:dyDescent="0.25">
      <c r="B331" s="855"/>
      <c r="C331" s="855"/>
      <c r="D331" s="855"/>
      <c r="E331" s="855"/>
      <c r="F331" s="855"/>
      <c r="G331" s="859"/>
      <c r="H331" s="855"/>
      <c r="I331" s="856"/>
      <c r="J331" s="856"/>
      <c r="K331" s="859"/>
    </row>
    <row r="332" spans="2:11" x14ac:dyDescent="0.25">
      <c r="B332" s="860"/>
      <c r="C332" s="860"/>
      <c r="D332" s="860"/>
      <c r="E332" s="860"/>
      <c r="F332" s="860"/>
      <c r="G332" s="860"/>
      <c r="H332" s="860"/>
      <c r="I332" s="860"/>
      <c r="J332" s="860"/>
      <c r="K332" s="860"/>
    </row>
    <row r="333" spans="2:11" x14ac:dyDescent="0.25">
      <c r="B333" s="861"/>
      <c r="C333" s="862"/>
      <c r="D333" s="861"/>
      <c r="E333" s="861"/>
      <c r="F333" s="863"/>
      <c r="G333" s="863"/>
      <c r="H333" s="864"/>
      <c r="I333" s="862"/>
      <c r="J333" s="862"/>
      <c r="K333" s="862"/>
    </row>
    <row r="334" spans="2:11" x14ac:dyDescent="0.25">
      <c r="B334" s="860"/>
      <c r="C334" s="865"/>
      <c r="D334" s="860"/>
      <c r="E334" s="860"/>
      <c r="F334" s="866"/>
      <c r="G334" s="866"/>
      <c r="H334" s="867"/>
      <c r="I334" s="868"/>
      <c r="J334" s="869"/>
      <c r="K334" s="869"/>
    </row>
    <row r="335" spans="2:11" x14ac:dyDescent="0.25">
      <c r="B335" s="854"/>
      <c r="C335" s="855"/>
      <c r="D335" s="854"/>
      <c r="E335" s="854"/>
      <c r="F335" s="856"/>
      <c r="G335" s="856"/>
      <c r="H335" s="857"/>
      <c r="I335" s="858"/>
      <c r="J335" s="859"/>
      <c r="K335" s="859"/>
    </row>
    <row r="336" spans="2:11" x14ac:dyDescent="0.25">
      <c r="B336" s="854"/>
      <c r="C336" s="855"/>
      <c r="D336" s="854"/>
      <c r="E336" s="854"/>
      <c r="F336" s="856"/>
      <c r="G336" s="856"/>
      <c r="H336" s="857"/>
      <c r="I336" s="858"/>
      <c r="J336" s="859"/>
      <c r="K336" s="859"/>
    </row>
    <row r="337" spans="2:11" x14ac:dyDescent="0.25">
      <c r="B337" s="854"/>
      <c r="C337" s="855"/>
      <c r="D337" s="854"/>
      <c r="E337" s="854"/>
      <c r="F337" s="856"/>
      <c r="G337" s="856"/>
      <c r="H337" s="857"/>
      <c r="I337" s="858"/>
      <c r="J337" s="859"/>
      <c r="K337" s="859"/>
    </row>
    <row r="338" spans="2:11" x14ac:dyDescent="0.25">
      <c r="B338" s="854"/>
      <c r="C338" s="855"/>
      <c r="D338" s="854"/>
      <c r="E338" s="854"/>
      <c r="F338" s="856"/>
      <c r="G338" s="856"/>
      <c r="H338" s="857"/>
      <c r="I338" s="858"/>
      <c r="J338" s="859"/>
      <c r="K338" s="859"/>
    </row>
    <row r="339" spans="2:11" x14ac:dyDescent="0.25">
      <c r="B339" s="854"/>
      <c r="C339" s="855"/>
      <c r="D339" s="854"/>
      <c r="E339" s="854"/>
      <c r="F339" s="856"/>
      <c r="G339" s="856"/>
      <c r="H339" s="857"/>
      <c r="I339" s="858"/>
      <c r="J339" s="859"/>
      <c r="K339" s="859"/>
    </row>
    <row r="340" spans="2:11" x14ac:dyDescent="0.25">
      <c r="B340" s="855"/>
      <c r="C340" s="855"/>
      <c r="D340" s="855"/>
      <c r="E340" s="855"/>
      <c r="F340" s="855"/>
      <c r="G340" s="859"/>
      <c r="H340" s="855"/>
      <c r="I340" s="859"/>
      <c r="J340" s="855"/>
      <c r="K340" s="859"/>
    </row>
    <row r="341" spans="2:11" x14ac:dyDescent="0.25">
      <c r="B341" s="855"/>
      <c r="C341" s="855"/>
      <c r="D341" s="855"/>
      <c r="E341" s="855"/>
      <c r="F341" s="855"/>
      <c r="G341" s="859"/>
      <c r="H341" s="855"/>
      <c r="I341" s="856"/>
      <c r="J341" s="856"/>
      <c r="K341" s="859"/>
    </row>
    <row r="342" spans="2:11" x14ac:dyDescent="0.25">
      <c r="B342" s="860"/>
      <c r="C342" s="860"/>
      <c r="D342" s="860"/>
      <c r="E342" s="860"/>
      <c r="F342" s="860"/>
      <c r="G342" s="860"/>
      <c r="H342" s="860"/>
      <c r="I342" s="860"/>
      <c r="J342" s="860"/>
      <c r="K342" s="860"/>
    </row>
    <row r="343" spans="2:11" x14ac:dyDescent="0.25">
      <c r="B343" s="861"/>
      <c r="C343" s="862"/>
      <c r="D343" s="861"/>
      <c r="E343" s="861"/>
      <c r="F343" s="863"/>
      <c r="G343" s="863"/>
      <c r="H343" s="864"/>
      <c r="I343" s="862"/>
      <c r="J343" s="862"/>
      <c r="K343" s="862"/>
    </row>
    <row r="344" spans="2:11" x14ac:dyDescent="0.25">
      <c r="B344" s="860"/>
      <c r="C344" s="865"/>
      <c r="D344" s="860"/>
      <c r="E344" s="860"/>
      <c r="F344" s="866"/>
      <c r="G344" s="866"/>
      <c r="H344" s="867"/>
      <c r="I344" s="868"/>
      <c r="J344" s="869"/>
      <c r="K344" s="869"/>
    </row>
    <row r="345" spans="2:11" x14ac:dyDescent="0.25">
      <c r="B345" s="854"/>
      <c r="C345" s="855"/>
      <c r="D345" s="854"/>
      <c r="E345" s="854"/>
      <c r="F345" s="856"/>
      <c r="G345" s="856"/>
      <c r="H345" s="857"/>
      <c r="I345" s="858"/>
      <c r="J345" s="859"/>
      <c r="K345" s="859"/>
    </row>
    <row r="346" spans="2:11" x14ac:dyDescent="0.25">
      <c r="B346" s="854"/>
      <c r="C346" s="855"/>
      <c r="D346" s="854"/>
      <c r="E346" s="854"/>
      <c r="F346" s="856"/>
      <c r="G346" s="856"/>
      <c r="H346" s="857"/>
      <c r="I346" s="858"/>
      <c r="J346" s="859"/>
      <c r="K346" s="859"/>
    </row>
    <row r="347" spans="2:11" x14ac:dyDescent="0.25">
      <c r="B347" s="854"/>
      <c r="C347" s="855"/>
      <c r="D347" s="854"/>
      <c r="E347" s="854"/>
      <c r="F347" s="856"/>
      <c r="G347" s="856"/>
      <c r="H347" s="857"/>
      <c r="I347" s="858"/>
      <c r="J347" s="859"/>
      <c r="K347" s="859"/>
    </row>
    <row r="348" spans="2:11" x14ac:dyDescent="0.25">
      <c r="B348" s="854"/>
      <c r="C348" s="855"/>
      <c r="D348" s="854"/>
      <c r="E348" s="854"/>
      <c r="F348" s="856"/>
      <c r="G348" s="856"/>
      <c r="H348" s="857"/>
      <c r="I348" s="858"/>
      <c r="J348" s="859"/>
      <c r="K348" s="859"/>
    </row>
    <row r="349" spans="2:11" x14ac:dyDescent="0.25">
      <c r="B349" s="855"/>
      <c r="C349" s="855"/>
      <c r="D349" s="855"/>
      <c r="E349" s="855"/>
      <c r="F349" s="855"/>
      <c r="G349" s="859"/>
      <c r="H349" s="855"/>
      <c r="I349" s="859"/>
      <c r="J349" s="855"/>
      <c r="K349" s="859"/>
    </row>
    <row r="350" spans="2:11" x14ac:dyDescent="0.25">
      <c r="B350" s="855"/>
      <c r="C350" s="855"/>
      <c r="D350" s="855"/>
      <c r="E350" s="855"/>
      <c r="F350" s="855"/>
      <c r="G350" s="859"/>
      <c r="H350" s="855"/>
      <c r="I350" s="856"/>
      <c r="J350" s="856"/>
      <c r="K350" s="859"/>
    </row>
  </sheetData>
  <autoFilter ref="B8:K350">
    <filterColumn colId="4" showButton="0"/>
  </autoFilter>
  <mergeCells count="5">
    <mergeCell ref="B5:K5"/>
    <mergeCell ref="B6:K6"/>
    <mergeCell ref="B4:E4"/>
    <mergeCell ref="F4:G4"/>
    <mergeCell ref="B3:E3"/>
  </mergeCells>
  <printOptions horizontalCentered="1"/>
  <pageMargins left="0.51181102362204722" right="0.51181102362204722" top="0.98425196850393704" bottom="0.6692913385826772" header="0.31496062992125984" footer="0.51181102362204722"/>
  <pageSetup paperSize="9" scale="50" fitToHeight="0" orientation="landscape" r:id="rId1"/>
  <headerFooter>
    <oddHeader>&amp;L&amp;G&amp;R&amp;G</oddHeader>
  </headerFooter>
  <rowBreaks count="9" manualBreakCount="9">
    <brk id="47" max="16383" man="1"/>
    <brk id="82" max="16383" man="1"/>
    <brk id="110" min="1" max="10" man="1"/>
    <brk id="137" min="1" max="10" man="1"/>
    <brk id="166" min="1" max="10" man="1"/>
    <brk id="187" min="1" max="10" man="1"/>
    <brk id="212" min="1" max="10" man="1"/>
    <brk id="241" min="1" max="10" man="1"/>
    <brk id="282" min="1" max="10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1:J16"/>
  <sheetViews>
    <sheetView showGridLines="0" zoomScaleNormal="100" zoomScaleSheetLayoutView="100" workbookViewId="0">
      <selection activeCell="G11" sqref="G11"/>
    </sheetView>
  </sheetViews>
  <sheetFormatPr defaultColWidth="10.6640625" defaultRowHeight="15" x14ac:dyDescent="0.2"/>
  <cols>
    <col min="1" max="1" width="10.6640625" style="15"/>
    <col min="2" max="2" width="45.33203125" style="15" customWidth="1"/>
    <col min="3" max="4" width="28.83203125" style="15" customWidth="1"/>
    <col min="5" max="5" width="18.33203125" style="15" customWidth="1"/>
    <col min="6" max="6" width="17.5" style="15" customWidth="1"/>
    <col min="7" max="7" width="20.83203125" style="15" bestFit="1" customWidth="1"/>
    <col min="8" max="9" width="10.6640625" style="15"/>
    <col min="10" max="10" width="13.83203125" style="15" bestFit="1" customWidth="1"/>
    <col min="11" max="16384" width="10.6640625" style="15"/>
  </cols>
  <sheetData>
    <row r="1" spans="2:10" ht="15.75" thickBot="1" x14ac:dyDescent="0.25"/>
    <row r="2" spans="2:10" ht="16.5" thickBot="1" x14ac:dyDescent="0.25">
      <c r="B2" s="1032" t="s">
        <v>983</v>
      </c>
      <c r="C2" s="1033"/>
      <c r="D2" s="1033"/>
      <c r="E2" s="1033"/>
      <c r="F2" s="1034"/>
    </row>
    <row r="3" spans="2:10" ht="30" customHeight="1" thickBot="1" x14ac:dyDescent="0.25">
      <c r="B3" s="1035" t="s">
        <v>6</v>
      </c>
      <c r="C3" s="1036"/>
      <c r="D3" s="1036"/>
      <c r="E3" s="1036"/>
      <c r="F3" s="1037"/>
    </row>
    <row r="4" spans="2:10" ht="30" customHeight="1" x14ac:dyDescent="0.2">
      <c r="B4" s="1040" t="s">
        <v>7</v>
      </c>
      <c r="C4" s="1038" t="s">
        <v>8</v>
      </c>
      <c r="D4" s="1039"/>
      <c r="E4" s="1042" t="s">
        <v>9</v>
      </c>
      <c r="F4" s="1042" t="s">
        <v>10</v>
      </c>
    </row>
    <row r="5" spans="2:10" ht="30" customHeight="1" thickBot="1" x14ac:dyDescent="0.25">
      <c r="B5" s="1041"/>
      <c r="C5" s="341" t="s">
        <v>11</v>
      </c>
      <c r="D5" s="342" t="s">
        <v>12</v>
      </c>
      <c r="E5" s="1043"/>
      <c r="F5" s="1043"/>
    </row>
    <row r="6" spans="2:10" ht="30" customHeight="1" x14ac:dyDescent="0.2">
      <c r="B6" s="343" t="s">
        <v>150</v>
      </c>
      <c r="C6" s="344" t="s">
        <v>287</v>
      </c>
      <c r="D6" s="345" t="s">
        <v>287</v>
      </c>
      <c r="E6" s="450">
        <v>10.9</v>
      </c>
      <c r="F6" s="844">
        <f>E6</f>
        <v>10.9</v>
      </c>
    </row>
    <row r="7" spans="2:10" ht="30" customHeight="1" x14ac:dyDescent="0.2">
      <c r="B7" s="346" t="s">
        <v>357</v>
      </c>
      <c r="C7" s="600" t="s">
        <v>288</v>
      </c>
      <c r="D7" s="347" t="s">
        <v>287</v>
      </c>
      <c r="E7" s="451">
        <v>338</v>
      </c>
      <c r="F7" s="845">
        <f>E7</f>
        <v>338</v>
      </c>
    </row>
    <row r="8" spans="2:10" ht="30" customHeight="1" x14ac:dyDescent="0.2">
      <c r="B8" s="643" t="s">
        <v>1342</v>
      </c>
      <c r="C8" s="600" t="s">
        <v>288</v>
      </c>
      <c r="D8" s="347" t="s">
        <v>287</v>
      </c>
      <c r="E8" s="451">
        <v>338</v>
      </c>
      <c r="F8" s="845">
        <f>E8</f>
        <v>338</v>
      </c>
    </row>
    <row r="9" spans="2:10" ht="30" customHeight="1" x14ac:dyDescent="0.2">
      <c r="B9" s="348" t="s">
        <v>13</v>
      </c>
      <c r="C9" s="349" t="s">
        <v>287</v>
      </c>
      <c r="D9" s="347" t="s">
        <v>287</v>
      </c>
      <c r="E9" s="451">
        <v>18.2</v>
      </c>
      <c r="F9" s="845">
        <f t="shared" ref="F9:F13" si="0">E9</f>
        <v>18.2</v>
      </c>
    </row>
    <row r="10" spans="2:10" ht="30" customHeight="1" x14ac:dyDescent="0.2">
      <c r="B10" s="350" t="s">
        <v>14</v>
      </c>
      <c r="C10" s="600" t="s">
        <v>288</v>
      </c>
      <c r="D10" s="347" t="s">
        <v>287</v>
      </c>
      <c r="E10" s="451">
        <v>331</v>
      </c>
      <c r="F10" s="845">
        <f t="shared" si="0"/>
        <v>331</v>
      </c>
    </row>
    <row r="11" spans="2:10" ht="28.5" customHeight="1" x14ac:dyDescent="0.2">
      <c r="B11" s="352" t="s">
        <v>358</v>
      </c>
      <c r="C11" s="351" t="s">
        <v>288</v>
      </c>
      <c r="D11" s="347" t="s">
        <v>287</v>
      </c>
      <c r="E11" s="451">
        <v>328</v>
      </c>
      <c r="F11" s="845">
        <f t="shared" si="0"/>
        <v>328</v>
      </c>
    </row>
    <row r="12" spans="2:10" ht="30" customHeight="1" x14ac:dyDescent="0.2">
      <c r="B12" s="353" t="s">
        <v>15</v>
      </c>
      <c r="C12" s="354" t="s">
        <v>287</v>
      </c>
      <c r="D12" s="347" t="s">
        <v>287</v>
      </c>
      <c r="E12" s="451">
        <v>5.0999999999999996</v>
      </c>
      <c r="F12" s="845">
        <f t="shared" si="0"/>
        <v>5.0999999999999996</v>
      </c>
    </row>
    <row r="13" spans="2:10" ht="30" customHeight="1" x14ac:dyDescent="0.2">
      <c r="B13" s="355" t="s">
        <v>289</v>
      </c>
      <c r="C13" s="351" t="s">
        <v>287</v>
      </c>
      <c r="D13" s="347" t="s">
        <v>287</v>
      </c>
      <c r="E13" s="451">
        <v>4.5999999999999996</v>
      </c>
      <c r="F13" s="845">
        <f t="shared" si="0"/>
        <v>4.5999999999999996</v>
      </c>
      <c r="J13" s="261"/>
    </row>
    <row r="14" spans="2:10" ht="30" customHeight="1" thickBot="1" x14ac:dyDescent="0.25">
      <c r="B14" s="356" t="s">
        <v>1402</v>
      </c>
      <c r="C14" s="711" t="s">
        <v>1470</v>
      </c>
      <c r="D14" s="357" t="s">
        <v>287</v>
      </c>
      <c r="E14" s="694">
        <f>GRELHA!G5</f>
        <v>763</v>
      </c>
      <c r="F14" s="846">
        <f>E14</f>
        <v>763</v>
      </c>
      <c r="J14" s="261"/>
    </row>
    <row r="16" spans="2:10" x14ac:dyDescent="0.2">
      <c r="B16" s="452" t="s">
        <v>984</v>
      </c>
    </row>
  </sheetData>
  <mergeCells count="6">
    <mergeCell ref="B2:F2"/>
    <mergeCell ref="B3:F3"/>
    <mergeCell ref="C4:D4"/>
    <mergeCell ref="B4:B5"/>
    <mergeCell ref="F4:F5"/>
    <mergeCell ref="E4:E5"/>
  </mergeCells>
  <printOptions horizontalCentered="1"/>
  <pageMargins left="0.51181102362204722" right="0.51181102362204722" top="1.3779527559055118" bottom="0.78740157480314965" header="0.31496062992125984" footer="0.31496062992125984"/>
  <pageSetup paperSize="9" scale="74" fitToHeight="0" orientation="portrait" r:id="rId1"/>
  <headerFooter>
    <oddHeader>&amp;R&amp;G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2:N38"/>
  <sheetViews>
    <sheetView showGridLines="0" view="pageBreakPreview" zoomScale="80" zoomScaleNormal="100" zoomScaleSheetLayoutView="80" workbookViewId="0">
      <selection activeCell="R15" sqref="R15"/>
    </sheetView>
  </sheetViews>
  <sheetFormatPr defaultColWidth="10.6640625" defaultRowHeight="15" x14ac:dyDescent="0.2"/>
  <cols>
    <col min="1" max="1" width="6.33203125" style="246" customWidth="1"/>
    <col min="2" max="2" width="42.1640625" style="246" customWidth="1"/>
    <col min="3" max="3" width="13.1640625" style="246" customWidth="1"/>
    <col min="4" max="4" width="19.5" style="246" bestFit="1" customWidth="1"/>
    <col min="5" max="5" width="19.5" style="246" customWidth="1"/>
    <col min="6" max="6" width="19.33203125" style="246" bestFit="1" customWidth="1"/>
    <col min="7" max="9" width="16.1640625" style="246" customWidth="1"/>
    <col min="10" max="10" width="10.5" style="246" bestFit="1" customWidth="1"/>
    <col min="11" max="12" width="16.1640625" style="246" customWidth="1"/>
    <col min="13" max="13" width="18.83203125" style="246" customWidth="1"/>
    <col min="14" max="14" width="5" style="246" customWidth="1"/>
    <col min="15" max="15" width="16.1640625" style="246" customWidth="1"/>
    <col min="16" max="16" width="20.6640625" style="246" customWidth="1"/>
    <col min="17" max="17" width="21" style="246" customWidth="1"/>
    <col min="18" max="18" width="18.1640625" style="246" customWidth="1"/>
    <col min="19" max="19" width="23" style="246" customWidth="1"/>
    <col min="20" max="20" width="19.83203125" style="246" customWidth="1"/>
    <col min="21" max="16384" width="10.6640625" style="246"/>
  </cols>
  <sheetData>
    <row r="2" spans="2:14" ht="27.75" customHeight="1" x14ac:dyDescent="0.2">
      <c r="B2" s="1044" t="s">
        <v>1237</v>
      </c>
      <c r="C2" s="1045"/>
      <c r="D2" s="1045"/>
      <c r="E2" s="1045"/>
      <c r="F2" s="1045"/>
      <c r="G2" s="1045"/>
      <c r="H2" s="1045"/>
      <c r="I2" s="1045"/>
      <c r="J2" s="1045"/>
      <c r="K2" s="1045"/>
      <c r="L2" s="1046"/>
    </row>
    <row r="3" spans="2:14" ht="50.25" customHeight="1" thickBot="1" x14ac:dyDescent="0.25">
      <c r="B3" s="247" t="s">
        <v>161</v>
      </c>
      <c r="C3" s="247" t="s">
        <v>163</v>
      </c>
      <c r="D3" s="247" t="s">
        <v>214</v>
      </c>
      <c r="E3" s="247" t="s">
        <v>164</v>
      </c>
      <c r="F3" s="248" t="s">
        <v>174</v>
      </c>
      <c r="G3" s="248" t="s">
        <v>160</v>
      </c>
      <c r="H3" s="248" t="s">
        <v>354</v>
      </c>
      <c r="I3" s="248" t="s">
        <v>355</v>
      </c>
      <c r="J3" s="248" t="s">
        <v>173</v>
      </c>
      <c r="K3" s="248" t="s">
        <v>356</v>
      </c>
      <c r="L3" s="248" t="s">
        <v>1143</v>
      </c>
    </row>
    <row r="4" spans="2:14" ht="20.100000000000001" customHeight="1" thickTop="1" x14ac:dyDescent="0.2">
      <c r="B4" s="1055" t="s">
        <v>162</v>
      </c>
      <c r="C4" s="656">
        <v>46054</v>
      </c>
      <c r="D4" s="656" t="s">
        <v>1247</v>
      </c>
      <c r="E4" s="657" t="s">
        <v>290</v>
      </c>
      <c r="F4" s="658">
        <v>3810</v>
      </c>
      <c r="G4" s="658">
        <v>405</v>
      </c>
      <c r="H4" s="664">
        <f>1.41*30</f>
        <v>42.3</v>
      </c>
      <c r="I4" s="664">
        <f>(G4-30)*0.55</f>
        <v>206.25000000000003</v>
      </c>
      <c r="J4" s="658">
        <f>D17</f>
        <v>7.44</v>
      </c>
      <c r="K4" s="658">
        <f t="shared" ref="K4:K9" si="0">F4+J4</f>
        <v>3817.44</v>
      </c>
      <c r="L4" s="658">
        <f>F4+H4+I4+J4</f>
        <v>4065.9900000000002</v>
      </c>
    </row>
    <row r="5" spans="2:14" s="655" customFormat="1" ht="20.100000000000001" customHeight="1" x14ac:dyDescent="0.2">
      <c r="B5" s="1056"/>
      <c r="C5" s="249">
        <f>C4</f>
        <v>46054</v>
      </c>
      <c r="D5" s="249" t="s">
        <v>1248</v>
      </c>
      <c r="E5" s="587" t="s">
        <v>203</v>
      </c>
      <c r="F5" s="250">
        <v>3000</v>
      </c>
      <c r="G5" s="250">
        <v>338</v>
      </c>
      <c r="H5" s="588">
        <f>1.41*30</f>
        <v>42.3</v>
      </c>
      <c r="I5" s="588">
        <f t="shared" ref="I5:I8" si="1">(G5-30)*0.55</f>
        <v>169.4</v>
      </c>
      <c r="J5" s="250">
        <f>E17</f>
        <v>0</v>
      </c>
      <c r="K5" s="250">
        <f t="shared" si="0"/>
        <v>3000</v>
      </c>
      <c r="L5" s="250">
        <f>F5+H5+I5+J5</f>
        <v>3211.7000000000003</v>
      </c>
    </row>
    <row r="6" spans="2:14" ht="20.100000000000001" customHeight="1" thickBot="1" x14ac:dyDescent="0.25">
      <c r="B6" s="1057"/>
      <c r="C6" s="659">
        <f>C4</f>
        <v>46054</v>
      </c>
      <c r="D6" s="660" t="s">
        <v>1249</v>
      </c>
      <c r="E6" s="661" t="s">
        <v>203</v>
      </c>
      <c r="F6" s="662">
        <v>3960</v>
      </c>
      <c r="G6" s="662">
        <v>358</v>
      </c>
      <c r="H6" s="662"/>
      <c r="I6" s="662"/>
      <c r="J6" s="662"/>
      <c r="K6" s="663">
        <f t="shared" si="0"/>
        <v>3960</v>
      </c>
      <c r="L6" s="663">
        <f>F6</f>
        <v>3960</v>
      </c>
    </row>
    <row r="7" spans="2:14" s="655" customFormat="1" ht="20.100000000000001" customHeight="1" thickTop="1" x14ac:dyDescent="0.2">
      <c r="B7" s="1055" t="s">
        <v>1250</v>
      </c>
      <c r="C7" s="656">
        <f>C5</f>
        <v>46054</v>
      </c>
      <c r="D7" s="656" t="str">
        <f>D4</f>
        <v xml:space="preserve">CBB Asfaltos </v>
      </c>
      <c r="E7" s="657" t="s">
        <v>290</v>
      </c>
      <c r="F7" s="658">
        <v>4220</v>
      </c>
      <c r="G7" s="709">
        <f>G4</f>
        <v>405</v>
      </c>
      <c r="H7" s="709">
        <f t="shared" ref="H7:H8" si="2">1.41*30</f>
        <v>42.3</v>
      </c>
      <c r="I7" s="709">
        <f t="shared" si="1"/>
        <v>206.25000000000003</v>
      </c>
      <c r="J7" s="658">
        <f>D17</f>
        <v>7.44</v>
      </c>
      <c r="K7" s="658">
        <f t="shared" si="0"/>
        <v>4227.4399999999996</v>
      </c>
      <c r="L7" s="658">
        <f>F7+H7+I7+J7</f>
        <v>4475.99</v>
      </c>
    </row>
    <row r="8" spans="2:14" s="557" customFormat="1" ht="20.100000000000001" customHeight="1" x14ac:dyDescent="0.2">
      <c r="B8" s="1056"/>
      <c r="C8" s="710">
        <f>C4</f>
        <v>46054</v>
      </c>
      <c r="D8" s="710" t="str">
        <f>D5</f>
        <v>Betunel</v>
      </c>
      <c r="E8" s="587" t="s">
        <v>203</v>
      </c>
      <c r="F8" s="588">
        <v>3700</v>
      </c>
      <c r="G8" s="588">
        <f>G5</f>
        <v>338</v>
      </c>
      <c r="H8" s="588">
        <f t="shared" si="2"/>
        <v>42.3</v>
      </c>
      <c r="I8" s="588">
        <f t="shared" si="1"/>
        <v>169.4</v>
      </c>
      <c r="J8" s="588">
        <f>E17</f>
        <v>0</v>
      </c>
      <c r="K8" s="588">
        <f t="shared" si="0"/>
        <v>3700</v>
      </c>
      <c r="L8" s="588">
        <f>F8+H8+I8+J8</f>
        <v>3911.7000000000003</v>
      </c>
    </row>
    <row r="9" spans="2:14" ht="20.100000000000001" customHeight="1" thickBot="1" x14ac:dyDescent="0.25">
      <c r="B9" s="1057"/>
      <c r="C9" s="660">
        <f>C8</f>
        <v>46054</v>
      </c>
      <c r="D9" s="660" t="str">
        <f>D6</f>
        <v>Greca Asfaltos</v>
      </c>
      <c r="E9" s="661" t="s">
        <v>203</v>
      </c>
      <c r="F9" s="662">
        <v>4560</v>
      </c>
      <c r="G9" s="662">
        <f>G6</f>
        <v>358</v>
      </c>
      <c r="H9" s="662"/>
      <c r="I9" s="662"/>
      <c r="J9" s="662"/>
      <c r="K9" s="663">
        <f t="shared" si="0"/>
        <v>4560</v>
      </c>
      <c r="L9" s="663">
        <f>F9</f>
        <v>4560</v>
      </c>
    </row>
    <row r="10" spans="2:14" ht="20.100000000000001" customHeight="1" thickTop="1" x14ac:dyDescent="0.2">
      <c r="I10" s="1058"/>
      <c r="J10" s="1058"/>
      <c r="K10" s="1059" t="s">
        <v>1461</v>
      </c>
      <c r="L10" s="1058"/>
    </row>
    <row r="11" spans="2:14" x14ac:dyDescent="0.2">
      <c r="B11" s="1047" t="s">
        <v>1380</v>
      </c>
      <c r="C11" s="1060"/>
      <c r="D11" s="1060"/>
      <c r="E11" s="1060"/>
      <c r="F11" s="1048"/>
      <c r="G11" s="251"/>
    </row>
    <row r="12" spans="2:14" ht="24.75" customHeight="1" x14ac:dyDescent="0.2">
      <c r="B12" s="1047" t="s">
        <v>42</v>
      </c>
      <c r="C12" s="1048"/>
      <c r="D12" s="252" t="s">
        <v>290</v>
      </c>
      <c r="E12" s="252" t="s">
        <v>203</v>
      </c>
      <c r="F12" s="252" t="s">
        <v>151</v>
      </c>
    </row>
    <row r="13" spans="2:14" ht="18" customHeight="1" x14ac:dyDescent="0.2">
      <c r="B13" s="1049" t="s">
        <v>165</v>
      </c>
      <c r="C13" s="20" t="s">
        <v>166</v>
      </c>
      <c r="D13" s="21">
        <v>93</v>
      </c>
      <c r="E13" s="16">
        <v>0</v>
      </c>
      <c r="F13" s="17" t="s">
        <v>167</v>
      </c>
      <c r="N13" s="625"/>
    </row>
    <row r="14" spans="2:14" ht="18" customHeight="1" x14ac:dyDescent="0.2">
      <c r="B14" s="1050"/>
      <c r="C14" s="20" t="s">
        <v>168</v>
      </c>
      <c r="D14" s="21">
        <f>D13</f>
        <v>93</v>
      </c>
      <c r="E14" s="16">
        <f>E13</f>
        <v>0</v>
      </c>
      <c r="F14" s="17" t="s">
        <v>167</v>
      </c>
      <c r="I14" s="1061"/>
      <c r="J14" s="1061"/>
      <c r="K14" s="1061"/>
    </row>
    <row r="15" spans="2:14" ht="18" customHeight="1" x14ac:dyDescent="0.2">
      <c r="B15" s="1051"/>
      <c r="C15" s="20" t="s">
        <v>0</v>
      </c>
      <c r="D15" s="16">
        <f>D13+D14</f>
        <v>186</v>
      </c>
      <c r="E15" s="16">
        <f>E13+E14</f>
        <v>0</v>
      </c>
      <c r="F15" s="17" t="s">
        <v>167</v>
      </c>
    </row>
    <row r="16" spans="2:14" ht="18" customHeight="1" x14ac:dyDescent="0.2">
      <c r="B16" s="1052" t="s">
        <v>169</v>
      </c>
      <c r="C16" s="1053"/>
      <c r="D16" s="253">
        <v>25</v>
      </c>
      <c r="E16" s="253">
        <v>25</v>
      </c>
      <c r="F16" s="17" t="s">
        <v>170</v>
      </c>
    </row>
    <row r="17" spans="2:6" ht="18" customHeight="1" x14ac:dyDescent="0.2">
      <c r="B17" s="1054" t="s">
        <v>171</v>
      </c>
      <c r="C17" s="1054"/>
      <c r="D17" s="18">
        <f>ROUND(D15/D16,2)</f>
        <v>7.44</v>
      </c>
      <c r="E17" s="18">
        <f>ROUND(E15/E16,2)</f>
        <v>0</v>
      </c>
      <c r="F17" s="254" t="s">
        <v>172</v>
      </c>
    </row>
    <row r="18" spans="2:6" ht="18" customHeight="1" x14ac:dyDescent="0.2"/>
    <row r="19" spans="2:6" x14ac:dyDescent="0.2">
      <c r="B19" s="246" t="s">
        <v>290</v>
      </c>
      <c r="E19" s="246" t="s">
        <v>203</v>
      </c>
    </row>
    <row r="37" spans="2:2" x14ac:dyDescent="0.2">
      <c r="B37" s="255" t="s">
        <v>246</v>
      </c>
    </row>
    <row r="38" spans="2:2" x14ac:dyDescent="0.2">
      <c r="B38" s="255" t="s">
        <v>1467</v>
      </c>
    </row>
  </sheetData>
  <mergeCells count="11">
    <mergeCell ref="B2:L2"/>
    <mergeCell ref="B12:C12"/>
    <mergeCell ref="B13:B15"/>
    <mergeCell ref="B16:C16"/>
    <mergeCell ref="B17:C17"/>
    <mergeCell ref="B4:B6"/>
    <mergeCell ref="B7:B9"/>
    <mergeCell ref="I10:J10"/>
    <mergeCell ref="K10:L10"/>
    <mergeCell ref="B11:F11"/>
    <mergeCell ref="I14:K1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5" orientation="landscape" horizontalDpi="1200" verticalDpi="1200" r:id="rId1"/>
  <headerFooter>
    <oddHeader>&amp;L&amp;G&amp;R&amp;G</oddHeader>
  </headerFooter>
  <ignoredErrors>
    <ignoredError sqref="L6" formula="1"/>
  </ignoredErrors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2:P35"/>
  <sheetViews>
    <sheetView showGridLines="0" zoomScaleNormal="100" zoomScaleSheetLayoutView="110" workbookViewId="0">
      <selection activeCell="I15" sqref="I15"/>
    </sheetView>
  </sheetViews>
  <sheetFormatPr defaultColWidth="10.6640625" defaultRowHeight="15" x14ac:dyDescent="0.2"/>
  <cols>
    <col min="1" max="1" width="6.33203125" style="665" customWidth="1"/>
    <col min="2" max="2" width="42.1640625" style="665" customWidth="1"/>
    <col min="3" max="3" width="13.1640625" style="665" customWidth="1"/>
    <col min="4" max="4" width="19.5" style="665" bestFit="1" customWidth="1"/>
    <col min="5" max="5" width="19.5" style="665" customWidth="1"/>
    <col min="6" max="9" width="16.1640625" style="665" customWidth="1"/>
    <col min="10" max="10" width="20.33203125" style="665" customWidth="1"/>
    <col min="11" max="12" width="16.1640625" style="665" customWidth="1"/>
    <col min="13" max="13" width="18.83203125" style="665" customWidth="1"/>
    <col min="14" max="14" width="12.33203125" style="665" bestFit="1" customWidth="1"/>
    <col min="15" max="15" width="46.1640625" style="665" bestFit="1" customWidth="1"/>
    <col min="16" max="16" width="8.5" style="665" customWidth="1"/>
    <col min="17" max="17" width="21" style="665" customWidth="1"/>
    <col min="18" max="18" width="18.1640625" style="665" customWidth="1"/>
    <col min="19" max="19" width="23" style="665" customWidth="1"/>
    <col min="20" max="20" width="19.83203125" style="665" customWidth="1"/>
    <col min="21" max="16384" width="10.6640625" style="665"/>
  </cols>
  <sheetData>
    <row r="2" spans="2:16" ht="27.75" customHeight="1" x14ac:dyDescent="0.2">
      <c r="B2" s="1063" t="s">
        <v>1381</v>
      </c>
      <c r="C2" s="1064"/>
      <c r="D2" s="1064"/>
      <c r="E2" s="1064"/>
      <c r="F2" s="1064"/>
      <c r="G2" s="1064"/>
      <c r="H2" s="1064"/>
      <c r="I2" s="1064"/>
      <c r="J2" s="1064"/>
      <c r="K2" s="1064"/>
      <c r="L2" s="1065"/>
    </row>
    <row r="3" spans="2:16" ht="50.25" customHeight="1" thickBot="1" x14ac:dyDescent="0.25">
      <c r="B3" s="666" t="s">
        <v>161</v>
      </c>
      <c r="C3" s="666" t="s">
        <v>163</v>
      </c>
      <c r="D3" s="666" t="s">
        <v>214</v>
      </c>
      <c r="E3" s="666" t="s">
        <v>164</v>
      </c>
      <c r="F3" s="667" t="s">
        <v>1382</v>
      </c>
      <c r="G3" s="667" t="s">
        <v>160</v>
      </c>
      <c r="H3" s="667" t="s">
        <v>1383</v>
      </c>
      <c r="I3" s="667" t="s">
        <v>1384</v>
      </c>
      <c r="J3" s="667" t="s">
        <v>173</v>
      </c>
      <c r="K3" s="667" t="s">
        <v>356</v>
      </c>
      <c r="L3" s="667" t="s">
        <v>1143</v>
      </c>
    </row>
    <row r="4" spans="2:16" ht="20.100000000000001" customHeight="1" thickTop="1" x14ac:dyDescent="0.2">
      <c r="B4" s="1066" t="s">
        <v>1385</v>
      </c>
      <c r="C4" s="668">
        <v>46082</v>
      </c>
      <c r="D4" s="668" t="s">
        <v>1386</v>
      </c>
      <c r="E4" s="669" t="s">
        <v>1387</v>
      </c>
      <c r="F4" s="670">
        <v>350</v>
      </c>
      <c r="G4" s="670">
        <v>891</v>
      </c>
      <c r="H4" s="670">
        <f>$P$5*30*0.04</f>
        <v>2.6760000000000002</v>
      </c>
      <c r="I4" s="670">
        <f>$P$6*(G4-30)*0.04</f>
        <v>30.307199999999998</v>
      </c>
      <c r="J4" s="670">
        <f>D14</f>
        <v>3.32</v>
      </c>
      <c r="K4" s="670">
        <f>F4+J4</f>
        <v>353.32</v>
      </c>
      <c r="L4" s="670">
        <f>F4+H4+I4+J4</f>
        <v>386.3032</v>
      </c>
      <c r="N4" s="671" t="s">
        <v>391</v>
      </c>
      <c r="O4" s="671" t="s">
        <v>473</v>
      </c>
      <c r="P4" s="671" t="s">
        <v>1388</v>
      </c>
    </row>
    <row r="5" spans="2:16" ht="20.100000000000001" customHeight="1" x14ac:dyDescent="0.2">
      <c r="B5" s="1066"/>
      <c r="C5" s="672">
        <v>46082</v>
      </c>
      <c r="D5" s="673" t="s">
        <v>1389</v>
      </c>
      <c r="E5" s="674" t="s">
        <v>1468</v>
      </c>
      <c r="F5" s="675">
        <v>801</v>
      </c>
      <c r="G5" s="676">
        <v>763</v>
      </c>
      <c r="H5" s="675">
        <f t="shared" ref="H5:H6" si="0">$P$5*30*0.04</f>
        <v>2.6760000000000002</v>
      </c>
      <c r="I5" s="675">
        <f t="shared" ref="I5:I6" si="1">$P$6*(G5-30)*0.04</f>
        <v>25.801600000000001</v>
      </c>
      <c r="J5" s="676">
        <f>E14</f>
        <v>1.33</v>
      </c>
      <c r="K5" s="676">
        <f>F5+J5</f>
        <v>802.33</v>
      </c>
      <c r="L5" s="676">
        <f>F5+H5+I5+J5</f>
        <v>830.80760000000009</v>
      </c>
      <c r="N5" s="677">
        <v>100947</v>
      </c>
      <c r="O5" s="678" t="s">
        <v>1390</v>
      </c>
      <c r="P5" s="871">
        <v>2.23</v>
      </c>
    </row>
    <row r="6" spans="2:16" s="682" customFormat="1" ht="20.100000000000001" customHeight="1" thickBot="1" x14ac:dyDescent="0.25">
      <c r="B6" s="1067"/>
      <c r="C6" s="679">
        <v>45931</v>
      </c>
      <c r="D6" s="679" t="s">
        <v>1391</v>
      </c>
      <c r="E6" s="680" t="s">
        <v>1392</v>
      </c>
      <c r="F6" s="681">
        <v>795</v>
      </c>
      <c r="G6" s="681">
        <v>893</v>
      </c>
      <c r="H6" s="681">
        <f t="shared" si="0"/>
        <v>2.6760000000000002</v>
      </c>
      <c r="I6" s="681">
        <f t="shared" si="1"/>
        <v>30.377600000000001</v>
      </c>
      <c r="J6" s="681">
        <f>F14</f>
        <v>3.32</v>
      </c>
      <c r="K6" s="681">
        <f>F6+J6</f>
        <v>798.32</v>
      </c>
      <c r="L6" s="681">
        <f>F6+H6+I6+J6</f>
        <v>831.37360000000012</v>
      </c>
      <c r="N6" s="683">
        <v>100948</v>
      </c>
      <c r="O6" s="678" t="s">
        <v>1393</v>
      </c>
      <c r="P6" s="871">
        <v>0.88</v>
      </c>
    </row>
    <row r="7" spans="2:16" ht="20.100000000000001" customHeight="1" thickTop="1" x14ac:dyDescent="0.2">
      <c r="I7" s="1062"/>
      <c r="J7" s="1062"/>
      <c r="K7" s="1062" t="s">
        <v>1394</v>
      </c>
      <c r="L7" s="1062"/>
    </row>
    <row r="8" spans="2:16" ht="15.75" thickBot="1" x14ac:dyDescent="0.25">
      <c r="B8" s="1047" t="s">
        <v>1395</v>
      </c>
      <c r="C8" s="1060"/>
      <c r="D8" s="1060"/>
      <c r="E8" s="1060"/>
      <c r="F8" s="1048"/>
      <c r="G8" s="251"/>
    </row>
    <row r="9" spans="2:16" ht="24.75" customHeight="1" x14ac:dyDescent="0.2">
      <c r="B9" s="1047" t="s">
        <v>42</v>
      </c>
      <c r="C9" s="1048"/>
      <c r="D9" s="252" t="str">
        <f>E4</f>
        <v>Carmo da Mata/MG</v>
      </c>
      <c r="E9" s="252" t="str">
        <f>E5</f>
        <v>Curitiba/PR</v>
      </c>
      <c r="F9" s="252" t="str">
        <f>E6</f>
        <v>Claudio/MG</v>
      </c>
      <c r="G9" s="252" t="s">
        <v>151</v>
      </c>
      <c r="I9" s="1068" t="s">
        <v>1396</v>
      </c>
      <c r="J9" s="1069"/>
      <c r="K9" s="684">
        <v>9000</v>
      </c>
      <c r="L9" s="685" t="s">
        <v>842</v>
      </c>
    </row>
    <row r="10" spans="2:16" ht="18" customHeight="1" x14ac:dyDescent="0.2">
      <c r="B10" s="1049" t="s">
        <v>165</v>
      </c>
      <c r="C10" s="20" t="s">
        <v>166</v>
      </c>
      <c r="D10" s="21">
        <v>374.05</v>
      </c>
      <c r="E10" s="16">
        <v>150</v>
      </c>
      <c r="F10" s="21">
        <v>374.05</v>
      </c>
      <c r="G10" s="17" t="s">
        <v>167</v>
      </c>
      <c r="I10" s="1070" t="s">
        <v>1397</v>
      </c>
      <c r="J10" s="1071"/>
      <c r="K10" s="686">
        <v>40</v>
      </c>
      <c r="L10" s="687" t="s">
        <v>1398</v>
      </c>
    </row>
    <row r="11" spans="2:16" ht="18" customHeight="1" thickBot="1" x14ac:dyDescent="0.25">
      <c r="B11" s="1050"/>
      <c r="C11" s="20" t="s">
        <v>168</v>
      </c>
      <c r="D11" s="21">
        <f>D10</f>
        <v>374.05</v>
      </c>
      <c r="E11" s="16">
        <f>E10</f>
        <v>150</v>
      </c>
      <c r="F11" s="21">
        <f>F10</f>
        <v>374.05</v>
      </c>
      <c r="G11" s="17" t="s">
        <v>167</v>
      </c>
      <c r="I11" s="1072" t="s">
        <v>1399</v>
      </c>
      <c r="J11" s="1073"/>
      <c r="K11" s="688">
        <f>K9/K10</f>
        <v>225</v>
      </c>
      <c r="L11" s="689" t="s">
        <v>37</v>
      </c>
    </row>
    <row r="12" spans="2:16" ht="18" customHeight="1" x14ac:dyDescent="0.2">
      <c r="B12" s="1051"/>
      <c r="C12" s="20" t="s">
        <v>0</v>
      </c>
      <c r="D12" s="16">
        <f>D10+D11</f>
        <v>748.1</v>
      </c>
      <c r="E12" s="16">
        <f>E10+E11</f>
        <v>300</v>
      </c>
      <c r="F12" s="16">
        <f>F10+F11</f>
        <v>748.1</v>
      </c>
      <c r="G12" s="17" t="s">
        <v>167</v>
      </c>
    </row>
    <row r="13" spans="2:16" ht="18" customHeight="1" x14ac:dyDescent="0.2">
      <c r="B13" s="1052" t="s">
        <v>1400</v>
      </c>
      <c r="C13" s="1053"/>
      <c r="D13" s="690">
        <f>K11</f>
        <v>225</v>
      </c>
      <c r="E13" s="690">
        <f>K11</f>
        <v>225</v>
      </c>
      <c r="F13" s="690">
        <f>K11</f>
        <v>225</v>
      </c>
      <c r="G13" s="17" t="s">
        <v>1401</v>
      </c>
    </row>
    <row r="14" spans="2:16" ht="18" customHeight="1" x14ac:dyDescent="0.2">
      <c r="B14" s="1074" t="s">
        <v>171</v>
      </c>
      <c r="C14" s="1074"/>
      <c r="D14" s="18">
        <f>ROUND(D12/D13,2)</f>
        <v>3.32</v>
      </c>
      <c r="E14" s="18">
        <f>ROUND(E12/E13,2)</f>
        <v>1.33</v>
      </c>
      <c r="F14" s="18">
        <f>ROUND(F12/F13,2)</f>
        <v>3.32</v>
      </c>
      <c r="G14" s="691" t="s">
        <v>172</v>
      </c>
    </row>
    <row r="15" spans="2:16" ht="18" customHeight="1" x14ac:dyDescent="0.2"/>
    <row r="16" spans="2:16" x14ac:dyDescent="0.2">
      <c r="C16" s="692" t="str">
        <f>E4</f>
        <v>Carmo da Mata/MG</v>
      </c>
      <c r="E16" s="1062" t="str">
        <f>E5</f>
        <v>Curitiba/PR</v>
      </c>
      <c r="F16" s="1062"/>
      <c r="G16" s="1062"/>
      <c r="I16" s="665" t="str">
        <f>F9</f>
        <v>Claudio/MG</v>
      </c>
    </row>
    <row r="28" hidden="1" x14ac:dyDescent="0.2"/>
    <row r="29" hidden="1" x14ac:dyDescent="0.2"/>
    <row r="30" hidden="1" x14ac:dyDescent="0.2"/>
    <row r="31" hidden="1" x14ac:dyDescent="0.2"/>
    <row r="32" hidden="1" x14ac:dyDescent="0.2"/>
    <row r="34" spans="2:2" x14ac:dyDescent="0.2">
      <c r="B34" s="693" t="s">
        <v>246</v>
      </c>
    </row>
    <row r="35" spans="2:2" x14ac:dyDescent="0.2">
      <c r="B35" s="693" t="s">
        <v>1467</v>
      </c>
    </row>
  </sheetData>
  <mergeCells count="13">
    <mergeCell ref="E16:G16"/>
    <mergeCell ref="B2:L2"/>
    <mergeCell ref="B4:B6"/>
    <mergeCell ref="I7:J7"/>
    <mergeCell ref="K7:L7"/>
    <mergeCell ref="B8:F8"/>
    <mergeCell ref="B9:C9"/>
    <mergeCell ref="I9:J9"/>
    <mergeCell ref="B10:B12"/>
    <mergeCell ref="I10:J10"/>
    <mergeCell ref="I11:J11"/>
    <mergeCell ref="B13:C13"/>
    <mergeCell ref="B14:C1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3" fitToHeight="0" orientation="landscape" r:id="rId1"/>
  <headerFooter>
    <oddHeader>&amp;L&amp;G&amp;R&amp;G</oddHead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1:G21"/>
  <sheetViews>
    <sheetView showGridLines="0" tabSelected="1" zoomScale="90" zoomScaleNormal="90" workbookViewId="0">
      <selection activeCell="G13" sqref="G13"/>
    </sheetView>
  </sheetViews>
  <sheetFormatPr defaultColWidth="9.33203125" defaultRowHeight="15.75" x14ac:dyDescent="0.25"/>
  <cols>
    <col min="1" max="1" width="4.83203125" style="2" customWidth="1"/>
    <col min="2" max="2" width="43.33203125" style="1" bestFit="1" customWidth="1"/>
    <col min="3" max="3" width="32.83203125" style="1" customWidth="1"/>
    <col min="4" max="4" width="44.1640625" style="1" customWidth="1"/>
    <col min="5" max="7" width="16.33203125" style="2" customWidth="1"/>
    <col min="8" max="16384" width="9.33203125" style="2"/>
  </cols>
  <sheetData>
    <row r="1" spans="2:7" ht="16.5" thickBot="1" x14ac:dyDescent="0.3"/>
    <row r="2" spans="2:7" ht="16.5" thickBot="1" x14ac:dyDescent="0.3">
      <c r="B2" s="1075" t="str">
        <f>DMT!B2</f>
        <v>JARDIM BRASILIA</v>
      </c>
      <c r="C2" s="1076"/>
      <c r="D2" s="1076"/>
      <c r="E2" s="1076"/>
      <c r="F2" s="1076"/>
      <c r="G2" s="1077"/>
    </row>
    <row r="3" spans="2:7" ht="16.5" thickBot="1" x14ac:dyDescent="0.3">
      <c r="B3" s="1078" t="s">
        <v>291</v>
      </c>
      <c r="C3" s="1079"/>
      <c r="D3" s="1079"/>
      <c r="E3" s="1079"/>
      <c r="F3" s="1079"/>
      <c r="G3" s="1080"/>
    </row>
    <row r="4" spans="2:7" ht="16.5" thickBot="1" x14ac:dyDescent="0.3">
      <c r="B4" s="11"/>
      <c r="G4" s="12"/>
    </row>
    <row r="5" spans="2:7" ht="16.5" thickBot="1" x14ac:dyDescent="0.3">
      <c r="B5" s="1082" t="s">
        <v>16</v>
      </c>
      <c r="C5" s="1083"/>
      <c r="D5" s="3">
        <f>DRENAGEM!AV30</f>
        <v>2110</v>
      </c>
      <c r="G5" s="12"/>
    </row>
    <row r="6" spans="2:7" ht="16.5" thickBot="1" x14ac:dyDescent="0.3">
      <c r="B6" s="1082" t="s">
        <v>17</v>
      </c>
      <c r="C6" s="1083"/>
      <c r="D6" s="3">
        <f>PAVIMENTAÇÃO!I18</f>
        <v>3647.53</v>
      </c>
      <c r="G6" s="12"/>
    </row>
    <row r="7" spans="2:7" ht="16.5" thickBot="1" x14ac:dyDescent="0.3">
      <c r="B7" s="11"/>
      <c r="C7" s="13"/>
      <c r="D7" s="13"/>
      <c r="G7" s="12"/>
    </row>
    <row r="8" spans="2:7" ht="16.5" thickBot="1" x14ac:dyDescent="0.3">
      <c r="B8" s="9" t="s">
        <v>18</v>
      </c>
      <c r="C8" s="1084" t="s">
        <v>19</v>
      </c>
      <c r="D8" s="1085"/>
      <c r="E8" s="1085"/>
      <c r="F8" s="1086"/>
      <c r="G8" s="10" t="s">
        <v>0</v>
      </c>
    </row>
    <row r="9" spans="2:7" ht="39.950000000000003" customHeight="1" x14ac:dyDescent="0.25">
      <c r="B9" s="1087" t="s">
        <v>20</v>
      </c>
      <c r="C9" s="1091" t="s">
        <v>21</v>
      </c>
      <c r="D9" s="1092"/>
      <c r="E9" s="589">
        <v>15</v>
      </c>
      <c r="F9" s="1097">
        <f>D5+D6</f>
        <v>5757.5300000000007</v>
      </c>
      <c r="G9" s="1100" t="s">
        <v>212</v>
      </c>
    </row>
    <row r="10" spans="2:7" ht="39.950000000000003" customHeight="1" x14ac:dyDescent="0.25">
      <c r="B10" s="1088"/>
      <c r="C10" s="1093" t="s">
        <v>22</v>
      </c>
      <c r="D10" s="1094"/>
      <c r="E10" s="590">
        <v>30</v>
      </c>
      <c r="F10" s="1098"/>
      <c r="G10" s="1101"/>
    </row>
    <row r="11" spans="2:7" ht="39.950000000000003" customHeight="1" thickBot="1" x14ac:dyDescent="0.3">
      <c r="B11" s="1089"/>
      <c r="C11" s="1095" t="s">
        <v>23</v>
      </c>
      <c r="D11" s="1096"/>
      <c r="E11" s="591">
        <v>45</v>
      </c>
      <c r="F11" s="1099"/>
      <c r="G11" s="1101"/>
    </row>
    <row r="12" spans="2:7" ht="39.950000000000003" customHeight="1" x14ac:dyDescent="0.25">
      <c r="B12" s="1089"/>
      <c r="C12" s="1102" t="s">
        <v>1251</v>
      </c>
      <c r="D12" s="1102"/>
      <c r="E12" s="1102"/>
      <c r="F12" s="1103"/>
      <c r="G12" s="594">
        <f>100+100+100+100</f>
        <v>400</v>
      </c>
    </row>
    <row r="13" spans="2:7" ht="39.950000000000003" customHeight="1" thickBot="1" x14ac:dyDescent="0.3">
      <c r="B13" s="1090"/>
      <c r="C13" s="1104" t="s">
        <v>1252</v>
      </c>
      <c r="D13" s="1104"/>
      <c r="E13" s="1104"/>
      <c r="F13" s="1105"/>
      <c r="G13" s="595">
        <f>10*15*0.05</f>
        <v>7.5</v>
      </c>
    </row>
    <row r="14" spans="2:7" ht="39.950000000000003" customHeight="1" thickBot="1" x14ac:dyDescent="0.3">
      <c r="B14" s="592" t="s">
        <v>24</v>
      </c>
      <c r="C14" s="1081" t="s">
        <v>25</v>
      </c>
      <c r="D14" s="1081"/>
      <c r="E14" s="14"/>
      <c r="F14" s="4">
        <f>D5+D6</f>
        <v>5757.5300000000007</v>
      </c>
      <c r="G14" s="5">
        <f>ROUNDUP(F14/200,0)</f>
        <v>29</v>
      </c>
    </row>
    <row r="15" spans="2:7" ht="39.950000000000003" customHeight="1" thickBot="1" x14ac:dyDescent="0.3">
      <c r="B15" s="592" t="s">
        <v>26</v>
      </c>
      <c r="C15" s="1081" t="s">
        <v>27</v>
      </c>
      <c r="D15" s="1081"/>
      <c r="E15" s="6"/>
      <c r="F15" s="4">
        <f>D5</f>
        <v>2110</v>
      </c>
      <c r="G15" s="7">
        <f>ROUNDUP(F15*1.2/4,0)</f>
        <v>633</v>
      </c>
    </row>
    <row r="16" spans="2:7" ht="39.950000000000003" customHeight="1" thickBot="1" x14ac:dyDescent="0.3">
      <c r="B16" s="593" t="s">
        <v>28</v>
      </c>
      <c r="C16" s="1081" t="s">
        <v>29</v>
      </c>
      <c r="D16" s="1081"/>
      <c r="E16" s="6"/>
      <c r="F16" s="4">
        <f>D5</f>
        <v>2110</v>
      </c>
      <c r="G16" s="8">
        <f>ROUNDUP(F16/4,0)</f>
        <v>528</v>
      </c>
    </row>
    <row r="18" spans="4:7" x14ac:dyDescent="0.25">
      <c r="D18" s="1106"/>
      <c r="E18" s="1106"/>
      <c r="F18" s="599"/>
      <c r="G18" s="597"/>
    </row>
    <row r="19" spans="4:7" x14ac:dyDescent="0.25">
      <c r="E19" s="596"/>
      <c r="F19" s="599"/>
      <c r="G19" s="598"/>
    </row>
    <row r="20" spans="4:7" x14ac:dyDescent="0.25">
      <c r="E20" s="596" t="s">
        <v>1075</v>
      </c>
      <c r="F20" s="599">
        <f>TRUNC(F21*(DMT!F9),2)</f>
        <v>188.37</v>
      </c>
      <c r="G20" s="598" t="s">
        <v>5</v>
      </c>
    </row>
    <row r="21" spans="4:7" x14ac:dyDescent="0.25">
      <c r="E21" s="596" t="s">
        <v>1333</v>
      </c>
      <c r="F21" s="599">
        <f>TRUNC(G13*1.38,2)</f>
        <v>10.35</v>
      </c>
      <c r="G21" s="597" t="s">
        <v>2</v>
      </c>
    </row>
  </sheetData>
  <mergeCells count="17">
    <mergeCell ref="D18:E18"/>
    <mergeCell ref="B2:G2"/>
    <mergeCell ref="B3:G3"/>
    <mergeCell ref="C14:D14"/>
    <mergeCell ref="C15:D15"/>
    <mergeCell ref="C16:D16"/>
    <mergeCell ref="B5:C5"/>
    <mergeCell ref="B6:C6"/>
    <mergeCell ref="C8:F8"/>
    <mergeCell ref="B9:B13"/>
    <mergeCell ref="C9:D9"/>
    <mergeCell ref="C10:D10"/>
    <mergeCell ref="C11:D11"/>
    <mergeCell ref="F9:F11"/>
    <mergeCell ref="G9:G11"/>
    <mergeCell ref="C12:F12"/>
    <mergeCell ref="C13:F13"/>
  </mergeCells>
  <printOptions horizontalCentered="1"/>
  <pageMargins left="0.51181102362204722" right="0.51181102362204722" top="0.98425196850393704" bottom="0.78740157480314965" header="0.31496062992125984" footer="0.31496062992125984"/>
  <pageSetup paperSize="9" scale="55" orientation="portrait" r:id="rId1"/>
  <headerFooter>
    <oddHeader>&amp;L&amp;G&amp;R&amp;G</oddHead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1:T21"/>
  <sheetViews>
    <sheetView showGridLines="0" view="pageBreakPreview" zoomScale="115" zoomScaleNormal="100" zoomScaleSheetLayoutView="115" workbookViewId="0">
      <selection activeCell="G20" sqref="G20:G21"/>
    </sheetView>
  </sheetViews>
  <sheetFormatPr defaultColWidth="9.33203125" defaultRowHeight="12.75" x14ac:dyDescent="0.2"/>
  <cols>
    <col min="1" max="1" width="5.83203125" style="209" customWidth="1"/>
    <col min="2" max="4" width="20.83203125" style="209" hidden="1" customWidth="1"/>
    <col min="5" max="5" width="10.83203125" style="209" hidden="1" customWidth="1"/>
    <col min="6" max="8" width="20.83203125" style="209" customWidth="1"/>
    <col min="9" max="9" width="10.83203125" style="209" customWidth="1"/>
    <col min="10" max="10" width="25.5" style="209" bestFit="1" customWidth="1"/>
    <col min="11" max="13" width="20.83203125" style="209" customWidth="1"/>
    <col min="14" max="14" width="31.1640625" style="209" customWidth="1"/>
    <col min="15" max="15" width="26.1640625" style="209" customWidth="1"/>
    <col min="16" max="17" width="20.83203125" style="209" customWidth="1"/>
    <col min="18" max="18" width="14.33203125" style="209" customWidth="1"/>
    <col min="19" max="19" width="21" style="209" customWidth="1"/>
    <col min="20" max="20" width="17.83203125" style="209" customWidth="1"/>
    <col min="21" max="16384" width="9.33203125" style="209"/>
  </cols>
  <sheetData>
    <row r="1" spans="2:20" ht="13.5" thickBot="1" x14ac:dyDescent="0.25"/>
    <row r="2" spans="2:20" ht="16.5" thickBot="1" x14ac:dyDescent="0.25">
      <c r="B2" s="585" t="str">
        <f>DMT!B2</f>
        <v>JARDIM BRASILIA</v>
      </c>
      <c r="C2" s="586"/>
      <c r="D2" s="586"/>
      <c r="E2" s="586"/>
      <c r="F2" s="1115" t="str">
        <f>B2</f>
        <v>JARDIM BRASILIA</v>
      </c>
      <c r="G2" s="1116"/>
      <c r="H2" s="1116"/>
      <c r="I2" s="1116"/>
      <c r="J2" s="1116"/>
      <c r="K2" s="1116"/>
      <c r="L2" s="1116"/>
      <c r="M2" s="1116"/>
      <c r="N2" s="1116"/>
      <c r="O2" s="1116"/>
      <c r="P2" s="1117"/>
    </row>
    <row r="3" spans="2:20" ht="13.5" thickBot="1" x14ac:dyDescent="0.25"/>
    <row r="4" spans="2:20" ht="18" customHeight="1" thickBot="1" x14ac:dyDescent="0.25">
      <c r="B4" s="1112" t="s">
        <v>349</v>
      </c>
      <c r="C4" s="1113"/>
      <c r="D4" s="1114"/>
      <c r="F4" s="1112" t="s">
        <v>352</v>
      </c>
      <c r="G4" s="1113"/>
      <c r="H4" s="1114"/>
      <c r="J4" s="1107" t="s">
        <v>1132</v>
      </c>
      <c r="K4" s="1108"/>
      <c r="L4" s="1108"/>
      <c r="M4" s="1108"/>
      <c r="N4" s="1108"/>
      <c r="O4" s="1108"/>
      <c r="P4" s="1109"/>
    </row>
    <row r="5" spans="2:20" ht="60.75" thickBot="1" x14ac:dyDescent="0.25">
      <c r="B5" s="237" t="s">
        <v>350</v>
      </c>
      <c r="C5" s="238" t="s">
        <v>351</v>
      </c>
      <c r="D5" s="239" t="s">
        <v>41</v>
      </c>
      <c r="F5" s="455" t="s">
        <v>350</v>
      </c>
      <c r="G5" s="456" t="s">
        <v>351</v>
      </c>
      <c r="H5" s="457" t="s">
        <v>41</v>
      </c>
      <c r="J5" s="543" t="s">
        <v>1133</v>
      </c>
      <c r="K5" s="544" t="s">
        <v>157</v>
      </c>
      <c r="L5" s="544" t="s">
        <v>158</v>
      </c>
      <c r="M5" s="544" t="s">
        <v>1139</v>
      </c>
      <c r="N5" s="544" t="s">
        <v>1140</v>
      </c>
      <c r="O5" s="545" t="s">
        <v>1135</v>
      </c>
      <c r="P5" s="546" t="s">
        <v>1141</v>
      </c>
    </row>
    <row r="6" spans="2:20" ht="18" customHeight="1" x14ac:dyDescent="0.2">
      <c r="B6" s="431"/>
      <c r="C6" s="240"/>
      <c r="D6" s="241"/>
      <c r="F6" s="460" t="s">
        <v>1019</v>
      </c>
      <c r="G6" s="458" t="s">
        <v>1005</v>
      </c>
      <c r="H6" s="459" t="s">
        <v>1006</v>
      </c>
      <c r="J6" s="549" t="s">
        <v>1138</v>
      </c>
      <c r="K6" s="553">
        <f>0.95+4.08+8.52+4.77</f>
        <v>18.32</v>
      </c>
      <c r="L6" s="548" t="s">
        <v>1</v>
      </c>
      <c r="M6" s="548"/>
      <c r="N6" s="551">
        <v>0.06</v>
      </c>
      <c r="O6" s="550">
        <f>TRUNC(N6*K6,2)</f>
        <v>1.0900000000000001</v>
      </c>
      <c r="P6" s="552"/>
    </row>
    <row r="7" spans="2:20" ht="18" customHeight="1" x14ac:dyDescent="0.2">
      <c r="B7" s="432"/>
      <c r="C7" s="242"/>
      <c r="D7" s="243"/>
      <c r="F7" s="460" t="s">
        <v>1020</v>
      </c>
      <c r="G7" s="458" t="s">
        <v>1007</v>
      </c>
      <c r="H7" s="459" t="s">
        <v>1008</v>
      </c>
      <c r="J7" s="549" t="s">
        <v>1462</v>
      </c>
      <c r="K7" s="553">
        <f>7.92+6.2+5</f>
        <v>19.12</v>
      </c>
      <c r="L7" s="548" t="s">
        <v>1</v>
      </c>
      <c r="M7" s="548"/>
      <c r="N7" s="551">
        <v>0.2</v>
      </c>
      <c r="O7" s="550">
        <f>TRUNC(N7*K7,2)</f>
        <v>3.82</v>
      </c>
      <c r="P7" s="552"/>
    </row>
    <row r="8" spans="2:20" ht="18" customHeight="1" x14ac:dyDescent="0.2">
      <c r="B8" s="432"/>
      <c r="C8" s="242"/>
      <c r="D8" s="243"/>
      <c r="F8" s="460" t="s">
        <v>1021</v>
      </c>
      <c r="G8" s="458" t="s">
        <v>1009</v>
      </c>
      <c r="H8" s="459" t="s">
        <v>1010</v>
      </c>
      <c r="J8" s="872" t="s">
        <v>1134</v>
      </c>
      <c r="K8" s="553">
        <v>267.14999999999998</v>
      </c>
      <c r="L8" s="548" t="s">
        <v>1</v>
      </c>
      <c r="M8" s="548"/>
      <c r="N8" s="551">
        <v>0.03</v>
      </c>
      <c r="O8" s="551"/>
      <c r="P8" s="873">
        <f>TRUNC(K8*N8,2)</f>
        <v>8.01</v>
      </c>
    </row>
    <row r="9" spans="2:20" ht="18" customHeight="1" x14ac:dyDescent="0.2">
      <c r="B9" s="432"/>
      <c r="C9" s="242"/>
      <c r="D9" s="243"/>
      <c r="F9" s="460" t="s">
        <v>1022</v>
      </c>
      <c r="G9" s="458">
        <v>7699212.8700000001</v>
      </c>
      <c r="H9" s="459">
        <v>427873.73</v>
      </c>
      <c r="J9" s="549" t="s">
        <v>1136</v>
      </c>
      <c r="K9" s="553">
        <v>172.75</v>
      </c>
      <c r="L9" s="548" t="s">
        <v>3</v>
      </c>
      <c r="M9" s="548">
        <v>6.1499999999999999E-2</v>
      </c>
      <c r="N9" s="874"/>
      <c r="O9" s="551">
        <f>TRUNC(M9*K9,2)</f>
        <v>10.62</v>
      </c>
      <c r="P9" s="552"/>
    </row>
    <row r="10" spans="2:20" ht="18" customHeight="1" thickBot="1" x14ac:dyDescent="0.25">
      <c r="B10" s="432"/>
      <c r="C10" s="242"/>
      <c r="D10" s="243"/>
      <c r="F10" s="700" t="s">
        <v>1463</v>
      </c>
      <c r="G10" s="458" t="s">
        <v>1011</v>
      </c>
      <c r="H10" s="459" t="s">
        <v>1012</v>
      </c>
      <c r="J10" s="875" t="s">
        <v>352</v>
      </c>
      <c r="K10" s="876">
        <v>8</v>
      </c>
      <c r="L10" s="877"/>
      <c r="M10" s="877"/>
      <c r="N10" s="878"/>
      <c r="O10" s="879"/>
      <c r="P10" s="880"/>
    </row>
    <row r="11" spans="2:20" ht="18" customHeight="1" thickBot="1" x14ac:dyDescent="0.25">
      <c r="B11" s="433"/>
      <c r="C11" s="244"/>
      <c r="D11" s="245"/>
      <c r="F11" s="700" t="s">
        <v>1464</v>
      </c>
      <c r="G11" s="458" t="s">
        <v>1013</v>
      </c>
      <c r="H11" s="459" t="s">
        <v>1014</v>
      </c>
      <c r="J11" s="1110" t="s">
        <v>30</v>
      </c>
      <c r="K11" s="1111"/>
      <c r="L11" s="1111"/>
      <c r="M11" s="1111"/>
      <c r="N11" s="1111"/>
      <c r="O11" s="881">
        <f>TRUNC(SUM(O6:O9),2)</f>
        <v>15.53</v>
      </c>
      <c r="P11" s="882">
        <f>SUM(P6:P9)</f>
        <v>8.01</v>
      </c>
    </row>
    <row r="12" spans="2:20" ht="18" customHeight="1" x14ac:dyDescent="0.2">
      <c r="F12" s="700" t="s">
        <v>1465</v>
      </c>
      <c r="G12" s="458" t="s">
        <v>1015</v>
      </c>
      <c r="H12" s="459" t="s">
        <v>1016</v>
      </c>
    </row>
    <row r="13" spans="2:20" ht="18" customHeight="1" x14ac:dyDescent="0.2">
      <c r="F13" s="700" t="s">
        <v>1023</v>
      </c>
      <c r="G13" s="458" t="s">
        <v>1017</v>
      </c>
      <c r="H13" s="459" t="s">
        <v>1018</v>
      </c>
    </row>
    <row r="14" spans="2:20" ht="18" customHeight="1" x14ac:dyDescent="0.2">
      <c r="J14" s="29"/>
      <c r="N14" s="883" t="s">
        <v>1137</v>
      </c>
      <c r="O14" s="884">
        <f>TRUNC(((O11+P11)*1.3),2)</f>
        <v>30.6</v>
      </c>
      <c r="P14" s="885" t="s">
        <v>2</v>
      </c>
    </row>
    <row r="15" spans="2:20" ht="18" customHeight="1" x14ac:dyDescent="0.2">
      <c r="N15" s="886" t="s">
        <v>353</v>
      </c>
      <c r="O15" s="887">
        <f>TRUNC(O14*O16,2)</f>
        <v>140.76</v>
      </c>
      <c r="P15" s="888" t="s">
        <v>5</v>
      </c>
      <c r="R15" s="547"/>
      <c r="S15" s="547"/>
      <c r="T15" s="547"/>
    </row>
    <row r="16" spans="2:20" ht="18" customHeight="1" x14ac:dyDescent="0.2">
      <c r="N16" s="889" t="s">
        <v>1142</v>
      </c>
      <c r="O16" s="715">
        <f>DMT!F13</f>
        <v>4.5999999999999996</v>
      </c>
      <c r="P16" s="890" t="s">
        <v>34</v>
      </c>
    </row>
    <row r="17" ht="18" customHeight="1" x14ac:dyDescent="0.2"/>
    <row r="18" ht="18" customHeight="1" x14ac:dyDescent="0.2"/>
    <row r="19" ht="18" customHeight="1" x14ac:dyDescent="0.2"/>
    <row r="20" ht="18" customHeight="1" x14ac:dyDescent="0.2"/>
    <row r="21" ht="18" customHeight="1" x14ac:dyDescent="0.2"/>
  </sheetData>
  <mergeCells count="5">
    <mergeCell ref="J4:P4"/>
    <mergeCell ref="J11:N11"/>
    <mergeCell ref="B4:D4"/>
    <mergeCell ref="F4:H4"/>
    <mergeCell ref="F2:P2"/>
  </mergeCells>
  <phoneticPr fontId="92" type="noConversion"/>
  <pageMargins left="0.51181102362204722" right="0.51181102362204722" top="0.78740157480314965" bottom="0.78740157480314965" header="0.31496062992125984" footer="0.31496062992125984"/>
  <pageSetup paperSize="9" scale="43" fitToHeight="0" orientation="portrait" horizontalDpi="300" r:id="rId1"/>
  <headerFooter>
    <oddHeader>&amp;L&amp;G&amp;R&amp;G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2060"/>
    <pageSetUpPr fitToPage="1"/>
  </sheetPr>
  <dimension ref="A1:DH213"/>
  <sheetViews>
    <sheetView showGridLines="0" topLeftCell="A10" zoomScale="90" zoomScaleNormal="90" zoomScaleSheetLayoutView="85" workbookViewId="0">
      <pane xSplit="2" ySplit="4" topLeftCell="AW37" activePane="bottomRight" state="frozen"/>
      <selection activeCell="A10" sqref="A10"/>
      <selection pane="topRight" activeCell="C10" sqref="C10"/>
      <selection pane="bottomLeft" activeCell="A14" sqref="A14"/>
      <selection pane="bottomRight" activeCell="AW51" sqref="AW51"/>
    </sheetView>
  </sheetViews>
  <sheetFormatPr defaultRowHeight="16.5" customHeight="1" outlineLevelCol="2" x14ac:dyDescent="0.2"/>
  <cols>
    <col min="1" max="1" width="10.6640625" style="33" customWidth="1" outlineLevel="1"/>
    <col min="2" max="2" width="13.6640625" style="121" customWidth="1" outlineLevel="1"/>
    <col min="3" max="3" width="15" style="35" customWidth="1" outlineLevel="1"/>
    <col min="4" max="5" width="13.6640625" style="35" customWidth="1" outlineLevel="1"/>
    <col min="6" max="6" width="16.83203125" style="35" customWidth="1" outlineLevel="1"/>
    <col min="7" max="7" width="19.6640625" style="35" customWidth="1" outlineLevel="1"/>
    <col min="8" max="8" width="18.33203125" style="35" customWidth="1" outlineLevel="2"/>
    <col min="9" max="11" width="13.6640625" style="35" customWidth="1" outlineLevel="1"/>
    <col min="12" max="12" width="15.6640625" style="35" customWidth="1" outlineLevel="1"/>
    <col min="13" max="15" width="13.6640625" style="35" customWidth="1" outlineLevel="2"/>
    <col min="16" max="16" width="19" style="36" customWidth="1" outlineLevel="1"/>
    <col min="17" max="19" width="13.6640625" style="35" customWidth="1" outlineLevel="2"/>
    <col min="20" max="20" width="14.1640625" style="37" customWidth="1" outlineLevel="1"/>
    <col min="21" max="21" width="12.33203125" style="37" customWidth="1" outlineLevel="1"/>
    <col min="22" max="22" width="14" style="37" customWidth="1" outlineLevel="1"/>
    <col min="23" max="23" width="13.6640625" style="38" customWidth="1" outlineLevel="1"/>
    <col min="24" max="24" width="13.6640625" style="39" hidden="1" customWidth="1" outlineLevel="2"/>
    <col min="25" max="25" width="13.6640625" style="37" customWidth="1" outlineLevel="1" collapsed="1"/>
    <col min="26" max="26" width="14.83203125" style="40" customWidth="1" outlineLevel="1"/>
    <col min="27" max="28" width="13.6640625" style="35" hidden="1" customWidth="1" outlineLevel="2"/>
    <col min="29" max="29" width="13.6640625" style="36" hidden="1" customWidth="1" outlineLevel="2"/>
    <col min="30" max="30" width="15.33203125" style="35" hidden="1" customWidth="1" outlineLevel="2"/>
    <col min="31" max="34" width="13.6640625" style="35" hidden="1" customWidth="1" outlineLevel="2"/>
    <col min="35" max="35" width="10.83203125" style="35" customWidth="1" outlineLevel="1" collapsed="1"/>
    <col min="36" max="37" width="10.33203125" style="37" customWidth="1" outlineLevel="1"/>
    <col min="38" max="39" width="9.83203125" style="35" customWidth="1" outlineLevel="1"/>
    <col min="40" max="40" width="10.83203125" style="37" customWidth="1" outlineLevel="1"/>
    <col min="41" max="41" width="9.33203125" style="37" customWidth="1" outlineLevel="1"/>
    <col min="42" max="43" width="13.6640625" style="35" customWidth="1" outlineLevel="1"/>
    <col min="44" max="45" width="9.83203125" style="35" customWidth="1" outlineLevel="1"/>
    <col min="46" max="46" width="14.5" style="35" customWidth="1"/>
    <col min="47" max="47" width="18.83203125" style="35" customWidth="1"/>
    <col min="48" max="48" width="18.1640625" style="35" customWidth="1"/>
    <col min="49" max="50" width="13.1640625" style="35" customWidth="1"/>
    <col min="51" max="57" width="10.6640625" style="35" customWidth="1"/>
    <col min="58" max="58" width="12.5" style="35" customWidth="1"/>
    <col min="59" max="59" width="10.6640625" style="35" customWidth="1"/>
    <col min="60" max="60" width="14" style="35" customWidth="1"/>
    <col min="61" max="62" width="10.6640625" style="35" customWidth="1"/>
    <col min="63" max="63" width="10.6640625" style="35" hidden="1" customWidth="1"/>
    <col min="64" max="64" width="12" style="35" customWidth="1"/>
    <col min="65" max="67" width="10.6640625" style="35" hidden="1" customWidth="1"/>
    <col min="68" max="68" width="12.33203125" style="35" customWidth="1"/>
    <col min="69" max="70" width="10.6640625" style="35" hidden="1" customWidth="1"/>
    <col min="71" max="71" width="13.33203125" style="35" customWidth="1"/>
    <col min="72" max="73" width="10.6640625" style="35" hidden="1" customWidth="1"/>
    <col min="74" max="74" width="13" style="35" customWidth="1"/>
    <col min="75" max="75" width="10.6640625" style="35" customWidth="1"/>
    <col min="76" max="76" width="10.6640625" style="35" hidden="1" customWidth="1"/>
    <col min="77" max="77" width="10.6640625" style="35" customWidth="1"/>
    <col min="78" max="78" width="10.6640625" style="35" hidden="1" customWidth="1"/>
    <col min="79" max="79" width="13.33203125" style="35" bestFit="1" customWidth="1"/>
    <col min="80" max="82" width="10.6640625" style="35" hidden="1" customWidth="1"/>
    <col min="83" max="83" width="12.33203125" style="35" customWidth="1"/>
    <col min="84" max="84" width="10.6640625" style="35" hidden="1" customWidth="1"/>
    <col min="85" max="85" width="11.5" style="35" customWidth="1"/>
    <col min="86" max="86" width="12.1640625" style="35" customWidth="1"/>
    <col min="87" max="87" width="11.5" style="35" customWidth="1"/>
    <col min="88" max="88" width="16.5" style="35" customWidth="1"/>
    <col min="89" max="89" width="10.6640625" style="35" hidden="1" customWidth="1"/>
    <col min="90" max="90" width="10.6640625" style="35" customWidth="1"/>
    <col min="91" max="91" width="12.6640625" style="41" customWidth="1"/>
    <col min="92" max="92" width="12.83203125" style="35" customWidth="1"/>
    <col min="93" max="93" width="10.6640625" style="35" hidden="1" customWidth="1"/>
    <col min="94" max="94" width="10.6640625" style="35" customWidth="1"/>
    <col min="95" max="97" width="10.6640625" style="35" hidden="1" customWidth="1"/>
    <col min="98" max="98" width="11.83203125" style="35" bestFit="1" customWidth="1"/>
    <col min="99" max="100" width="10.6640625" style="35" hidden="1" customWidth="1"/>
    <col min="101" max="101" width="10.6640625" style="35" customWidth="1"/>
    <col min="102" max="103" width="10.6640625" style="35" hidden="1" customWidth="1"/>
    <col min="104" max="104" width="11.5" style="35" customWidth="1"/>
    <col min="105" max="110" width="10.6640625" style="35" customWidth="1"/>
    <col min="111" max="111" width="13.6640625" style="35" hidden="1" customWidth="1"/>
    <col min="112" max="112" width="9.33203125" style="35" customWidth="1"/>
    <col min="113" max="135" width="10.6640625" style="35" customWidth="1"/>
    <col min="136" max="225" width="9.33203125" style="35"/>
    <col min="226" max="226" width="13.5" style="35" customWidth="1"/>
    <col min="227" max="227" width="12.83203125" style="35" customWidth="1"/>
    <col min="228" max="228" width="11.1640625" style="35" customWidth="1"/>
    <col min="229" max="229" width="10.6640625" style="35" customWidth="1"/>
    <col min="230" max="230" width="8.5" style="35" customWidth="1"/>
    <col min="231" max="240" width="0" style="35" hidden="1" customWidth="1"/>
    <col min="241" max="241" width="12.5" style="35" customWidth="1"/>
    <col min="242" max="242" width="13.6640625" style="35" customWidth="1"/>
    <col min="243" max="246" width="0" style="35" hidden="1" customWidth="1"/>
    <col min="247" max="247" width="13.6640625" style="35" customWidth="1"/>
    <col min="248" max="248" width="12.5" style="35" customWidth="1"/>
    <col min="249" max="249" width="15.5" style="35" customWidth="1"/>
    <col min="250" max="250" width="13.6640625" style="35" customWidth="1"/>
    <col min="251" max="251" width="10.83203125" style="35" customWidth="1"/>
    <col min="252" max="252" width="10.33203125" style="35" customWidth="1"/>
    <col min="253" max="254" width="9.83203125" style="35" customWidth="1"/>
    <col min="255" max="255" width="10.83203125" style="35" customWidth="1"/>
    <col min="256" max="256" width="9.33203125" style="35" customWidth="1"/>
    <col min="257" max="259" width="9.83203125" style="35" customWidth="1"/>
    <col min="260" max="260" width="14.5" style="35" customWidth="1"/>
    <col min="261" max="261" width="18.1640625" style="35" customWidth="1"/>
    <col min="262" max="262" width="13.1640625" style="35" customWidth="1"/>
    <col min="263" max="263" width="13" style="35" customWidth="1"/>
    <col min="264" max="264" width="11" style="35" customWidth="1"/>
    <col min="265" max="269" width="0" style="35" hidden="1" customWidth="1"/>
    <col min="270" max="270" width="14.33203125" style="35" customWidth="1"/>
    <col min="271" max="273" width="0" style="35" hidden="1" customWidth="1"/>
    <col min="274" max="274" width="14.33203125" style="35" customWidth="1"/>
    <col min="275" max="277" width="0" style="35" hidden="1" customWidth="1"/>
    <col min="278" max="278" width="14.33203125" style="35" customWidth="1"/>
    <col min="279" max="281" width="0" style="35" hidden="1" customWidth="1"/>
    <col min="282" max="283" width="14.33203125" style="35" customWidth="1"/>
    <col min="284" max="284" width="14.1640625" style="35" customWidth="1"/>
    <col min="285" max="285" width="10.5" style="35" customWidth="1"/>
    <col min="286" max="286" width="10.1640625" style="35" customWidth="1"/>
    <col min="287" max="287" width="11.6640625" style="35" customWidth="1"/>
    <col min="288" max="288" width="9.83203125" style="35" customWidth="1"/>
    <col min="289" max="289" width="10.1640625" style="35" customWidth="1"/>
    <col min="290" max="290" width="9" style="35" customWidth="1"/>
    <col min="291" max="291" width="9.83203125" style="35" customWidth="1"/>
    <col min="292" max="292" width="9" style="35" customWidth="1"/>
    <col min="293" max="481" width="9.33203125" style="35"/>
    <col min="482" max="482" width="13.5" style="35" customWidth="1"/>
    <col min="483" max="483" width="12.83203125" style="35" customWidth="1"/>
    <col min="484" max="484" width="11.1640625" style="35" customWidth="1"/>
    <col min="485" max="485" width="10.6640625" style="35" customWidth="1"/>
    <col min="486" max="486" width="8.5" style="35" customWidth="1"/>
    <col min="487" max="496" width="0" style="35" hidden="1" customWidth="1"/>
    <col min="497" max="497" width="12.5" style="35" customWidth="1"/>
    <col min="498" max="498" width="13.6640625" style="35" customWidth="1"/>
    <col min="499" max="502" width="0" style="35" hidden="1" customWidth="1"/>
    <col min="503" max="503" width="13.6640625" style="35" customWidth="1"/>
    <col min="504" max="504" width="12.5" style="35" customWidth="1"/>
    <col min="505" max="505" width="15.5" style="35" customWidth="1"/>
    <col min="506" max="506" width="13.6640625" style="35" customWidth="1"/>
    <col min="507" max="507" width="10.83203125" style="35" customWidth="1"/>
    <col min="508" max="508" width="10.33203125" style="35" customWidth="1"/>
    <col min="509" max="510" width="9.83203125" style="35" customWidth="1"/>
    <col min="511" max="511" width="10.83203125" style="35" customWidth="1"/>
    <col min="512" max="512" width="9.33203125" style="35" customWidth="1"/>
    <col min="513" max="515" width="9.83203125" style="35" customWidth="1"/>
    <col min="516" max="516" width="14.5" style="35" customWidth="1"/>
    <col min="517" max="517" width="18.1640625" style="35" customWidth="1"/>
    <col min="518" max="518" width="13.1640625" style="35" customWidth="1"/>
    <col min="519" max="519" width="13" style="35" customWidth="1"/>
    <col min="520" max="520" width="11" style="35" customWidth="1"/>
    <col min="521" max="525" width="0" style="35" hidden="1" customWidth="1"/>
    <col min="526" max="526" width="14.33203125" style="35" customWidth="1"/>
    <col min="527" max="529" width="0" style="35" hidden="1" customWidth="1"/>
    <col min="530" max="530" width="14.33203125" style="35" customWidth="1"/>
    <col min="531" max="533" width="0" style="35" hidden="1" customWidth="1"/>
    <col min="534" max="534" width="14.33203125" style="35" customWidth="1"/>
    <col min="535" max="537" width="0" style="35" hidden="1" customWidth="1"/>
    <col min="538" max="539" width="14.33203125" style="35" customWidth="1"/>
    <col min="540" max="540" width="14.1640625" style="35" customWidth="1"/>
    <col min="541" max="541" width="10.5" style="35" customWidth="1"/>
    <col min="542" max="542" width="10.1640625" style="35" customWidth="1"/>
    <col min="543" max="543" width="11.6640625" style="35" customWidth="1"/>
    <col min="544" max="544" width="9.83203125" style="35" customWidth="1"/>
    <col min="545" max="545" width="10.1640625" style="35" customWidth="1"/>
    <col min="546" max="546" width="9" style="35" customWidth="1"/>
    <col min="547" max="547" width="9.83203125" style="35" customWidth="1"/>
    <col min="548" max="548" width="9" style="35" customWidth="1"/>
    <col min="549" max="737" width="9.33203125" style="35"/>
    <col min="738" max="738" width="13.5" style="35" customWidth="1"/>
    <col min="739" max="739" width="12.83203125" style="35" customWidth="1"/>
    <col min="740" max="740" width="11.1640625" style="35" customWidth="1"/>
    <col min="741" max="741" width="10.6640625" style="35" customWidth="1"/>
    <col min="742" max="742" width="8.5" style="35" customWidth="1"/>
    <col min="743" max="752" width="0" style="35" hidden="1" customWidth="1"/>
    <col min="753" max="753" width="12.5" style="35" customWidth="1"/>
    <col min="754" max="754" width="13.6640625" style="35" customWidth="1"/>
    <col min="755" max="758" width="0" style="35" hidden="1" customWidth="1"/>
    <col min="759" max="759" width="13.6640625" style="35" customWidth="1"/>
    <col min="760" max="760" width="12.5" style="35" customWidth="1"/>
    <col min="761" max="761" width="15.5" style="35" customWidth="1"/>
    <col min="762" max="762" width="13.6640625" style="35" customWidth="1"/>
    <col min="763" max="763" width="10.83203125" style="35" customWidth="1"/>
    <col min="764" max="764" width="10.33203125" style="35" customWidth="1"/>
    <col min="765" max="766" width="9.83203125" style="35" customWidth="1"/>
    <col min="767" max="767" width="10.83203125" style="35" customWidth="1"/>
    <col min="768" max="768" width="9.33203125" style="35" customWidth="1"/>
    <col min="769" max="771" width="9.83203125" style="35" customWidth="1"/>
    <col min="772" max="772" width="14.5" style="35" customWidth="1"/>
    <col min="773" max="773" width="18.1640625" style="35" customWidth="1"/>
    <col min="774" max="774" width="13.1640625" style="35" customWidth="1"/>
    <col min="775" max="775" width="13" style="35" customWidth="1"/>
    <col min="776" max="776" width="11" style="35" customWidth="1"/>
    <col min="777" max="781" width="0" style="35" hidden="1" customWidth="1"/>
    <col min="782" max="782" width="14.33203125" style="35" customWidth="1"/>
    <col min="783" max="785" width="0" style="35" hidden="1" customWidth="1"/>
    <col min="786" max="786" width="14.33203125" style="35" customWidth="1"/>
    <col min="787" max="789" width="0" style="35" hidden="1" customWidth="1"/>
    <col min="790" max="790" width="14.33203125" style="35" customWidth="1"/>
    <col min="791" max="793" width="0" style="35" hidden="1" customWidth="1"/>
    <col min="794" max="795" width="14.33203125" style="35" customWidth="1"/>
    <col min="796" max="796" width="14.1640625" style="35" customWidth="1"/>
    <col min="797" max="797" width="10.5" style="35" customWidth="1"/>
    <col min="798" max="798" width="10.1640625" style="35" customWidth="1"/>
    <col min="799" max="799" width="11.6640625" style="35" customWidth="1"/>
    <col min="800" max="800" width="9.83203125" style="35" customWidth="1"/>
    <col min="801" max="801" width="10.1640625" style="35" customWidth="1"/>
    <col min="802" max="802" width="9" style="35" customWidth="1"/>
    <col min="803" max="803" width="9.83203125" style="35" customWidth="1"/>
    <col min="804" max="804" width="9" style="35" customWidth="1"/>
    <col min="805" max="993" width="9.33203125" style="35"/>
    <col min="994" max="994" width="13.5" style="35" customWidth="1"/>
    <col min="995" max="995" width="12.83203125" style="35" customWidth="1"/>
    <col min="996" max="996" width="11.1640625" style="35" customWidth="1"/>
    <col min="997" max="997" width="10.6640625" style="35" customWidth="1"/>
    <col min="998" max="998" width="8.5" style="35" customWidth="1"/>
    <col min="999" max="1008" width="0" style="35" hidden="1" customWidth="1"/>
    <col min="1009" max="1009" width="12.5" style="35" customWidth="1"/>
    <col min="1010" max="1010" width="13.6640625" style="35" customWidth="1"/>
    <col min="1011" max="1014" width="0" style="35" hidden="1" customWidth="1"/>
    <col min="1015" max="1015" width="13.6640625" style="35" customWidth="1"/>
    <col min="1016" max="1016" width="12.5" style="35" customWidth="1"/>
    <col min="1017" max="1017" width="15.5" style="35" customWidth="1"/>
    <col min="1018" max="1018" width="13.6640625" style="35" customWidth="1"/>
    <col min="1019" max="1019" width="10.83203125" style="35" customWidth="1"/>
    <col min="1020" max="1020" width="10.33203125" style="35" customWidth="1"/>
    <col min="1021" max="1022" width="9.83203125" style="35" customWidth="1"/>
    <col min="1023" max="1023" width="10.83203125" style="35" customWidth="1"/>
    <col min="1024" max="1024" width="9.33203125" style="35" customWidth="1"/>
    <col min="1025" max="1027" width="9.83203125" style="35" customWidth="1"/>
    <col min="1028" max="1028" width="14.5" style="35" customWidth="1"/>
    <col min="1029" max="1029" width="18.1640625" style="35" customWidth="1"/>
    <col min="1030" max="1030" width="13.1640625" style="35" customWidth="1"/>
    <col min="1031" max="1031" width="13" style="35" customWidth="1"/>
    <col min="1032" max="1032" width="11" style="35" customWidth="1"/>
    <col min="1033" max="1037" width="0" style="35" hidden="1" customWidth="1"/>
    <col min="1038" max="1038" width="14.33203125" style="35" customWidth="1"/>
    <col min="1039" max="1041" width="0" style="35" hidden="1" customWidth="1"/>
    <col min="1042" max="1042" width="14.33203125" style="35" customWidth="1"/>
    <col min="1043" max="1045" width="0" style="35" hidden="1" customWidth="1"/>
    <col min="1046" max="1046" width="14.33203125" style="35" customWidth="1"/>
    <col min="1047" max="1049" width="0" style="35" hidden="1" customWidth="1"/>
    <col min="1050" max="1051" width="14.33203125" style="35" customWidth="1"/>
    <col min="1052" max="1052" width="14.1640625" style="35" customWidth="1"/>
    <col min="1053" max="1053" width="10.5" style="35" customWidth="1"/>
    <col min="1054" max="1054" width="10.1640625" style="35" customWidth="1"/>
    <col min="1055" max="1055" width="11.6640625" style="35" customWidth="1"/>
    <col min="1056" max="1056" width="9.83203125" style="35" customWidth="1"/>
    <col min="1057" max="1057" width="10.1640625" style="35" customWidth="1"/>
    <col min="1058" max="1058" width="9" style="35" customWidth="1"/>
    <col min="1059" max="1059" width="9.83203125" style="35" customWidth="1"/>
    <col min="1060" max="1060" width="9" style="35" customWidth="1"/>
    <col min="1061" max="1249" width="9.33203125" style="35"/>
    <col min="1250" max="1250" width="13.5" style="35" customWidth="1"/>
    <col min="1251" max="1251" width="12.83203125" style="35" customWidth="1"/>
    <col min="1252" max="1252" width="11.1640625" style="35" customWidth="1"/>
    <col min="1253" max="1253" width="10.6640625" style="35" customWidth="1"/>
    <col min="1254" max="1254" width="8.5" style="35" customWidth="1"/>
    <col min="1255" max="1264" width="0" style="35" hidden="1" customWidth="1"/>
    <col min="1265" max="1265" width="12.5" style="35" customWidth="1"/>
    <col min="1266" max="1266" width="13.6640625" style="35" customWidth="1"/>
    <col min="1267" max="1270" width="0" style="35" hidden="1" customWidth="1"/>
    <col min="1271" max="1271" width="13.6640625" style="35" customWidth="1"/>
    <col min="1272" max="1272" width="12.5" style="35" customWidth="1"/>
    <col min="1273" max="1273" width="15.5" style="35" customWidth="1"/>
    <col min="1274" max="1274" width="13.6640625" style="35" customWidth="1"/>
    <col min="1275" max="1275" width="10.83203125" style="35" customWidth="1"/>
    <col min="1276" max="1276" width="10.33203125" style="35" customWidth="1"/>
    <col min="1277" max="1278" width="9.83203125" style="35" customWidth="1"/>
    <col min="1279" max="1279" width="10.83203125" style="35" customWidth="1"/>
    <col min="1280" max="1280" width="9.33203125" style="35" customWidth="1"/>
    <col min="1281" max="1283" width="9.83203125" style="35" customWidth="1"/>
    <col min="1284" max="1284" width="14.5" style="35" customWidth="1"/>
    <col min="1285" max="1285" width="18.1640625" style="35" customWidth="1"/>
    <col min="1286" max="1286" width="13.1640625" style="35" customWidth="1"/>
    <col min="1287" max="1287" width="13" style="35" customWidth="1"/>
    <col min="1288" max="1288" width="11" style="35" customWidth="1"/>
    <col min="1289" max="1293" width="0" style="35" hidden="1" customWidth="1"/>
    <col min="1294" max="1294" width="14.33203125" style="35" customWidth="1"/>
    <col min="1295" max="1297" width="0" style="35" hidden="1" customWidth="1"/>
    <col min="1298" max="1298" width="14.33203125" style="35" customWidth="1"/>
    <col min="1299" max="1301" width="0" style="35" hidden="1" customWidth="1"/>
    <col min="1302" max="1302" width="14.33203125" style="35" customWidth="1"/>
    <col min="1303" max="1305" width="0" style="35" hidden="1" customWidth="1"/>
    <col min="1306" max="1307" width="14.33203125" style="35" customWidth="1"/>
    <col min="1308" max="1308" width="14.1640625" style="35" customWidth="1"/>
    <col min="1309" max="1309" width="10.5" style="35" customWidth="1"/>
    <col min="1310" max="1310" width="10.1640625" style="35" customWidth="1"/>
    <col min="1311" max="1311" width="11.6640625" style="35" customWidth="1"/>
    <col min="1312" max="1312" width="9.83203125" style="35" customWidth="1"/>
    <col min="1313" max="1313" width="10.1640625" style="35" customWidth="1"/>
    <col min="1314" max="1314" width="9" style="35" customWidth="1"/>
    <col min="1315" max="1315" width="9.83203125" style="35" customWidth="1"/>
    <col min="1316" max="1316" width="9" style="35" customWidth="1"/>
    <col min="1317" max="1505" width="9.33203125" style="35"/>
    <col min="1506" max="1506" width="13.5" style="35" customWidth="1"/>
    <col min="1507" max="1507" width="12.83203125" style="35" customWidth="1"/>
    <col min="1508" max="1508" width="11.1640625" style="35" customWidth="1"/>
    <col min="1509" max="1509" width="10.6640625" style="35" customWidth="1"/>
    <col min="1510" max="1510" width="8.5" style="35" customWidth="1"/>
    <col min="1511" max="1520" width="0" style="35" hidden="1" customWidth="1"/>
    <col min="1521" max="1521" width="12.5" style="35" customWidth="1"/>
    <col min="1522" max="1522" width="13.6640625" style="35" customWidth="1"/>
    <col min="1523" max="1526" width="0" style="35" hidden="1" customWidth="1"/>
    <col min="1527" max="1527" width="13.6640625" style="35" customWidth="1"/>
    <col min="1528" max="1528" width="12.5" style="35" customWidth="1"/>
    <col min="1529" max="1529" width="15.5" style="35" customWidth="1"/>
    <col min="1530" max="1530" width="13.6640625" style="35" customWidth="1"/>
    <col min="1531" max="1531" width="10.83203125" style="35" customWidth="1"/>
    <col min="1532" max="1532" width="10.33203125" style="35" customWidth="1"/>
    <col min="1533" max="1534" width="9.83203125" style="35" customWidth="1"/>
    <col min="1535" max="1535" width="10.83203125" style="35" customWidth="1"/>
    <col min="1536" max="1536" width="9.33203125" style="35" customWidth="1"/>
    <col min="1537" max="1539" width="9.83203125" style="35" customWidth="1"/>
    <col min="1540" max="1540" width="14.5" style="35" customWidth="1"/>
    <col min="1541" max="1541" width="18.1640625" style="35" customWidth="1"/>
    <col min="1542" max="1542" width="13.1640625" style="35" customWidth="1"/>
    <col min="1543" max="1543" width="13" style="35" customWidth="1"/>
    <col min="1544" max="1544" width="11" style="35" customWidth="1"/>
    <col min="1545" max="1549" width="0" style="35" hidden="1" customWidth="1"/>
    <col min="1550" max="1550" width="14.33203125" style="35" customWidth="1"/>
    <col min="1551" max="1553" width="0" style="35" hidden="1" customWidth="1"/>
    <col min="1554" max="1554" width="14.33203125" style="35" customWidth="1"/>
    <col min="1555" max="1557" width="0" style="35" hidden="1" customWidth="1"/>
    <col min="1558" max="1558" width="14.33203125" style="35" customWidth="1"/>
    <col min="1559" max="1561" width="0" style="35" hidden="1" customWidth="1"/>
    <col min="1562" max="1563" width="14.33203125" style="35" customWidth="1"/>
    <col min="1564" max="1564" width="14.1640625" style="35" customWidth="1"/>
    <col min="1565" max="1565" width="10.5" style="35" customWidth="1"/>
    <col min="1566" max="1566" width="10.1640625" style="35" customWidth="1"/>
    <col min="1567" max="1567" width="11.6640625" style="35" customWidth="1"/>
    <col min="1568" max="1568" width="9.83203125" style="35" customWidth="1"/>
    <col min="1569" max="1569" width="10.1640625" style="35" customWidth="1"/>
    <col min="1570" max="1570" width="9" style="35" customWidth="1"/>
    <col min="1571" max="1571" width="9.83203125" style="35" customWidth="1"/>
    <col min="1572" max="1572" width="9" style="35" customWidth="1"/>
    <col min="1573" max="1761" width="9.33203125" style="35"/>
    <col min="1762" max="1762" width="13.5" style="35" customWidth="1"/>
    <col min="1763" max="1763" width="12.83203125" style="35" customWidth="1"/>
    <col min="1764" max="1764" width="11.1640625" style="35" customWidth="1"/>
    <col min="1765" max="1765" width="10.6640625" style="35" customWidth="1"/>
    <col min="1766" max="1766" width="8.5" style="35" customWidth="1"/>
    <col min="1767" max="1776" width="0" style="35" hidden="1" customWidth="1"/>
    <col min="1777" max="1777" width="12.5" style="35" customWidth="1"/>
    <col min="1778" max="1778" width="13.6640625" style="35" customWidth="1"/>
    <col min="1779" max="1782" width="0" style="35" hidden="1" customWidth="1"/>
    <col min="1783" max="1783" width="13.6640625" style="35" customWidth="1"/>
    <col min="1784" max="1784" width="12.5" style="35" customWidth="1"/>
    <col min="1785" max="1785" width="15.5" style="35" customWidth="1"/>
    <col min="1786" max="1786" width="13.6640625" style="35" customWidth="1"/>
    <col min="1787" max="1787" width="10.83203125" style="35" customWidth="1"/>
    <col min="1788" max="1788" width="10.33203125" style="35" customWidth="1"/>
    <col min="1789" max="1790" width="9.83203125" style="35" customWidth="1"/>
    <col min="1791" max="1791" width="10.83203125" style="35" customWidth="1"/>
    <col min="1792" max="1792" width="9.33203125" style="35" customWidth="1"/>
    <col min="1793" max="1795" width="9.83203125" style="35" customWidth="1"/>
    <col min="1796" max="1796" width="14.5" style="35" customWidth="1"/>
    <col min="1797" max="1797" width="18.1640625" style="35" customWidth="1"/>
    <col min="1798" max="1798" width="13.1640625" style="35" customWidth="1"/>
    <col min="1799" max="1799" width="13" style="35" customWidth="1"/>
    <col min="1800" max="1800" width="11" style="35" customWidth="1"/>
    <col min="1801" max="1805" width="0" style="35" hidden="1" customWidth="1"/>
    <col min="1806" max="1806" width="14.33203125" style="35" customWidth="1"/>
    <col min="1807" max="1809" width="0" style="35" hidden="1" customWidth="1"/>
    <col min="1810" max="1810" width="14.33203125" style="35" customWidth="1"/>
    <col min="1811" max="1813" width="0" style="35" hidden="1" customWidth="1"/>
    <col min="1814" max="1814" width="14.33203125" style="35" customWidth="1"/>
    <col min="1815" max="1817" width="0" style="35" hidden="1" customWidth="1"/>
    <col min="1818" max="1819" width="14.33203125" style="35" customWidth="1"/>
    <col min="1820" max="1820" width="14.1640625" style="35" customWidth="1"/>
    <col min="1821" max="1821" width="10.5" style="35" customWidth="1"/>
    <col min="1822" max="1822" width="10.1640625" style="35" customWidth="1"/>
    <col min="1823" max="1823" width="11.6640625" style="35" customWidth="1"/>
    <col min="1824" max="1824" width="9.83203125" style="35" customWidth="1"/>
    <col min="1825" max="1825" width="10.1640625" style="35" customWidth="1"/>
    <col min="1826" max="1826" width="9" style="35" customWidth="1"/>
    <col min="1827" max="1827" width="9.83203125" style="35" customWidth="1"/>
    <col min="1828" max="1828" width="9" style="35" customWidth="1"/>
    <col min="1829" max="2017" width="9.33203125" style="35"/>
    <col min="2018" max="2018" width="13.5" style="35" customWidth="1"/>
    <col min="2019" max="2019" width="12.83203125" style="35" customWidth="1"/>
    <col min="2020" max="2020" width="11.1640625" style="35" customWidth="1"/>
    <col min="2021" max="2021" width="10.6640625" style="35" customWidth="1"/>
    <col min="2022" max="2022" width="8.5" style="35" customWidth="1"/>
    <col min="2023" max="2032" width="0" style="35" hidden="1" customWidth="1"/>
    <col min="2033" max="2033" width="12.5" style="35" customWidth="1"/>
    <col min="2034" max="2034" width="13.6640625" style="35" customWidth="1"/>
    <col min="2035" max="2038" width="0" style="35" hidden="1" customWidth="1"/>
    <col min="2039" max="2039" width="13.6640625" style="35" customWidth="1"/>
    <col min="2040" max="2040" width="12.5" style="35" customWidth="1"/>
    <col min="2041" max="2041" width="15.5" style="35" customWidth="1"/>
    <col min="2042" max="2042" width="13.6640625" style="35" customWidth="1"/>
    <col min="2043" max="2043" width="10.83203125" style="35" customWidth="1"/>
    <col min="2044" max="2044" width="10.33203125" style="35" customWidth="1"/>
    <col min="2045" max="2046" width="9.83203125" style="35" customWidth="1"/>
    <col min="2047" max="2047" width="10.83203125" style="35" customWidth="1"/>
    <col min="2048" max="2048" width="9.33203125" style="35" customWidth="1"/>
    <col min="2049" max="2051" width="9.83203125" style="35" customWidth="1"/>
    <col min="2052" max="2052" width="14.5" style="35" customWidth="1"/>
    <col min="2053" max="2053" width="18.1640625" style="35" customWidth="1"/>
    <col min="2054" max="2054" width="13.1640625" style="35" customWidth="1"/>
    <col min="2055" max="2055" width="13" style="35" customWidth="1"/>
    <col min="2056" max="2056" width="11" style="35" customWidth="1"/>
    <col min="2057" max="2061" width="0" style="35" hidden="1" customWidth="1"/>
    <col min="2062" max="2062" width="14.33203125" style="35" customWidth="1"/>
    <col min="2063" max="2065" width="0" style="35" hidden="1" customWidth="1"/>
    <col min="2066" max="2066" width="14.33203125" style="35" customWidth="1"/>
    <col min="2067" max="2069" width="0" style="35" hidden="1" customWidth="1"/>
    <col min="2070" max="2070" width="14.33203125" style="35" customWidth="1"/>
    <col min="2071" max="2073" width="0" style="35" hidden="1" customWidth="1"/>
    <col min="2074" max="2075" width="14.33203125" style="35" customWidth="1"/>
    <col min="2076" max="2076" width="14.1640625" style="35" customWidth="1"/>
    <col min="2077" max="2077" width="10.5" style="35" customWidth="1"/>
    <col min="2078" max="2078" width="10.1640625" style="35" customWidth="1"/>
    <col min="2079" max="2079" width="11.6640625" style="35" customWidth="1"/>
    <col min="2080" max="2080" width="9.83203125" style="35" customWidth="1"/>
    <col min="2081" max="2081" width="10.1640625" style="35" customWidth="1"/>
    <col min="2082" max="2082" width="9" style="35" customWidth="1"/>
    <col min="2083" max="2083" width="9.83203125" style="35" customWidth="1"/>
    <col min="2084" max="2084" width="9" style="35" customWidth="1"/>
    <col min="2085" max="2273" width="9.33203125" style="35"/>
    <col min="2274" max="2274" width="13.5" style="35" customWidth="1"/>
    <col min="2275" max="2275" width="12.83203125" style="35" customWidth="1"/>
    <col min="2276" max="2276" width="11.1640625" style="35" customWidth="1"/>
    <col min="2277" max="2277" width="10.6640625" style="35" customWidth="1"/>
    <col min="2278" max="2278" width="8.5" style="35" customWidth="1"/>
    <col min="2279" max="2288" width="0" style="35" hidden="1" customWidth="1"/>
    <col min="2289" max="2289" width="12.5" style="35" customWidth="1"/>
    <col min="2290" max="2290" width="13.6640625" style="35" customWidth="1"/>
    <col min="2291" max="2294" width="0" style="35" hidden="1" customWidth="1"/>
    <col min="2295" max="2295" width="13.6640625" style="35" customWidth="1"/>
    <col min="2296" max="2296" width="12.5" style="35" customWidth="1"/>
    <col min="2297" max="2297" width="15.5" style="35" customWidth="1"/>
    <col min="2298" max="2298" width="13.6640625" style="35" customWidth="1"/>
    <col min="2299" max="2299" width="10.83203125" style="35" customWidth="1"/>
    <col min="2300" max="2300" width="10.33203125" style="35" customWidth="1"/>
    <col min="2301" max="2302" width="9.83203125" style="35" customWidth="1"/>
    <col min="2303" max="2303" width="10.83203125" style="35" customWidth="1"/>
    <col min="2304" max="2304" width="9.33203125" style="35" customWidth="1"/>
    <col min="2305" max="2307" width="9.83203125" style="35" customWidth="1"/>
    <col min="2308" max="2308" width="14.5" style="35" customWidth="1"/>
    <col min="2309" max="2309" width="18.1640625" style="35" customWidth="1"/>
    <col min="2310" max="2310" width="13.1640625" style="35" customWidth="1"/>
    <col min="2311" max="2311" width="13" style="35" customWidth="1"/>
    <col min="2312" max="2312" width="11" style="35" customWidth="1"/>
    <col min="2313" max="2317" width="0" style="35" hidden="1" customWidth="1"/>
    <col min="2318" max="2318" width="14.33203125" style="35" customWidth="1"/>
    <col min="2319" max="2321" width="0" style="35" hidden="1" customWidth="1"/>
    <col min="2322" max="2322" width="14.33203125" style="35" customWidth="1"/>
    <col min="2323" max="2325" width="0" style="35" hidden="1" customWidth="1"/>
    <col min="2326" max="2326" width="14.33203125" style="35" customWidth="1"/>
    <col min="2327" max="2329" width="0" style="35" hidden="1" customWidth="1"/>
    <col min="2330" max="2331" width="14.33203125" style="35" customWidth="1"/>
    <col min="2332" max="2332" width="14.1640625" style="35" customWidth="1"/>
    <col min="2333" max="2333" width="10.5" style="35" customWidth="1"/>
    <col min="2334" max="2334" width="10.1640625" style="35" customWidth="1"/>
    <col min="2335" max="2335" width="11.6640625" style="35" customWidth="1"/>
    <col min="2336" max="2336" width="9.83203125" style="35" customWidth="1"/>
    <col min="2337" max="2337" width="10.1640625" style="35" customWidth="1"/>
    <col min="2338" max="2338" width="9" style="35" customWidth="1"/>
    <col min="2339" max="2339" width="9.83203125" style="35" customWidth="1"/>
    <col min="2340" max="2340" width="9" style="35" customWidth="1"/>
    <col min="2341" max="2529" width="9.33203125" style="35"/>
    <col min="2530" max="2530" width="13.5" style="35" customWidth="1"/>
    <col min="2531" max="2531" width="12.83203125" style="35" customWidth="1"/>
    <col min="2532" max="2532" width="11.1640625" style="35" customWidth="1"/>
    <col min="2533" max="2533" width="10.6640625" style="35" customWidth="1"/>
    <col min="2534" max="2534" width="8.5" style="35" customWidth="1"/>
    <col min="2535" max="2544" width="0" style="35" hidden="1" customWidth="1"/>
    <col min="2545" max="2545" width="12.5" style="35" customWidth="1"/>
    <col min="2546" max="2546" width="13.6640625" style="35" customWidth="1"/>
    <col min="2547" max="2550" width="0" style="35" hidden="1" customWidth="1"/>
    <col min="2551" max="2551" width="13.6640625" style="35" customWidth="1"/>
    <col min="2552" max="2552" width="12.5" style="35" customWidth="1"/>
    <col min="2553" max="2553" width="15.5" style="35" customWidth="1"/>
    <col min="2554" max="2554" width="13.6640625" style="35" customWidth="1"/>
    <col min="2555" max="2555" width="10.83203125" style="35" customWidth="1"/>
    <col min="2556" max="2556" width="10.33203125" style="35" customWidth="1"/>
    <col min="2557" max="2558" width="9.83203125" style="35" customWidth="1"/>
    <col min="2559" max="2559" width="10.83203125" style="35" customWidth="1"/>
    <col min="2560" max="2560" width="9.33203125" style="35" customWidth="1"/>
    <col min="2561" max="2563" width="9.83203125" style="35" customWidth="1"/>
    <col min="2564" max="2564" width="14.5" style="35" customWidth="1"/>
    <col min="2565" max="2565" width="18.1640625" style="35" customWidth="1"/>
    <col min="2566" max="2566" width="13.1640625" style="35" customWidth="1"/>
    <col min="2567" max="2567" width="13" style="35" customWidth="1"/>
    <col min="2568" max="2568" width="11" style="35" customWidth="1"/>
    <col min="2569" max="2573" width="0" style="35" hidden="1" customWidth="1"/>
    <col min="2574" max="2574" width="14.33203125" style="35" customWidth="1"/>
    <col min="2575" max="2577" width="0" style="35" hidden="1" customWidth="1"/>
    <col min="2578" max="2578" width="14.33203125" style="35" customWidth="1"/>
    <col min="2579" max="2581" width="0" style="35" hidden="1" customWidth="1"/>
    <col min="2582" max="2582" width="14.33203125" style="35" customWidth="1"/>
    <col min="2583" max="2585" width="0" style="35" hidden="1" customWidth="1"/>
    <col min="2586" max="2587" width="14.33203125" style="35" customWidth="1"/>
    <col min="2588" max="2588" width="14.1640625" style="35" customWidth="1"/>
    <col min="2589" max="2589" width="10.5" style="35" customWidth="1"/>
    <col min="2590" max="2590" width="10.1640625" style="35" customWidth="1"/>
    <col min="2591" max="2591" width="11.6640625" style="35" customWidth="1"/>
    <col min="2592" max="2592" width="9.83203125" style="35" customWidth="1"/>
    <col min="2593" max="2593" width="10.1640625" style="35" customWidth="1"/>
    <col min="2594" max="2594" width="9" style="35" customWidth="1"/>
    <col min="2595" max="2595" width="9.83203125" style="35" customWidth="1"/>
    <col min="2596" max="2596" width="9" style="35" customWidth="1"/>
    <col min="2597" max="2785" width="9.33203125" style="35"/>
    <col min="2786" max="2786" width="13.5" style="35" customWidth="1"/>
    <col min="2787" max="2787" width="12.83203125" style="35" customWidth="1"/>
    <col min="2788" max="2788" width="11.1640625" style="35" customWidth="1"/>
    <col min="2789" max="2789" width="10.6640625" style="35" customWidth="1"/>
    <col min="2790" max="2790" width="8.5" style="35" customWidth="1"/>
    <col min="2791" max="2800" width="0" style="35" hidden="1" customWidth="1"/>
    <col min="2801" max="2801" width="12.5" style="35" customWidth="1"/>
    <col min="2802" max="2802" width="13.6640625" style="35" customWidth="1"/>
    <col min="2803" max="2806" width="0" style="35" hidden="1" customWidth="1"/>
    <col min="2807" max="2807" width="13.6640625" style="35" customWidth="1"/>
    <col min="2808" max="2808" width="12.5" style="35" customWidth="1"/>
    <col min="2809" max="2809" width="15.5" style="35" customWidth="1"/>
    <col min="2810" max="2810" width="13.6640625" style="35" customWidth="1"/>
    <col min="2811" max="2811" width="10.83203125" style="35" customWidth="1"/>
    <col min="2812" max="2812" width="10.33203125" style="35" customWidth="1"/>
    <col min="2813" max="2814" width="9.83203125" style="35" customWidth="1"/>
    <col min="2815" max="2815" width="10.83203125" style="35" customWidth="1"/>
    <col min="2816" max="2816" width="9.33203125" style="35" customWidth="1"/>
    <col min="2817" max="2819" width="9.83203125" style="35" customWidth="1"/>
    <col min="2820" max="2820" width="14.5" style="35" customWidth="1"/>
    <col min="2821" max="2821" width="18.1640625" style="35" customWidth="1"/>
    <col min="2822" max="2822" width="13.1640625" style="35" customWidth="1"/>
    <col min="2823" max="2823" width="13" style="35" customWidth="1"/>
    <col min="2824" max="2824" width="11" style="35" customWidth="1"/>
    <col min="2825" max="2829" width="0" style="35" hidden="1" customWidth="1"/>
    <col min="2830" max="2830" width="14.33203125" style="35" customWidth="1"/>
    <col min="2831" max="2833" width="0" style="35" hidden="1" customWidth="1"/>
    <col min="2834" max="2834" width="14.33203125" style="35" customWidth="1"/>
    <col min="2835" max="2837" width="0" style="35" hidden="1" customWidth="1"/>
    <col min="2838" max="2838" width="14.33203125" style="35" customWidth="1"/>
    <col min="2839" max="2841" width="0" style="35" hidden="1" customWidth="1"/>
    <col min="2842" max="2843" width="14.33203125" style="35" customWidth="1"/>
    <col min="2844" max="2844" width="14.1640625" style="35" customWidth="1"/>
    <col min="2845" max="2845" width="10.5" style="35" customWidth="1"/>
    <col min="2846" max="2846" width="10.1640625" style="35" customWidth="1"/>
    <col min="2847" max="2847" width="11.6640625" style="35" customWidth="1"/>
    <col min="2848" max="2848" width="9.83203125" style="35" customWidth="1"/>
    <col min="2849" max="2849" width="10.1640625" style="35" customWidth="1"/>
    <col min="2850" max="2850" width="9" style="35" customWidth="1"/>
    <col min="2851" max="2851" width="9.83203125" style="35" customWidth="1"/>
    <col min="2852" max="2852" width="9" style="35" customWidth="1"/>
    <col min="2853" max="3041" width="9.33203125" style="35"/>
    <col min="3042" max="3042" width="13.5" style="35" customWidth="1"/>
    <col min="3043" max="3043" width="12.83203125" style="35" customWidth="1"/>
    <col min="3044" max="3044" width="11.1640625" style="35" customWidth="1"/>
    <col min="3045" max="3045" width="10.6640625" style="35" customWidth="1"/>
    <col min="3046" max="3046" width="8.5" style="35" customWidth="1"/>
    <col min="3047" max="3056" width="0" style="35" hidden="1" customWidth="1"/>
    <col min="3057" max="3057" width="12.5" style="35" customWidth="1"/>
    <col min="3058" max="3058" width="13.6640625" style="35" customWidth="1"/>
    <col min="3059" max="3062" width="0" style="35" hidden="1" customWidth="1"/>
    <col min="3063" max="3063" width="13.6640625" style="35" customWidth="1"/>
    <col min="3064" max="3064" width="12.5" style="35" customWidth="1"/>
    <col min="3065" max="3065" width="15.5" style="35" customWidth="1"/>
    <col min="3066" max="3066" width="13.6640625" style="35" customWidth="1"/>
    <col min="3067" max="3067" width="10.83203125" style="35" customWidth="1"/>
    <col min="3068" max="3068" width="10.33203125" style="35" customWidth="1"/>
    <col min="3069" max="3070" width="9.83203125" style="35" customWidth="1"/>
    <col min="3071" max="3071" width="10.83203125" style="35" customWidth="1"/>
    <col min="3072" max="3072" width="9.33203125" style="35" customWidth="1"/>
    <col min="3073" max="3075" width="9.83203125" style="35" customWidth="1"/>
    <col min="3076" max="3076" width="14.5" style="35" customWidth="1"/>
    <col min="3077" max="3077" width="18.1640625" style="35" customWidth="1"/>
    <col min="3078" max="3078" width="13.1640625" style="35" customWidth="1"/>
    <col min="3079" max="3079" width="13" style="35" customWidth="1"/>
    <col min="3080" max="3080" width="11" style="35" customWidth="1"/>
    <col min="3081" max="3085" width="0" style="35" hidden="1" customWidth="1"/>
    <col min="3086" max="3086" width="14.33203125" style="35" customWidth="1"/>
    <col min="3087" max="3089" width="0" style="35" hidden="1" customWidth="1"/>
    <col min="3090" max="3090" width="14.33203125" style="35" customWidth="1"/>
    <col min="3091" max="3093" width="0" style="35" hidden="1" customWidth="1"/>
    <col min="3094" max="3094" width="14.33203125" style="35" customWidth="1"/>
    <col min="3095" max="3097" width="0" style="35" hidden="1" customWidth="1"/>
    <col min="3098" max="3099" width="14.33203125" style="35" customWidth="1"/>
    <col min="3100" max="3100" width="14.1640625" style="35" customWidth="1"/>
    <col min="3101" max="3101" width="10.5" style="35" customWidth="1"/>
    <col min="3102" max="3102" width="10.1640625" style="35" customWidth="1"/>
    <col min="3103" max="3103" width="11.6640625" style="35" customWidth="1"/>
    <col min="3104" max="3104" width="9.83203125" style="35" customWidth="1"/>
    <col min="3105" max="3105" width="10.1640625" style="35" customWidth="1"/>
    <col min="3106" max="3106" width="9" style="35" customWidth="1"/>
    <col min="3107" max="3107" width="9.83203125" style="35" customWidth="1"/>
    <col min="3108" max="3108" width="9" style="35" customWidth="1"/>
    <col min="3109" max="3297" width="9.33203125" style="35"/>
    <col min="3298" max="3298" width="13.5" style="35" customWidth="1"/>
    <col min="3299" max="3299" width="12.83203125" style="35" customWidth="1"/>
    <col min="3300" max="3300" width="11.1640625" style="35" customWidth="1"/>
    <col min="3301" max="3301" width="10.6640625" style="35" customWidth="1"/>
    <col min="3302" max="3302" width="8.5" style="35" customWidth="1"/>
    <col min="3303" max="3312" width="0" style="35" hidden="1" customWidth="1"/>
    <col min="3313" max="3313" width="12.5" style="35" customWidth="1"/>
    <col min="3314" max="3314" width="13.6640625" style="35" customWidth="1"/>
    <col min="3315" max="3318" width="0" style="35" hidden="1" customWidth="1"/>
    <col min="3319" max="3319" width="13.6640625" style="35" customWidth="1"/>
    <col min="3320" max="3320" width="12.5" style="35" customWidth="1"/>
    <col min="3321" max="3321" width="15.5" style="35" customWidth="1"/>
    <col min="3322" max="3322" width="13.6640625" style="35" customWidth="1"/>
    <col min="3323" max="3323" width="10.83203125" style="35" customWidth="1"/>
    <col min="3324" max="3324" width="10.33203125" style="35" customWidth="1"/>
    <col min="3325" max="3326" width="9.83203125" style="35" customWidth="1"/>
    <col min="3327" max="3327" width="10.83203125" style="35" customWidth="1"/>
    <col min="3328" max="3328" width="9.33203125" style="35" customWidth="1"/>
    <col min="3329" max="3331" width="9.83203125" style="35" customWidth="1"/>
    <col min="3332" max="3332" width="14.5" style="35" customWidth="1"/>
    <col min="3333" max="3333" width="18.1640625" style="35" customWidth="1"/>
    <col min="3334" max="3334" width="13.1640625" style="35" customWidth="1"/>
    <col min="3335" max="3335" width="13" style="35" customWidth="1"/>
    <col min="3336" max="3336" width="11" style="35" customWidth="1"/>
    <col min="3337" max="3341" width="0" style="35" hidden="1" customWidth="1"/>
    <col min="3342" max="3342" width="14.33203125" style="35" customWidth="1"/>
    <col min="3343" max="3345" width="0" style="35" hidden="1" customWidth="1"/>
    <col min="3346" max="3346" width="14.33203125" style="35" customWidth="1"/>
    <col min="3347" max="3349" width="0" style="35" hidden="1" customWidth="1"/>
    <col min="3350" max="3350" width="14.33203125" style="35" customWidth="1"/>
    <col min="3351" max="3353" width="0" style="35" hidden="1" customWidth="1"/>
    <col min="3354" max="3355" width="14.33203125" style="35" customWidth="1"/>
    <col min="3356" max="3356" width="14.1640625" style="35" customWidth="1"/>
    <col min="3357" max="3357" width="10.5" style="35" customWidth="1"/>
    <col min="3358" max="3358" width="10.1640625" style="35" customWidth="1"/>
    <col min="3359" max="3359" width="11.6640625" style="35" customWidth="1"/>
    <col min="3360" max="3360" width="9.83203125" style="35" customWidth="1"/>
    <col min="3361" max="3361" width="10.1640625" style="35" customWidth="1"/>
    <col min="3362" max="3362" width="9" style="35" customWidth="1"/>
    <col min="3363" max="3363" width="9.83203125" style="35" customWidth="1"/>
    <col min="3364" max="3364" width="9" style="35" customWidth="1"/>
    <col min="3365" max="3553" width="9.33203125" style="35"/>
    <col min="3554" max="3554" width="13.5" style="35" customWidth="1"/>
    <col min="3555" max="3555" width="12.83203125" style="35" customWidth="1"/>
    <col min="3556" max="3556" width="11.1640625" style="35" customWidth="1"/>
    <col min="3557" max="3557" width="10.6640625" style="35" customWidth="1"/>
    <col min="3558" max="3558" width="8.5" style="35" customWidth="1"/>
    <col min="3559" max="3568" width="0" style="35" hidden="1" customWidth="1"/>
    <col min="3569" max="3569" width="12.5" style="35" customWidth="1"/>
    <col min="3570" max="3570" width="13.6640625" style="35" customWidth="1"/>
    <col min="3571" max="3574" width="0" style="35" hidden="1" customWidth="1"/>
    <col min="3575" max="3575" width="13.6640625" style="35" customWidth="1"/>
    <col min="3576" max="3576" width="12.5" style="35" customWidth="1"/>
    <col min="3577" max="3577" width="15.5" style="35" customWidth="1"/>
    <col min="3578" max="3578" width="13.6640625" style="35" customWidth="1"/>
    <col min="3579" max="3579" width="10.83203125" style="35" customWidth="1"/>
    <col min="3580" max="3580" width="10.33203125" style="35" customWidth="1"/>
    <col min="3581" max="3582" width="9.83203125" style="35" customWidth="1"/>
    <col min="3583" max="3583" width="10.83203125" style="35" customWidth="1"/>
    <col min="3584" max="3584" width="9.33203125" style="35" customWidth="1"/>
    <col min="3585" max="3587" width="9.83203125" style="35" customWidth="1"/>
    <col min="3588" max="3588" width="14.5" style="35" customWidth="1"/>
    <col min="3589" max="3589" width="18.1640625" style="35" customWidth="1"/>
    <col min="3590" max="3590" width="13.1640625" style="35" customWidth="1"/>
    <col min="3591" max="3591" width="13" style="35" customWidth="1"/>
    <col min="3592" max="3592" width="11" style="35" customWidth="1"/>
    <col min="3593" max="3597" width="0" style="35" hidden="1" customWidth="1"/>
    <col min="3598" max="3598" width="14.33203125" style="35" customWidth="1"/>
    <col min="3599" max="3601" width="0" style="35" hidden="1" customWidth="1"/>
    <col min="3602" max="3602" width="14.33203125" style="35" customWidth="1"/>
    <col min="3603" max="3605" width="0" style="35" hidden="1" customWidth="1"/>
    <col min="3606" max="3606" width="14.33203125" style="35" customWidth="1"/>
    <col min="3607" max="3609" width="0" style="35" hidden="1" customWidth="1"/>
    <col min="3610" max="3611" width="14.33203125" style="35" customWidth="1"/>
    <col min="3612" max="3612" width="14.1640625" style="35" customWidth="1"/>
    <col min="3613" max="3613" width="10.5" style="35" customWidth="1"/>
    <col min="3614" max="3614" width="10.1640625" style="35" customWidth="1"/>
    <col min="3615" max="3615" width="11.6640625" style="35" customWidth="1"/>
    <col min="3616" max="3616" width="9.83203125" style="35" customWidth="1"/>
    <col min="3617" max="3617" width="10.1640625" style="35" customWidth="1"/>
    <col min="3618" max="3618" width="9" style="35" customWidth="1"/>
    <col min="3619" max="3619" width="9.83203125" style="35" customWidth="1"/>
    <col min="3620" max="3620" width="9" style="35" customWidth="1"/>
    <col min="3621" max="3809" width="9.33203125" style="35"/>
    <col min="3810" max="3810" width="13.5" style="35" customWidth="1"/>
    <col min="3811" max="3811" width="12.83203125" style="35" customWidth="1"/>
    <col min="3812" max="3812" width="11.1640625" style="35" customWidth="1"/>
    <col min="3813" max="3813" width="10.6640625" style="35" customWidth="1"/>
    <col min="3814" max="3814" width="8.5" style="35" customWidth="1"/>
    <col min="3815" max="3824" width="0" style="35" hidden="1" customWidth="1"/>
    <col min="3825" max="3825" width="12.5" style="35" customWidth="1"/>
    <col min="3826" max="3826" width="13.6640625" style="35" customWidth="1"/>
    <col min="3827" max="3830" width="0" style="35" hidden="1" customWidth="1"/>
    <col min="3831" max="3831" width="13.6640625" style="35" customWidth="1"/>
    <col min="3832" max="3832" width="12.5" style="35" customWidth="1"/>
    <col min="3833" max="3833" width="15.5" style="35" customWidth="1"/>
    <col min="3834" max="3834" width="13.6640625" style="35" customWidth="1"/>
    <col min="3835" max="3835" width="10.83203125" style="35" customWidth="1"/>
    <col min="3836" max="3836" width="10.33203125" style="35" customWidth="1"/>
    <col min="3837" max="3838" width="9.83203125" style="35" customWidth="1"/>
    <col min="3839" max="3839" width="10.83203125" style="35" customWidth="1"/>
    <col min="3840" max="3840" width="9.33203125" style="35" customWidth="1"/>
    <col min="3841" max="3843" width="9.83203125" style="35" customWidth="1"/>
    <col min="3844" max="3844" width="14.5" style="35" customWidth="1"/>
    <col min="3845" max="3845" width="18.1640625" style="35" customWidth="1"/>
    <col min="3846" max="3846" width="13.1640625" style="35" customWidth="1"/>
    <col min="3847" max="3847" width="13" style="35" customWidth="1"/>
    <col min="3848" max="3848" width="11" style="35" customWidth="1"/>
    <col min="3849" max="3853" width="0" style="35" hidden="1" customWidth="1"/>
    <col min="3854" max="3854" width="14.33203125" style="35" customWidth="1"/>
    <col min="3855" max="3857" width="0" style="35" hidden="1" customWidth="1"/>
    <col min="3858" max="3858" width="14.33203125" style="35" customWidth="1"/>
    <col min="3859" max="3861" width="0" style="35" hidden="1" customWidth="1"/>
    <col min="3862" max="3862" width="14.33203125" style="35" customWidth="1"/>
    <col min="3863" max="3865" width="0" style="35" hidden="1" customWidth="1"/>
    <col min="3866" max="3867" width="14.33203125" style="35" customWidth="1"/>
    <col min="3868" max="3868" width="14.1640625" style="35" customWidth="1"/>
    <col min="3869" max="3869" width="10.5" style="35" customWidth="1"/>
    <col min="3870" max="3870" width="10.1640625" style="35" customWidth="1"/>
    <col min="3871" max="3871" width="11.6640625" style="35" customWidth="1"/>
    <col min="3872" max="3872" width="9.83203125" style="35" customWidth="1"/>
    <col min="3873" max="3873" width="10.1640625" style="35" customWidth="1"/>
    <col min="3874" max="3874" width="9" style="35" customWidth="1"/>
    <col min="3875" max="3875" width="9.83203125" style="35" customWidth="1"/>
    <col min="3876" max="3876" width="9" style="35" customWidth="1"/>
    <col min="3877" max="4065" width="9.33203125" style="35"/>
    <col min="4066" max="4066" width="13.5" style="35" customWidth="1"/>
    <col min="4067" max="4067" width="12.83203125" style="35" customWidth="1"/>
    <col min="4068" max="4068" width="11.1640625" style="35" customWidth="1"/>
    <col min="4069" max="4069" width="10.6640625" style="35" customWidth="1"/>
    <col min="4070" max="4070" width="8.5" style="35" customWidth="1"/>
    <col min="4071" max="4080" width="0" style="35" hidden="1" customWidth="1"/>
    <col min="4081" max="4081" width="12.5" style="35" customWidth="1"/>
    <col min="4082" max="4082" width="13.6640625" style="35" customWidth="1"/>
    <col min="4083" max="4086" width="0" style="35" hidden="1" customWidth="1"/>
    <col min="4087" max="4087" width="13.6640625" style="35" customWidth="1"/>
    <col min="4088" max="4088" width="12.5" style="35" customWidth="1"/>
    <col min="4089" max="4089" width="15.5" style="35" customWidth="1"/>
    <col min="4090" max="4090" width="13.6640625" style="35" customWidth="1"/>
    <col min="4091" max="4091" width="10.83203125" style="35" customWidth="1"/>
    <col min="4092" max="4092" width="10.33203125" style="35" customWidth="1"/>
    <col min="4093" max="4094" width="9.83203125" style="35" customWidth="1"/>
    <col min="4095" max="4095" width="10.83203125" style="35" customWidth="1"/>
    <col min="4096" max="4096" width="9.33203125" style="35" customWidth="1"/>
    <col min="4097" max="4099" width="9.83203125" style="35" customWidth="1"/>
    <col min="4100" max="4100" width="14.5" style="35" customWidth="1"/>
    <col min="4101" max="4101" width="18.1640625" style="35" customWidth="1"/>
    <col min="4102" max="4102" width="13.1640625" style="35" customWidth="1"/>
    <col min="4103" max="4103" width="13" style="35" customWidth="1"/>
    <col min="4104" max="4104" width="11" style="35" customWidth="1"/>
    <col min="4105" max="4109" width="0" style="35" hidden="1" customWidth="1"/>
    <col min="4110" max="4110" width="14.33203125" style="35" customWidth="1"/>
    <col min="4111" max="4113" width="0" style="35" hidden="1" customWidth="1"/>
    <col min="4114" max="4114" width="14.33203125" style="35" customWidth="1"/>
    <col min="4115" max="4117" width="0" style="35" hidden="1" customWidth="1"/>
    <col min="4118" max="4118" width="14.33203125" style="35" customWidth="1"/>
    <col min="4119" max="4121" width="0" style="35" hidden="1" customWidth="1"/>
    <col min="4122" max="4123" width="14.33203125" style="35" customWidth="1"/>
    <col min="4124" max="4124" width="14.1640625" style="35" customWidth="1"/>
    <col min="4125" max="4125" width="10.5" style="35" customWidth="1"/>
    <col min="4126" max="4126" width="10.1640625" style="35" customWidth="1"/>
    <col min="4127" max="4127" width="11.6640625" style="35" customWidth="1"/>
    <col min="4128" max="4128" width="9.83203125" style="35" customWidth="1"/>
    <col min="4129" max="4129" width="10.1640625" style="35" customWidth="1"/>
    <col min="4130" max="4130" width="9" style="35" customWidth="1"/>
    <col min="4131" max="4131" width="9.83203125" style="35" customWidth="1"/>
    <col min="4132" max="4132" width="9" style="35" customWidth="1"/>
    <col min="4133" max="4321" width="9.33203125" style="35"/>
    <col min="4322" max="4322" width="13.5" style="35" customWidth="1"/>
    <col min="4323" max="4323" width="12.83203125" style="35" customWidth="1"/>
    <col min="4324" max="4324" width="11.1640625" style="35" customWidth="1"/>
    <col min="4325" max="4325" width="10.6640625" style="35" customWidth="1"/>
    <col min="4326" max="4326" width="8.5" style="35" customWidth="1"/>
    <col min="4327" max="4336" width="0" style="35" hidden="1" customWidth="1"/>
    <col min="4337" max="4337" width="12.5" style="35" customWidth="1"/>
    <col min="4338" max="4338" width="13.6640625" style="35" customWidth="1"/>
    <col min="4339" max="4342" width="0" style="35" hidden="1" customWidth="1"/>
    <col min="4343" max="4343" width="13.6640625" style="35" customWidth="1"/>
    <col min="4344" max="4344" width="12.5" style="35" customWidth="1"/>
    <col min="4345" max="4345" width="15.5" style="35" customWidth="1"/>
    <col min="4346" max="4346" width="13.6640625" style="35" customWidth="1"/>
    <col min="4347" max="4347" width="10.83203125" style="35" customWidth="1"/>
    <col min="4348" max="4348" width="10.33203125" style="35" customWidth="1"/>
    <col min="4349" max="4350" width="9.83203125" style="35" customWidth="1"/>
    <col min="4351" max="4351" width="10.83203125" style="35" customWidth="1"/>
    <col min="4352" max="4352" width="9.33203125" style="35" customWidth="1"/>
    <col min="4353" max="4355" width="9.83203125" style="35" customWidth="1"/>
    <col min="4356" max="4356" width="14.5" style="35" customWidth="1"/>
    <col min="4357" max="4357" width="18.1640625" style="35" customWidth="1"/>
    <col min="4358" max="4358" width="13.1640625" style="35" customWidth="1"/>
    <col min="4359" max="4359" width="13" style="35" customWidth="1"/>
    <col min="4360" max="4360" width="11" style="35" customWidth="1"/>
    <col min="4361" max="4365" width="0" style="35" hidden="1" customWidth="1"/>
    <col min="4366" max="4366" width="14.33203125" style="35" customWidth="1"/>
    <col min="4367" max="4369" width="0" style="35" hidden="1" customWidth="1"/>
    <col min="4370" max="4370" width="14.33203125" style="35" customWidth="1"/>
    <col min="4371" max="4373" width="0" style="35" hidden="1" customWidth="1"/>
    <col min="4374" max="4374" width="14.33203125" style="35" customWidth="1"/>
    <col min="4375" max="4377" width="0" style="35" hidden="1" customWidth="1"/>
    <col min="4378" max="4379" width="14.33203125" style="35" customWidth="1"/>
    <col min="4380" max="4380" width="14.1640625" style="35" customWidth="1"/>
    <col min="4381" max="4381" width="10.5" style="35" customWidth="1"/>
    <col min="4382" max="4382" width="10.1640625" style="35" customWidth="1"/>
    <col min="4383" max="4383" width="11.6640625" style="35" customWidth="1"/>
    <col min="4384" max="4384" width="9.83203125" style="35" customWidth="1"/>
    <col min="4385" max="4385" width="10.1640625" style="35" customWidth="1"/>
    <col min="4386" max="4386" width="9" style="35" customWidth="1"/>
    <col min="4387" max="4387" width="9.83203125" style="35" customWidth="1"/>
    <col min="4388" max="4388" width="9" style="35" customWidth="1"/>
    <col min="4389" max="4577" width="9.33203125" style="35"/>
    <col min="4578" max="4578" width="13.5" style="35" customWidth="1"/>
    <col min="4579" max="4579" width="12.83203125" style="35" customWidth="1"/>
    <col min="4580" max="4580" width="11.1640625" style="35" customWidth="1"/>
    <col min="4581" max="4581" width="10.6640625" style="35" customWidth="1"/>
    <col min="4582" max="4582" width="8.5" style="35" customWidth="1"/>
    <col min="4583" max="4592" width="0" style="35" hidden="1" customWidth="1"/>
    <col min="4593" max="4593" width="12.5" style="35" customWidth="1"/>
    <col min="4594" max="4594" width="13.6640625" style="35" customWidth="1"/>
    <col min="4595" max="4598" width="0" style="35" hidden="1" customWidth="1"/>
    <col min="4599" max="4599" width="13.6640625" style="35" customWidth="1"/>
    <col min="4600" max="4600" width="12.5" style="35" customWidth="1"/>
    <col min="4601" max="4601" width="15.5" style="35" customWidth="1"/>
    <col min="4602" max="4602" width="13.6640625" style="35" customWidth="1"/>
    <col min="4603" max="4603" width="10.83203125" style="35" customWidth="1"/>
    <col min="4604" max="4604" width="10.33203125" style="35" customWidth="1"/>
    <col min="4605" max="4606" width="9.83203125" style="35" customWidth="1"/>
    <col min="4607" max="4607" width="10.83203125" style="35" customWidth="1"/>
    <col min="4608" max="4608" width="9.33203125" style="35" customWidth="1"/>
    <col min="4609" max="4611" width="9.83203125" style="35" customWidth="1"/>
    <col min="4612" max="4612" width="14.5" style="35" customWidth="1"/>
    <col min="4613" max="4613" width="18.1640625" style="35" customWidth="1"/>
    <col min="4614" max="4614" width="13.1640625" style="35" customWidth="1"/>
    <col min="4615" max="4615" width="13" style="35" customWidth="1"/>
    <col min="4616" max="4616" width="11" style="35" customWidth="1"/>
    <col min="4617" max="4621" width="0" style="35" hidden="1" customWidth="1"/>
    <col min="4622" max="4622" width="14.33203125" style="35" customWidth="1"/>
    <col min="4623" max="4625" width="0" style="35" hidden="1" customWidth="1"/>
    <col min="4626" max="4626" width="14.33203125" style="35" customWidth="1"/>
    <col min="4627" max="4629" width="0" style="35" hidden="1" customWidth="1"/>
    <col min="4630" max="4630" width="14.33203125" style="35" customWidth="1"/>
    <col min="4631" max="4633" width="0" style="35" hidden="1" customWidth="1"/>
    <col min="4634" max="4635" width="14.33203125" style="35" customWidth="1"/>
    <col min="4636" max="4636" width="14.1640625" style="35" customWidth="1"/>
    <col min="4637" max="4637" width="10.5" style="35" customWidth="1"/>
    <col min="4638" max="4638" width="10.1640625" style="35" customWidth="1"/>
    <col min="4639" max="4639" width="11.6640625" style="35" customWidth="1"/>
    <col min="4640" max="4640" width="9.83203125" style="35" customWidth="1"/>
    <col min="4641" max="4641" width="10.1640625" style="35" customWidth="1"/>
    <col min="4642" max="4642" width="9" style="35" customWidth="1"/>
    <col min="4643" max="4643" width="9.83203125" style="35" customWidth="1"/>
    <col min="4644" max="4644" width="9" style="35" customWidth="1"/>
    <col min="4645" max="4833" width="9.33203125" style="35"/>
    <col min="4834" max="4834" width="13.5" style="35" customWidth="1"/>
    <col min="4835" max="4835" width="12.83203125" style="35" customWidth="1"/>
    <col min="4836" max="4836" width="11.1640625" style="35" customWidth="1"/>
    <col min="4837" max="4837" width="10.6640625" style="35" customWidth="1"/>
    <col min="4838" max="4838" width="8.5" style="35" customWidth="1"/>
    <col min="4839" max="4848" width="0" style="35" hidden="1" customWidth="1"/>
    <col min="4849" max="4849" width="12.5" style="35" customWidth="1"/>
    <col min="4850" max="4850" width="13.6640625" style="35" customWidth="1"/>
    <col min="4851" max="4854" width="0" style="35" hidden="1" customWidth="1"/>
    <col min="4855" max="4855" width="13.6640625" style="35" customWidth="1"/>
    <col min="4856" max="4856" width="12.5" style="35" customWidth="1"/>
    <col min="4857" max="4857" width="15.5" style="35" customWidth="1"/>
    <col min="4858" max="4858" width="13.6640625" style="35" customWidth="1"/>
    <col min="4859" max="4859" width="10.83203125" style="35" customWidth="1"/>
    <col min="4860" max="4860" width="10.33203125" style="35" customWidth="1"/>
    <col min="4861" max="4862" width="9.83203125" style="35" customWidth="1"/>
    <col min="4863" max="4863" width="10.83203125" style="35" customWidth="1"/>
    <col min="4864" max="4864" width="9.33203125" style="35" customWidth="1"/>
    <col min="4865" max="4867" width="9.83203125" style="35" customWidth="1"/>
    <col min="4868" max="4868" width="14.5" style="35" customWidth="1"/>
    <col min="4869" max="4869" width="18.1640625" style="35" customWidth="1"/>
    <col min="4870" max="4870" width="13.1640625" style="35" customWidth="1"/>
    <col min="4871" max="4871" width="13" style="35" customWidth="1"/>
    <col min="4872" max="4872" width="11" style="35" customWidth="1"/>
    <col min="4873" max="4877" width="0" style="35" hidden="1" customWidth="1"/>
    <col min="4878" max="4878" width="14.33203125" style="35" customWidth="1"/>
    <col min="4879" max="4881" width="0" style="35" hidden="1" customWidth="1"/>
    <col min="4882" max="4882" width="14.33203125" style="35" customWidth="1"/>
    <col min="4883" max="4885" width="0" style="35" hidden="1" customWidth="1"/>
    <col min="4886" max="4886" width="14.33203125" style="35" customWidth="1"/>
    <col min="4887" max="4889" width="0" style="35" hidden="1" customWidth="1"/>
    <col min="4890" max="4891" width="14.33203125" style="35" customWidth="1"/>
    <col min="4892" max="4892" width="14.1640625" style="35" customWidth="1"/>
    <col min="4893" max="4893" width="10.5" style="35" customWidth="1"/>
    <col min="4894" max="4894" width="10.1640625" style="35" customWidth="1"/>
    <col min="4895" max="4895" width="11.6640625" style="35" customWidth="1"/>
    <col min="4896" max="4896" width="9.83203125" style="35" customWidth="1"/>
    <col min="4897" max="4897" width="10.1640625" style="35" customWidth="1"/>
    <col min="4898" max="4898" width="9" style="35" customWidth="1"/>
    <col min="4899" max="4899" width="9.83203125" style="35" customWidth="1"/>
    <col min="4900" max="4900" width="9" style="35" customWidth="1"/>
    <col min="4901" max="5089" width="9.33203125" style="35"/>
    <col min="5090" max="5090" width="13.5" style="35" customWidth="1"/>
    <col min="5091" max="5091" width="12.83203125" style="35" customWidth="1"/>
    <col min="5092" max="5092" width="11.1640625" style="35" customWidth="1"/>
    <col min="5093" max="5093" width="10.6640625" style="35" customWidth="1"/>
    <col min="5094" max="5094" width="8.5" style="35" customWidth="1"/>
    <col min="5095" max="5104" width="0" style="35" hidden="1" customWidth="1"/>
    <col min="5105" max="5105" width="12.5" style="35" customWidth="1"/>
    <col min="5106" max="5106" width="13.6640625" style="35" customWidth="1"/>
    <col min="5107" max="5110" width="0" style="35" hidden="1" customWidth="1"/>
    <col min="5111" max="5111" width="13.6640625" style="35" customWidth="1"/>
    <col min="5112" max="5112" width="12.5" style="35" customWidth="1"/>
    <col min="5113" max="5113" width="15.5" style="35" customWidth="1"/>
    <col min="5114" max="5114" width="13.6640625" style="35" customWidth="1"/>
    <col min="5115" max="5115" width="10.83203125" style="35" customWidth="1"/>
    <col min="5116" max="5116" width="10.33203125" style="35" customWidth="1"/>
    <col min="5117" max="5118" width="9.83203125" style="35" customWidth="1"/>
    <col min="5119" max="5119" width="10.83203125" style="35" customWidth="1"/>
    <col min="5120" max="5120" width="9.33203125" style="35" customWidth="1"/>
    <col min="5121" max="5123" width="9.83203125" style="35" customWidth="1"/>
    <col min="5124" max="5124" width="14.5" style="35" customWidth="1"/>
    <col min="5125" max="5125" width="18.1640625" style="35" customWidth="1"/>
    <col min="5126" max="5126" width="13.1640625" style="35" customWidth="1"/>
    <col min="5127" max="5127" width="13" style="35" customWidth="1"/>
    <col min="5128" max="5128" width="11" style="35" customWidth="1"/>
    <col min="5129" max="5133" width="0" style="35" hidden="1" customWidth="1"/>
    <col min="5134" max="5134" width="14.33203125" style="35" customWidth="1"/>
    <col min="5135" max="5137" width="0" style="35" hidden="1" customWidth="1"/>
    <col min="5138" max="5138" width="14.33203125" style="35" customWidth="1"/>
    <col min="5139" max="5141" width="0" style="35" hidden="1" customWidth="1"/>
    <col min="5142" max="5142" width="14.33203125" style="35" customWidth="1"/>
    <col min="5143" max="5145" width="0" style="35" hidden="1" customWidth="1"/>
    <col min="5146" max="5147" width="14.33203125" style="35" customWidth="1"/>
    <col min="5148" max="5148" width="14.1640625" style="35" customWidth="1"/>
    <col min="5149" max="5149" width="10.5" style="35" customWidth="1"/>
    <col min="5150" max="5150" width="10.1640625" style="35" customWidth="1"/>
    <col min="5151" max="5151" width="11.6640625" style="35" customWidth="1"/>
    <col min="5152" max="5152" width="9.83203125" style="35" customWidth="1"/>
    <col min="5153" max="5153" width="10.1640625" style="35" customWidth="1"/>
    <col min="5154" max="5154" width="9" style="35" customWidth="1"/>
    <col min="5155" max="5155" width="9.83203125" style="35" customWidth="1"/>
    <col min="5156" max="5156" width="9" style="35" customWidth="1"/>
    <col min="5157" max="5345" width="9.33203125" style="35"/>
    <col min="5346" max="5346" width="13.5" style="35" customWidth="1"/>
    <col min="5347" max="5347" width="12.83203125" style="35" customWidth="1"/>
    <col min="5348" max="5348" width="11.1640625" style="35" customWidth="1"/>
    <col min="5349" max="5349" width="10.6640625" style="35" customWidth="1"/>
    <col min="5350" max="5350" width="8.5" style="35" customWidth="1"/>
    <col min="5351" max="5360" width="0" style="35" hidden="1" customWidth="1"/>
    <col min="5361" max="5361" width="12.5" style="35" customWidth="1"/>
    <col min="5362" max="5362" width="13.6640625" style="35" customWidth="1"/>
    <col min="5363" max="5366" width="0" style="35" hidden="1" customWidth="1"/>
    <col min="5367" max="5367" width="13.6640625" style="35" customWidth="1"/>
    <col min="5368" max="5368" width="12.5" style="35" customWidth="1"/>
    <col min="5369" max="5369" width="15.5" style="35" customWidth="1"/>
    <col min="5370" max="5370" width="13.6640625" style="35" customWidth="1"/>
    <col min="5371" max="5371" width="10.83203125" style="35" customWidth="1"/>
    <col min="5372" max="5372" width="10.33203125" style="35" customWidth="1"/>
    <col min="5373" max="5374" width="9.83203125" style="35" customWidth="1"/>
    <col min="5375" max="5375" width="10.83203125" style="35" customWidth="1"/>
    <col min="5376" max="5376" width="9.33203125" style="35" customWidth="1"/>
    <col min="5377" max="5379" width="9.83203125" style="35" customWidth="1"/>
    <col min="5380" max="5380" width="14.5" style="35" customWidth="1"/>
    <col min="5381" max="5381" width="18.1640625" style="35" customWidth="1"/>
    <col min="5382" max="5382" width="13.1640625" style="35" customWidth="1"/>
    <col min="5383" max="5383" width="13" style="35" customWidth="1"/>
    <col min="5384" max="5384" width="11" style="35" customWidth="1"/>
    <col min="5385" max="5389" width="0" style="35" hidden="1" customWidth="1"/>
    <col min="5390" max="5390" width="14.33203125" style="35" customWidth="1"/>
    <col min="5391" max="5393" width="0" style="35" hidden="1" customWidth="1"/>
    <col min="5394" max="5394" width="14.33203125" style="35" customWidth="1"/>
    <col min="5395" max="5397" width="0" style="35" hidden="1" customWidth="1"/>
    <col min="5398" max="5398" width="14.33203125" style="35" customWidth="1"/>
    <col min="5399" max="5401" width="0" style="35" hidden="1" customWidth="1"/>
    <col min="5402" max="5403" width="14.33203125" style="35" customWidth="1"/>
    <col min="5404" max="5404" width="14.1640625" style="35" customWidth="1"/>
    <col min="5405" max="5405" width="10.5" style="35" customWidth="1"/>
    <col min="5406" max="5406" width="10.1640625" style="35" customWidth="1"/>
    <col min="5407" max="5407" width="11.6640625" style="35" customWidth="1"/>
    <col min="5408" max="5408" width="9.83203125" style="35" customWidth="1"/>
    <col min="5409" max="5409" width="10.1640625" style="35" customWidth="1"/>
    <col min="5410" max="5410" width="9" style="35" customWidth="1"/>
    <col min="5411" max="5411" width="9.83203125" style="35" customWidth="1"/>
    <col min="5412" max="5412" width="9" style="35" customWidth="1"/>
    <col min="5413" max="5601" width="9.33203125" style="35"/>
    <col min="5602" max="5602" width="13.5" style="35" customWidth="1"/>
    <col min="5603" max="5603" width="12.83203125" style="35" customWidth="1"/>
    <col min="5604" max="5604" width="11.1640625" style="35" customWidth="1"/>
    <col min="5605" max="5605" width="10.6640625" style="35" customWidth="1"/>
    <col min="5606" max="5606" width="8.5" style="35" customWidth="1"/>
    <col min="5607" max="5616" width="0" style="35" hidden="1" customWidth="1"/>
    <col min="5617" max="5617" width="12.5" style="35" customWidth="1"/>
    <col min="5618" max="5618" width="13.6640625" style="35" customWidth="1"/>
    <col min="5619" max="5622" width="0" style="35" hidden="1" customWidth="1"/>
    <col min="5623" max="5623" width="13.6640625" style="35" customWidth="1"/>
    <col min="5624" max="5624" width="12.5" style="35" customWidth="1"/>
    <col min="5625" max="5625" width="15.5" style="35" customWidth="1"/>
    <col min="5626" max="5626" width="13.6640625" style="35" customWidth="1"/>
    <col min="5627" max="5627" width="10.83203125" style="35" customWidth="1"/>
    <col min="5628" max="5628" width="10.33203125" style="35" customWidth="1"/>
    <col min="5629" max="5630" width="9.83203125" style="35" customWidth="1"/>
    <col min="5631" max="5631" width="10.83203125" style="35" customWidth="1"/>
    <col min="5632" max="5632" width="9.33203125" style="35" customWidth="1"/>
    <col min="5633" max="5635" width="9.83203125" style="35" customWidth="1"/>
    <col min="5636" max="5636" width="14.5" style="35" customWidth="1"/>
    <col min="5637" max="5637" width="18.1640625" style="35" customWidth="1"/>
    <col min="5638" max="5638" width="13.1640625" style="35" customWidth="1"/>
    <col min="5639" max="5639" width="13" style="35" customWidth="1"/>
    <col min="5640" max="5640" width="11" style="35" customWidth="1"/>
    <col min="5641" max="5645" width="0" style="35" hidden="1" customWidth="1"/>
    <col min="5646" max="5646" width="14.33203125" style="35" customWidth="1"/>
    <col min="5647" max="5649" width="0" style="35" hidden="1" customWidth="1"/>
    <col min="5650" max="5650" width="14.33203125" style="35" customWidth="1"/>
    <col min="5651" max="5653" width="0" style="35" hidden="1" customWidth="1"/>
    <col min="5654" max="5654" width="14.33203125" style="35" customWidth="1"/>
    <col min="5655" max="5657" width="0" style="35" hidden="1" customWidth="1"/>
    <col min="5658" max="5659" width="14.33203125" style="35" customWidth="1"/>
    <col min="5660" max="5660" width="14.1640625" style="35" customWidth="1"/>
    <col min="5661" max="5661" width="10.5" style="35" customWidth="1"/>
    <col min="5662" max="5662" width="10.1640625" style="35" customWidth="1"/>
    <col min="5663" max="5663" width="11.6640625" style="35" customWidth="1"/>
    <col min="5664" max="5664" width="9.83203125" style="35" customWidth="1"/>
    <col min="5665" max="5665" width="10.1640625" style="35" customWidth="1"/>
    <col min="5666" max="5666" width="9" style="35" customWidth="1"/>
    <col min="5667" max="5667" width="9.83203125" style="35" customWidth="1"/>
    <col min="5668" max="5668" width="9" style="35" customWidth="1"/>
    <col min="5669" max="5857" width="9.33203125" style="35"/>
    <col min="5858" max="5858" width="13.5" style="35" customWidth="1"/>
    <col min="5859" max="5859" width="12.83203125" style="35" customWidth="1"/>
    <col min="5860" max="5860" width="11.1640625" style="35" customWidth="1"/>
    <col min="5861" max="5861" width="10.6640625" style="35" customWidth="1"/>
    <col min="5862" max="5862" width="8.5" style="35" customWidth="1"/>
    <col min="5863" max="5872" width="0" style="35" hidden="1" customWidth="1"/>
    <col min="5873" max="5873" width="12.5" style="35" customWidth="1"/>
    <col min="5874" max="5874" width="13.6640625" style="35" customWidth="1"/>
    <col min="5875" max="5878" width="0" style="35" hidden="1" customWidth="1"/>
    <col min="5879" max="5879" width="13.6640625" style="35" customWidth="1"/>
    <col min="5880" max="5880" width="12.5" style="35" customWidth="1"/>
    <col min="5881" max="5881" width="15.5" style="35" customWidth="1"/>
    <col min="5882" max="5882" width="13.6640625" style="35" customWidth="1"/>
    <col min="5883" max="5883" width="10.83203125" style="35" customWidth="1"/>
    <col min="5884" max="5884" width="10.33203125" style="35" customWidth="1"/>
    <col min="5885" max="5886" width="9.83203125" style="35" customWidth="1"/>
    <col min="5887" max="5887" width="10.83203125" style="35" customWidth="1"/>
    <col min="5888" max="5888" width="9.33203125" style="35" customWidth="1"/>
    <col min="5889" max="5891" width="9.83203125" style="35" customWidth="1"/>
    <col min="5892" max="5892" width="14.5" style="35" customWidth="1"/>
    <col min="5893" max="5893" width="18.1640625" style="35" customWidth="1"/>
    <col min="5894" max="5894" width="13.1640625" style="35" customWidth="1"/>
    <col min="5895" max="5895" width="13" style="35" customWidth="1"/>
    <col min="5896" max="5896" width="11" style="35" customWidth="1"/>
    <col min="5897" max="5901" width="0" style="35" hidden="1" customWidth="1"/>
    <col min="5902" max="5902" width="14.33203125" style="35" customWidth="1"/>
    <col min="5903" max="5905" width="0" style="35" hidden="1" customWidth="1"/>
    <col min="5906" max="5906" width="14.33203125" style="35" customWidth="1"/>
    <col min="5907" max="5909" width="0" style="35" hidden="1" customWidth="1"/>
    <col min="5910" max="5910" width="14.33203125" style="35" customWidth="1"/>
    <col min="5911" max="5913" width="0" style="35" hidden="1" customWidth="1"/>
    <col min="5914" max="5915" width="14.33203125" style="35" customWidth="1"/>
    <col min="5916" max="5916" width="14.1640625" style="35" customWidth="1"/>
    <col min="5917" max="5917" width="10.5" style="35" customWidth="1"/>
    <col min="5918" max="5918" width="10.1640625" style="35" customWidth="1"/>
    <col min="5919" max="5919" width="11.6640625" style="35" customWidth="1"/>
    <col min="5920" max="5920" width="9.83203125" style="35" customWidth="1"/>
    <col min="5921" max="5921" width="10.1640625" style="35" customWidth="1"/>
    <col min="5922" max="5922" width="9" style="35" customWidth="1"/>
    <col min="5923" max="5923" width="9.83203125" style="35" customWidth="1"/>
    <col min="5924" max="5924" width="9" style="35" customWidth="1"/>
    <col min="5925" max="6113" width="9.33203125" style="35"/>
    <col min="6114" max="6114" width="13.5" style="35" customWidth="1"/>
    <col min="6115" max="6115" width="12.83203125" style="35" customWidth="1"/>
    <col min="6116" max="6116" width="11.1640625" style="35" customWidth="1"/>
    <col min="6117" max="6117" width="10.6640625" style="35" customWidth="1"/>
    <col min="6118" max="6118" width="8.5" style="35" customWidth="1"/>
    <col min="6119" max="6128" width="0" style="35" hidden="1" customWidth="1"/>
    <col min="6129" max="6129" width="12.5" style="35" customWidth="1"/>
    <col min="6130" max="6130" width="13.6640625" style="35" customWidth="1"/>
    <col min="6131" max="6134" width="0" style="35" hidden="1" customWidth="1"/>
    <col min="6135" max="6135" width="13.6640625" style="35" customWidth="1"/>
    <col min="6136" max="6136" width="12.5" style="35" customWidth="1"/>
    <col min="6137" max="6137" width="15.5" style="35" customWidth="1"/>
    <col min="6138" max="6138" width="13.6640625" style="35" customWidth="1"/>
    <col min="6139" max="6139" width="10.83203125" style="35" customWidth="1"/>
    <col min="6140" max="6140" width="10.33203125" style="35" customWidth="1"/>
    <col min="6141" max="6142" width="9.83203125" style="35" customWidth="1"/>
    <col min="6143" max="6143" width="10.83203125" style="35" customWidth="1"/>
    <col min="6144" max="6144" width="9.33203125" style="35" customWidth="1"/>
    <col min="6145" max="6147" width="9.83203125" style="35" customWidth="1"/>
    <col min="6148" max="6148" width="14.5" style="35" customWidth="1"/>
    <col min="6149" max="6149" width="18.1640625" style="35" customWidth="1"/>
    <col min="6150" max="6150" width="13.1640625" style="35" customWidth="1"/>
    <col min="6151" max="6151" width="13" style="35" customWidth="1"/>
    <col min="6152" max="6152" width="11" style="35" customWidth="1"/>
    <col min="6153" max="6157" width="0" style="35" hidden="1" customWidth="1"/>
    <col min="6158" max="6158" width="14.33203125" style="35" customWidth="1"/>
    <col min="6159" max="6161" width="0" style="35" hidden="1" customWidth="1"/>
    <col min="6162" max="6162" width="14.33203125" style="35" customWidth="1"/>
    <col min="6163" max="6165" width="0" style="35" hidden="1" customWidth="1"/>
    <col min="6166" max="6166" width="14.33203125" style="35" customWidth="1"/>
    <col min="6167" max="6169" width="0" style="35" hidden="1" customWidth="1"/>
    <col min="6170" max="6171" width="14.33203125" style="35" customWidth="1"/>
    <col min="6172" max="6172" width="14.1640625" style="35" customWidth="1"/>
    <col min="6173" max="6173" width="10.5" style="35" customWidth="1"/>
    <col min="6174" max="6174" width="10.1640625" style="35" customWidth="1"/>
    <col min="6175" max="6175" width="11.6640625" style="35" customWidth="1"/>
    <col min="6176" max="6176" width="9.83203125" style="35" customWidth="1"/>
    <col min="6177" max="6177" width="10.1640625" style="35" customWidth="1"/>
    <col min="6178" max="6178" width="9" style="35" customWidth="1"/>
    <col min="6179" max="6179" width="9.83203125" style="35" customWidth="1"/>
    <col min="6180" max="6180" width="9" style="35" customWidth="1"/>
    <col min="6181" max="6369" width="9.33203125" style="35"/>
    <col min="6370" max="6370" width="13.5" style="35" customWidth="1"/>
    <col min="6371" max="6371" width="12.83203125" style="35" customWidth="1"/>
    <col min="6372" max="6372" width="11.1640625" style="35" customWidth="1"/>
    <col min="6373" max="6373" width="10.6640625" style="35" customWidth="1"/>
    <col min="6374" max="6374" width="8.5" style="35" customWidth="1"/>
    <col min="6375" max="6384" width="0" style="35" hidden="1" customWidth="1"/>
    <col min="6385" max="6385" width="12.5" style="35" customWidth="1"/>
    <col min="6386" max="6386" width="13.6640625" style="35" customWidth="1"/>
    <col min="6387" max="6390" width="0" style="35" hidden="1" customWidth="1"/>
    <col min="6391" max="6391" width="13.6640625" style="35" customWidth="1"/>
    <col min="6392" max="6392" width="12.5" style="35" customWidth="1"/>
    <col min="6393" max="6393" width="15.5" style="35" customWidth="1"/>
    <col min="6394" max="6394" width="13.6640625" style="35" customWidth="1"/>
    <col min="6395" max="6395" width="10.83203125" style="35" customWidth="1"/>
    <col min="6396" max="6396" width="10.33203125" style="35" customWidth="1"/>
    <col min="6397" max="6398" width="9.83203125" style="35" customWidth="1"/>
    <col min="6399" max="6399" width="10.83203125" style="35" customWidth="1"/>
    <col min="6400" max="6400" width="9.33203125" style="35" customWidth="1"/>
    <col min="6401" max="6403" width="9.83203125" style="35" customWidth="1"/>
    <col min="6404" max="6404" width="14.5" style="35" customWidth="1"/>
    <col min="6405" max="6405" width="18.1640625" style="35" customWidth="1"/>
    <col min="6406" max="6406" width="13.1640625" style="35" customWidth="1"/>
    <col min="6407" max="6407" width="13" style="35" customWidth="1"/>
    <col min="6408" max="6408" width="11" style="35" customWidth="1"/>
    <col min="6409" max="6413" width="0" style="35" hidden="1" customWidth="1"/>
    <col min="6414" max="6414" width="14.33203125" style="35" customWidth="1"/>
    <col min="6415" max="6417" width="0" style="35" hidden="1" customWidth="1"/>
    <col min="6418" max="6418" width="14.33203125" style="35" customWidth="1"/>
    <col min="6419" max="6421" width="0" style="35" hidden="1" customWidth="1"/>
    <col min="6422" max="6422" width="14.33203125" style="35" customWidth="1"/>
    <col min="6423" max="6425" width="0" style="35" hidden="1" customWidth="1"/>
    <col min="6426" max="6427" width="14.33203125" style="35" customWidth="1"/>
    <col min="6428" max="6428" width="14.1640625" style="35" customWidth="1"/>
    <col min="6429" max="6429" width="10.5" style="35" customWidth="1"/>
    <col min="6430" max="6430" width="10.1640625" style="35" customWidth="1"/>
    <col min="6431" max="6431" width="11.6640625" style="35" customWidth="1"/>
    <col min="6432" max="6432" width="9.83203125" style="35" customWidth="1"/>
    <col min="6433" max="6433" width="10.1640625" style="35" customWidth="1"/>
    <col min="6434" max="6434" width="9" style="35" customWidth="1"/>
    <col min="6435" max="6435" width="9.83203125" style="35" customWidth="1"/>
    <col min="6436" max="6436" width="9" style="35" customWidth="1"/>
    <col min="6437" max="6625" width="9.33203125" style="35"/>
    <col min="6626" max="6626" width="13.5" style="35" customWidth="1"/>
    <col min="6627" max="6627" width="12.83203125" style="35" customWidth="1"/>
    <col min="6628" max="6628" width="11.1640625" style="35" customWidth="1"/>
    <col min="6629" max="6629" width="10.6640625" style="35" customWidth="1"/>
    <col min="6630" max="6630" width="8.5" style="35" customWidth="1"/>
    <col min="6631" max="6640" width="0" style="35" hidden="1" customWidth="1"/>
    <col min="6641" max="6641" width="12.5" style="35" customWidth="1"/>
    <col min="6642" max="6642" width="13.6640625" style="35" customWidth="1"/>
    <col min="6643" max="6646" width="0" style="35" hidden="1" customWidth="1"/>
    <col min="6647" max="6647" width="13.6640625" style="35" customWidth="1"/>
    <col min="6648" max="6648" width="12.5" style="35" customWidth="1"/>
    <col min="6649" max="6649" width="15.5" style="35" customWidth="1"/>
    <col min="6650" max="6650" width="13.6640625" style="35" customWidth="1"/>
    <col min="6651" max="6651" width="10.83203125" style="35" customWidth="1"/>
    <col min="6652" max="6652" width="10.33203125" style="35" customWidth="1"/>
    <col min="6653" max="6654" width="9.83203125" style="35" customWidth="1"/>
    <col min="6655" max="6655" width="10.83203125" style="35" customWidth="1"/>
    <col min="6656" max="6656" width="9.33203125" style="35" customWidth="1"/>
    <col min="6657" max="6659" width="9.83203125" style="35" customWidth="1"/>
    <col min="6660" max="6660" width="14.5" style="35" customWidth="1"/>
    <col min="6661" max="6661" width="18.1640625" style="35" customWidth="1"/>
    <col min="6662" max="6662" width="13.1640625" style="35" customWidth="1"/>
    <col min="6663" max="6663" width="13" style="35" customWidth="1"/>
    <col min="6664" max="6664" width="11" style="35" customWidth="1"/>
    <col min="6665" max="6669" width="0" style="35" hidden="1" customWidth="1"/>
    <col min="6670" max="6670" width="14.33203125" style="35" customWidth="1"/>
    <col min="6671" max="6673" width="0" style="35" hidden="1" customWidth="1"/>
    <col min="6674" max="6674" width="14.33203125" style="35" customWidth="1"/>
    <col min="6675" max="6677" width="0" style="35" hidden="1" customWidth="1"/>
    <col min="6678" max="6678" width="14.33203125" style="35" customWidth="1"/>
    <col min="6679" max="6681" width="0" style="35" hidden="1" customWidth="1"/>
    <col min="6682" max="6683" width="14.33203125" style="35" customWidth="1"/>
    <col min="6684" max="6684" width="14.1640625" style="35" customWidth="1"/>
    <col min="6685" max="6685" width="10.5" style="35" customWidth="1"/>
    <col min="6686" max="6686" width="10.1640625" style="35" customWidth="1"/>
    <col min="6687" max="6687" width="11.6640625" style="35" customWidth="1"/>
    <col min="6688" max="6688" width="9.83203125" style="35" customWidth="1"/>
    <col min="6689" max="6689" width="10.1640625" style="35" customWidth="1"/>
    <col min="6690" max="6690" width="9" style="35" customWidth="1"/>
    <col min="6691" max="6691" width="9.83203125" style="35" customWidth="1"/>
    <col min="6692" max="6692" width="9" style="35" customWidth="1"/>
    <col min="6693" max="6881" width="9.33203125" style="35"/>
    <col min="6882" max="6882" width="13.5" style="35" customWidth="1"/>
    <col min="6883" max="6883" width="12.83203125" style="35" customWidth="1"/>
    <col min="6884" max="6884" width="11.1640625" style="35" customWidth="1"/>
    <col min="6885" max="6885" width="10.6640625" style="35" customWidth="1"/>
    <col min="6886" max="6886" width="8.5" style="35" customWidth="1"/>
    <col min="6887" max="6896" width="0" style="35" hidden="1" customWidth="1"/>
    <col min="6897" max="6897" width="12.5" style="35" customWidth="1"/>
    <col min="6898" max="6898" width="13.6640625" style="35" customWidth="1"/>
    <col min="6899" max="6902" width="0" style="35" hidden="1" customWidth="1"/>
    <col min="6903" max="6903" width="13.6640625" style="35" customWidth="1"/>
    <col min="6904" max="6904" width="12.5" style="35" customWidth="1"/>
    <col min="6905" max="6905" width="15.5" style="35" customWidth="1"/>
    <col min="6906" max="6906" width="13.6640625" style="35" customWidth="1"/>
    <col min="6907" max="6907" width="10.83203125" style="35" customWidth="1"/>
    <col min="6908" max="6908" width="10.33203125" style="35" customWidth="1"/>
    <col min="6909" max="6910" width="9.83203125" style="35" customWidth="1"/>
    <col min="6911" max="6911" width="10.83203125" style="35" customWidth="1"/>
    <col min="6912" max="6912" width="9.33203125" style="35" customWidth="1"/>
    <col min="6913" max="6915" width="9.83203125" style="35" customWidth="1"/>
    <col min="6916" max="6916" width="14.5" style="35" customWidth="1"/>
    <col min="6917" max="6917" width="18.1640625" style="35" customWidth="1"/>
    <col min="6918" max="6918" width="13.1640625" style="35" customWidth="1"/>
    <col min="6919" max="6919" width="13" style="35" customWidth="1"/>
    <col min="6920" max="6920" width="11" style="35" customWidth="1"/>
    <col min="6921" max="6925" width="0" style="35" hidden="1" customWidth="1"/>
    <col min="6926" max="6926" width="14.33203125" style="35" customWidth="1"/>
    <col min="6927" max="6929" width="0" style="35" hidden="1" customWidth="1"/>
    <col min="6930" max="6930" width="14.33203125" style="35" customWidth="1"/>
    <col min="6931" max="6933" width="0" style="35" hidden="1" customWidth="1"/>
    <col min="6934" max="6934" width="14.33203125" style="35" customWidth="1"/>
    <col min="6935" max="6937" width="0" style="35" hidden="1" customWidth="1"/>
    <col min="6938" max="6939" width="14.33203125" style="35" customWidth="1"/>
    <col min="6940" max="6940" width="14.1640625" style="35" customWidth="1"/>
    <col min="6941" max="6941" width="10.5" style="35" customWidth="1"/>
    <col min="6942" max="6942" width="10.1640625" style="35" customWidth="1"/>
    <col min="6943" max="6943" width="11.6640625" style="35" customWidth="1"/>
    <col min="6944" max="6944" width="9.83203125" style="35" customWidth="1"/>
    <col min="6945" max="6945" width="10.1640625" style="35" customWidth="1"/>
    <col min="6946" max="6946" width="9" style="35" customWidth="1"/>
    <col min="6947" max="6947" width="9.83203125" style="35" customWidth="1"/>
    <col min="6948" max="6948" width="9" style="35" customWidth="1"/>
    <col min="6949" max="7137" width="9.33203125" style="35"/>
    <col min="7138" max="7138" width="13.5" style="35" customWidth="1"/>
    <col min="7139" max="7139" width="12.83203125" style="35" customWidth="1"/>
    <col min="7140" max="7140" width="11.1640625" style="35" customWidth="1"/>
    <col min="7141" max="7141" width="10.6640625" style="35" customWidth="1"/>
    <col min="7142" max="7142" width="8.5" style="35" customWidth="1"/>
    <col min="7143" max="7152" width="0" style="35" hidden="1" customWidth="1"/>
    <col min="7153" max="7153" width="12.5" style="35" customWidth="1"/>
    <col min="7154" max="7154" width="13.6640625" style="35" customWidth="1"/>
    <col min="7155" max="7158" width="0" style="35" hidden="1" customWidth="1"/>
    <col min="7159" max="7159" width="13.6640625" style="35" customWidth="1"/>
    <col min="7160" max="7160" width="12.5" style="35" customWidth="1"/>
    <col min="7161" max="7161" width="15.5" style="35" customWidth="1"/>
    <col min="7162" max="7162" width="13.6640625" style="35" customWidth="1"/>
    <col min="7163" max="7163" width="10.83203125" style="35" customWidth="1"/>
    <col min="7164" max="7164" width="10.33203125" style="35" customWidth="1"/>
    <col min="7165" max="7166" width="9.83203125" style="35" customWidth="1"/>
    <col min="7167" max="7167" width="10.83203125" style="35" customWidth="1"/>
    <col min="7168" max="7168" width="9.33203125" style="35" customWidth="1"/>
    <col min="7169" max="7171" width="9.83203125" style="35" customWidth="1"/>
    <col min="7172" max="7172" width="14.5" style="35" customWidth="1"/>
    <col min="7173" max="7173" width="18.1640625" style="35" customWidth="1"/>
    <col min="7174" max="7174" width="13.1640625" style="35" customWidth="1"/>
    <col min="7175" max="7175" width="13" style="35" customWidth="1"/>
    <col min="7176" max="7176" width="11" style="35" customWidth="1"/>
    <col min="7177" max="7181" width="0" style="35" hidden="1" customWidth="1"/>
    <col min="7182" max="7182" width="14.33203125" style="35" customWidth="1"/>
    <col min="7183" max="7185" width="0" style="35" hidden="1" customWidth="1"/>
    <col min="7186" max="7186" width="14.33203125" style="35" customWidth="1"/>
    <col min="7187" max="7189" width="0" style="35" hidden="1" customWidth="1"/>
    <col min="7190" max="7190" width="14.33203125" style="35" customWidth="1"/>
    <col min="7191" max="7193" width="0" style="35" hidden="1" customWidth="1"/>
    <col min="7194" max="7195" width="14.33203125" style="35" customWidth="1"/>
    <col min="7196" max="7196" width="14.1640625" style="35" customWidth="1"/>
    <col min="7197" max="7197" width="10.5" style="35" customWidth="1"/>
    <col min="7198" max="7198" width="10.1640625" style="35" customWidth="1"/>
    <col min="7199" max="7199" width="11.6640625" style="35" customWidth="1"/>
    <col min="7200" max="7200" width="9.83203125" style="35" customWidth="1"/>
    <col min="7201" max="7201" width="10.1640625" style="35" customWidth="1"/>
    <col min="7202" max="7202" width="9" style="35" customWidth="1"/>
    <col min="7203" max="7203" width="9.83203125" style="35" customWidth="1"/>
    <col min="7204" max="7204" width="9" style="35" customWidth="1"/>
    <col min="7205" max="7393" width="9.33203125" style="35"/>
    <col min="7394" max="7394" width="13.5" style="35" customWidth="1"/>
    <col min="7395" max="7395" width="12.83203125" style="35" customWidth="1"/>
    <col min="7396" max="7396" width="11.1640625" style="35" customWidth="1"/>
    <col min="7397" max="7397" width="10.6640625" style="35" customWidth="1"/>
    <col min="7398" max="7398" width="8.5" style="35" customWidth="1"/>
    <col min="7399" max="7408" width="0" style="35" hidden="1" customWidth="1"/>
    <col min="7409" max="7409" width="12.5" style="35" customWidth="1"/>
    <col min="7410" max="7410" width="13.6640625" style="35" customWidth="1"/>
    <col min="7411" max="7414" width="0" style="35" hidden="1" customWidth="1"/>
    <col min="7415" max="7415" width="13.6640625" style="35" customWidth="1"/>
    <col min="7416" max="7416" width="12.5" style="35" customWidth="1"/>
    <col min="7417" max="7417" width="15.5" style="35" customWidth="1"/>
    <col min="7418" max="7418" width="13.6640625" style="35" customWidth="1"/>
    <col min="7419" max="7419" width="10.83203125" style="35" customWidth="1"/>
    <col min="7420" max="7420" width="10.33203125" style="35" customWidth="1"/>
    <col min="7421" max="7422" width="9.83203125" style="35" customWidth="1"/>
    <col min="7423" max="7423" width="10.83203125" style="35" customWidth="1"/>
    <col min="7424" max="7424" width="9.33203125" style="35" customWidth="1"/>
    <col min="7425" max="7427" width="9.83203125" style="35" customWidth="1"/>
    <col min="7428" max="7428" width="14.5" style="35" customWidth="1"/>
    <col min="7429" max="7429" width="18.1640625" style="35" customWidth="1"/>
    <col min="7430" max="7430" width="13.1640625" style="35" customWidth="1"/>
    <col min="7431" max="7431" width="13" style="35" customWidth="1"/>
    <col min="7432" max="7432" width="11" style="35" customWidth="1"/>
    <col min="7433" max="7437" width="0" style="35" hidden="1" customWidth="1"/>
    <col min="7438" max="7438" width="14.33203125" style="35" customWidth="1"/>
    <col min="7439" max="7441" width="0" style="35" hidden="1" customWidth="1"/>
    <col min="7442" max="7442" width="14.33203125" style="35" customWidth="1"/>
    <col min="7443" max="7445" width="0" style="35" hidden="1" customWidth="1"/>
    <col min="7446" max="7446" width="14.33203125" style="35" customWidth="1"/>
    <col min="7447" max="7449" width="0" style="35" hidden="1" customWidth="1"/>
    <col min="7450" max="7451" width="14.33203125" style="35" customWidth="1"/>
    <col min="7452" max="7452" width="14.1640625" style="35" customWidth="1"/>
    <col min="7453" max="7453" width="10.5" style="35" customWidth="1"/>
    <col min="7454" max="7454" width="10.1640625" style="35" customWidth="1"/>
    <col min="7455" max="7455" width="11.6640625" style="35" customWidth="1"/>
    <col min="7456" max="7456" width="9.83203125" style="35" customWidth="1"/>
    <col min="7457" max="7457" width="10.1640625" style="35" customWidth="1"/>
    <col min="7458" max="7458" width="9" style="35" customWidth="1"/>
    <col min="7459" max="7459" width="9.83203125" style="35" customWidth="1"/>
    <col min="7460" max="7460" width="9" style="35" customWidth="1"/>
    <col min="7461" max="7649" width="9.33203125" style="35"/>
    <col min="7650" max="7650" width="13.5" style="35" customWidth="1"/>
    <col min="7651" max="7651" width="12.83203125" style="35" customWidth="1"/>
    <col min="7652" max="7652" width="11.1640625" style="35" customWidth="1"/>
    <col min="7653" max="7653" width="10.6640625" style="35" customWidth="1"/>
    <col min="7654" max="7654" width="8.5" style="35" customWidth="1"/>
    <col min="7655" max="7664" width="0" style="35" hidden="1" customWidth="1"/>
    <col min="7665" max="7665" width="12.5" style="35" customWidth="1"/>
    <col min="7666" max="7666" width="13.6640625" style="35" customWidth="1"/>
    <col min="7667" max="7670" width="0" style="35" hidden="1" customWidth="1"/>
    <col min="7671" max="7671" width="13.6640625" style="35" customWidth="1"/>
    <col min="7672" max="7672" width="12.5" style="35" customWidth="1"/>
    <col min="7673" max="7673" width="15.5" style="35" customWidth="1"/>
    <col min="7674" max="7674" width="13.6640625" style="35" customWidth="1"/>
    <col min="7675" max="7675" width="10.83203125" style="35" customWidth="1"/>
    <col min="7676" max="7676" width="10.33203125" style="35" customWidth="1"/>
    <col min="7677" max="7678" width="9.83203125" style="35" customWidth="1"/>
    <col min="7679" max="7679" width="10.83203125" style="35" customWidth="1"/>
    <col min="7680" max="7680" width="9.33203125" style="35" customWidth="1"/>
    <col min="7681" max="7683" width="9.83203125" style="35" customWidth="1"/>
    <col min="7684" max="7684" width="14.5" style="35" customWidth="1"/>
    <col min="7685" max="7685" width="18.1640625" style="35" customWidth="1"/>
    <col min="7686" max="7686" width="13.1640625" style="35" customWidth="1"/>
    <col min="7687" max="7687" width="13" style="35" customWidth="1"/>
    <col min="7688" max="7688" width="11" style="35" customWidth="1"/>
    <col min="7689" max="7693" width="0" style="35" hidden="1" customWidth="1"/>
    <col min="7694" max="7694" width="14.33203125" style="35" customWidth="1"/>
    <col min="7695" max="7697" width="0" style="35" hidden="1" customWidth="1"/>
    <col min="7698" max="7698" width="14.33203125" style="35" customWidth="1"/>
    <col min="7699" max="7701" width="0" style="35" hidden="1" customWidth="1"/>
    <col min="7702" max="7702" width="14.33203125" style="35" customWidth="1"/>
    <col min="7703" max="7705" width="0" style="35" hidden="1" customWidth="1"/>
    <col min="7706" max="7707" width="14.33203125" style="35" customWidth="1"/>
    <col min="7708" max="7708" width="14.1640625" style="35" customWidth="1"/>
    <col min="7709" max="7709" width="10.5" style="35" customWidth="1"/>
    <col min="7710" max="7710" width="10.1640625" style="35" customWidth="1"/>
    <col min="7711" max="7711" width="11.6640625" style="35" customWidth="1"/>
    <col min="7712" max="7712" width="9.83203125" style="35" customWidth="1"/>
    <col min="7713" max="7713" width="10.1640625" style="35" customWidth="1"/>
    <col min="7714" max="7714" width="9" style="35" customWidth="1"/>
    <col min="7715" max="7715" width="9.83203125" style="35" customWidth="1"/>
    <col min="7716" max="7716" width="9" style="35" customWidth="1"/>
    <col min="7717" max="7905" width="9.33203125" style="35"/>
    <col min="7906" max="7906" width="13.5" style="35" customWidth="1"/>
    <col min="7907" max="7907" width="12.83203125" style="35" customWidth="1"/>
    <col min="7908" max="7908" width="11.1640625" style="35" customWidth="1"/>
    <col min="7909" max="7909" width="10.6640625" style="35" customWidth="1"/>
    <col min="7910" max="7910" width="8.5" style="35" customWidth="1"/>
    <col min="7911" max="7920" width="0" style="35" hidden="1" customWidth="1"/>
    <col min="7921" max="7921" width="12.5" style="35" customWidth="1"/>
    <col min="7922" max="7922" width="13.6640625" style="35" customWidth="1"/>
    <col min="7923" max="7926" width="0" style="35" hidden="1" customWidth="1"/>
    <col min="7927" max="7927" width="13.6640625" style="35" customWidth="1"/>
    <col min="7928" max="7928" width="12.5" style="35" customWidth="1"/>
    <col min="7929" max="7929" width="15.5" style="35" customWidth="1"/>
    <col min="7930" max="7930" width="13.6640625" style="35" customWidth="1"/>
    <col min="7931" max="7931" width="10.83203125" style="35" customWidth="1"/>
    <col min="7932" max="7932" width="10.33203125" style="35" customWidth="1"/>
    <col min="7933" max="7934" width="9.83203125" style="35" customWidth="1"/>
    <col min="7935" max="7935" width="10.83203125" style="35" customWidth="1"/>
    <col min="7936" max="7936" width="9.33203125" style="35" customWidth="1"/>
    <col min="7937" max="7939" width="9.83203125" style="35" customWidth="1"/>
    <col min="7940" max="7940" width="14.5" style="35" customWidth="1"/>
    <col min="7941" max="7941" width="18.1640625" style="35" customWidth="1"/>
    <col min="7942" max="7942" width="13.1640625" style="35" customWidth="1"/>
    <col min="7943" max="7943" width="13" style="35" customWidth="1"/>
    <col min="7944" max="7944" width="11" style="35" customWidth="1"/>
    <col min="7945" max="7949" width="0" style="35" hidden="1" customWidth="1"/>
    <col min="7950" max="7950" width="14.33203125" style="35" customWidth="1"/>
    <col min="7951" max="7953" width="0" style="35" hidden="1" customWidth="1"/>
    <col min="7954" max="7954" width="14.33203125" style="35" customWidth="1"/>
    <col min="7955" max="7957" width="0" style="35" hidden="1" customWidth="1"/>
    <col min="7958" max="7958" width="14.33203125" style="35" customWidth="1"/>
    <col min="7959" max="7961" width="0" style="35" hidden="1" customWidth="1"/>
    <col min="7962" max="7963" width="14.33203125" style="35" customWidth="1"/>
    <col min="7964" max="7964" width="14.1640625" style="35" customWidth="1"/>
    <col min="7965" max="7965" width="10.5" style="35" customWidth="1"/>
    <col min="7966" max="7966" width="10.1640625" style="35" customWidth="1"/>
    <col min="7967" max="7967" width="11.6640625" style="35" customWidth="1"/>
    <col min="7968" max="7968" width="9.83203125" style="35" customWidth="1"/>
    <col min="7969" max="7969" width="10.1640625" style="35" customWidth="1"/>
    <col min="7970" max="7970" width="9" style="35" customWidth="1"/>
    <col min="7971" max="7971" width="9.83203125" style="35" customWidth="1"/>
    <col min="7972" max="7972" width="9" style="35" customWidth="1"/>
    <col min="7973" max="8161" width="9.33203125" style="35"/>
    <col min="8162" max="8162" width="13.5" style="35" customWidth="1"/>
    <col min="8163" max="8163" width="12.83203125" style="35" customWidth="1"/>
    <col min="8164" max="8164" width="11.1640625" style="35" customWidth="1"/>
    <col min="8165" max="8165" width="10.6640625" style="35" customWidth="1"/>
    <col min="8166" max="8166" width="8.5" style="35" customWidth="1"/>
    <col min="8167" max="8176" width="0" style="35" hidden="1" customWidth="1"/>
    <col min="8177" max="8177" width="12.5" style="35" customWidth="1"/>
    <col min="8178" max="8178" width="13.6640625" style="35" customWidth="1"/>
    <col min="8179" max="8182" width="0" style="35" hidden="1" customWidth="1"/>
    <col min="8183" max="8183" width="13.6640625" style="35" customWidth="1"/>
    <col min="8184" max="8184" width="12.5" style="35" customWidth="1"/>
    <col min="8185" max="8185" width="15.5" style="35" customWidth="1"/>
    <col min="8186" max="8186" width="13.6640625" style="35" customWidth="1"/>
    <col min="8187" max="8187" width="10.83203125" style="35" customWidth="1"/>
    <col min="8188" max="8188" width="10.33203125" style="35" customWidth="1"/>
    <col min="8189" max="8190" width="9.83203125" style="35" customWidth="1"/>
    <col min="8191" max="8191" width="10.83203125" style="35" customWidth="1"/>
    <col min="8192" max="8192" width="9.33203125" style="35" customWidth="1"/>
    <col min="8193" max="8195" width="9.83203125" style="35" customWidth="1"/>
    <col min="8196" max="8196" width="14.5" style="35" customWidth="1"/>
    <col min="8197" max="8197" width="18.1640625" style="35" customWidth="1"/>
    <col min="8198" max="8198" width="13.1640625" style="35" customWidth="1"/>
    <col min="8199" max="8199" width="13" style="35" customWidth="1"/>
    <col min="8200" max="8200" width="11" style="35" customWidth="1"/>
    <col min="8201" max="8205" width="0" style="35" hidden="1" customWidth="1"/>
    <col min="8206" max="8206" width="14.33203125" style="35" customWidth="1"/>
    <col min="8207" max="8209" width="0" style="35" hidden="1" customWidth="1"/>
    <col min="8210" max="8210" width="14.33203125" style="35" customWidth="1"/>
    <col min="8211" max="8213" width="0" style="35" hidden="1" customWidth="1"/>
    <col min="8214" max="8214" width="14.33203125" style="35" customWidth="1"/>
    <col min="8215" max="8217" width="0" style="35" hidden="1" customWidth="1"/>
    <col min="8218" max="8219" width="14.33203125" style="35" customWidth="1"/>
    <col min="8220" max="8220" width="14.1640625" style="35" customWidth="1"/>
    <col min="8221" max="8221" width="10.5" style="35" customWidth="1"/>
    <col min="8222" max="8222" width="10.1640625" style="35" customWidth="1"/>
    <col min="8223" max="8223" width="11.6640625" style="35" customWidth="1"/>
    <col min="8224" max="8224" width="9.83203125" style="35" customWidth="1"/>
    <col min="8225" max="8225" width="10.1640625" style="35" customWidth="1"/>
    <col min="8226" max="8226" width="9" style="35" customWidth="1"/>
    <col min="8227" max="8227" width="9.83203125" style="35" customWidth="1"/>
    <col min="8228" max="8228" width="9" style="35" customWidth="1"/>
    <col min="8229" max="8417" width="9.33203125" style="35"/>
    <col min="8418" max="8418" width="13.5" style="35" customWidth="1"/>
    <col min="8419" max="8419" width="12.83203125" style="35" customWidth="1"/>
    <col min="8420" max="8420" width="11.1640625" style="35" customWidth="1"/>
    <col min="8421" max="8421" width="10.6640625" style="35" customWidth="1"/>
    <col min="8422" max="8422" width="8.5" style="35" customWidth="1"/>
    <col min="8423" max="8432" width="0" style="35" hidden="1" customWidth="1"/>
    <col min="8433" max="8433" width="12.5" style="35" customWidth="1"/>
    <col min="8434" max="8434" width="13.6640625" style="35" customWidth="1"/>
    <col min="8435" max="8438" width="0" style="35" hidden="1" customWidth="1"/>
    <col min="8439" max="8439" width="13.6640625" style="35" customWidth="1"/>
    <col min="8440" max="8440" width="12.5" style="35" customWidth="1"/>
    <col min="8441" max="8441" width="15.5" style="35" customWidth="1"/>
    <col min="8442" max="8442" width="13.6640625" style="35" customWidth="1"/>
    <col min="8443" max="8443" width="10.83203125" style="35" customWidth="1"/>
    <col min="8444" max="8444" width="10.33203125" style="35" customWidth="1"/>
    <col min="8445" max="8446" width="9.83203125" style="35" customWidth="1"/>
    <col min="8447" max="8447" width="10.83203125" style="35" customWidth="1"/>
    <col min="8448" max="8448" width="9.33203125" style="35" customWidth="1"/>
    <col min="8449" max="8451" width="9.83203125" style="35" customWidth="1"/>
    <col min="8452" max="8452" width="14.5" style="35" customWidth="1"/>
    <col min="8453" max="8453" width="18.1640625" style="35" customWidth="1"/>
    <col min="8454" max="8454" width="13.1640625" style="35" customWidth="1"/>
    <col min="8455" max="8455" width="13" style="35" customWidth="1"/>
    <col min="8456" max="8456" width="11" style="35" customWidth="1"/>
    <col min="8457" max="8461" width="0" style="35" hidden="1" customWidth="1"/>
    <col min="8462" max="8462" width="14.33203125" style="35" customWidth="1"/>
    <col min="8463" max="8465" width="0" style="35" hidden="1" customWidth="1"/>
    <col min="8466" max="8466" width="14.33203125" style="35" customWidth="1"/>
    <col min="8467" max="8469" width="0" style="35" hidden="1" customWidth="1"/>
    <col min="8470" max="8470" width="14.33203125" style="35" customWidth="1"/>
    <col min="8471" max="8473" width="0" style="35" hidden="1" customWidth="1"/>
    <col min="8474" max="8475" width="14.33203125" style="35" customWidth="1"/>
    <col min="8476" max="8476" width="14.1640625" style="35" customWidth="1"/>
    <col min="8477" max="8477" width="10.5" style="35" customWidth="1"/>
    <col min="8478" max="8478" width="10.1640625" style="35" customWidth="1"/>
    <col min="8479" max="8479" width="11.6640625" style="35" customWidth="1"/>
    <col min="8480" max="8480" width="9.83203125" style="35" customWidth="1"/>
    <col min="8481" max="8481" width="10.1640625" style="35" customWidth="1"/>
    <col min="8482" max="8482" width="9" style="35" customWidth="1"/>
    <col min="8483" max="8483" width="9.83203125" style="35" customWidth="1"/>
    <col min="8484" max="8484" width="9" style="35" customWidth="1"/>
    <col min="8485" max="8673" width="9.33203125" style="35"/>
    <col min="8674" max="8674" width="13.5" style="35" customWidth="1"/>
    <col min="8675" max="8675" width="12.83203125" style="35" customWidth="1"/>
    <col min="8676" max="8676" width="11.1640625" style="35" customWidth="1"/>
    <col min="8677" max="8677" width="10.6640625" style="35" customWidth="1"/>
    <col min="8678" max="8678" width="8.5" style="35" customWidth="1"/>
    <col min="8679" max="8688" width="0" style="35" hidden="1" customWidth="1"/>
    <col min="8689" max="8689" width="12.5" style="35" customWidth="1"/>
    <col min="8690" max="8690" width="13.6640625" style="35" customWidth="1"/>
    <col min="8691" max="8694" width="0" style="35" hidden="1" customWidth="1"/>
    <col min="8695" max="8695" width="13.6640625" style="35" customWidth="1"/>
    <col min="8696" max="8696" width="12.5" style="35" customWidth="1"/>
    <col min="8697" max="8697" width="15.5" style="35" customWidth="1"/>
    <col min="8698" max="8698" width="13.6640625" style="35" customWidth="1"/>
    <col min="8699" max="8699" width="10.83203125" style="35" customWidth="1"/>
    <col min="8700" max="8700" width="10.33203125" style="35" customWidth="1"/>
    <col min="8701" max="8702" width="9.83203125" style="35" customWidth="1"/>
    <col min="8703" max="8703" width="10.83203125" style="35" customWidth="1"/>
    <col min="8704" max="8704" width="9.33203125" style="35" customWidth="1"/>
    <col min="8705" max="8707" width="9.83203125" style="35" customWidth="1"/>
    <col min="8708" max="8708" width="14.5" style="35" customWidth="1"/>
    <col min="8709" max="8709" width="18.1640625" style="35" customWidth="1"/>
    <col min="8710" max="8710" width="13.1640625" style="35" customWidth="1"/>
    <col min="8711" max="8711" width="13" style="35" customWidth="1"/>
    <col min="8712" max="8712" width="11" style="35" customWidth="1"/>
    <col min="8713" max="8717" width="0" style="35" hidden="1" customWidth="1"/>
    <col min="8718" max="8718" width="14.33203125" style="35" customWidth="1"/>
    <col min="8719" max="8721" width="0" style="35" hidden="1" customWidth="1"/>
    <col min="8722" max="8722" width="14.33203125" style="35" customWidth="1"/>
    <col min="8723" max="8725" width="0" style="35" hidden="1" customWidth="1"/>
    <col min="8726" max="8726" width="14.33203125" style="35" customWidth="1"/>
    <col min="8727" max="8729" width="0" style="35" hidden="1" customWidth="1"/>
    <col min="8730" max="8731" width="14.33203125" style="35" customWidth="1"/>
    <col min="8732" max="8732" width="14.1640625" style="35" customWidth="1"/>
    <col min="8733" max="8733" width="10.5" style="35" customWidth="1"/>
    <col min="8734" max="8734" width="10.1640625" style="35" customWidth="1"/>
    <col min="8735" max="8735" width="11.6640625" style="35" customWidth="1"/>
    <col min="8736" max="8736" width="9.83203125" style="35" customWidth="1"/>
    <col min="8737" max="8737" width="10.1640625" style="35" customWidth="1"/>
    <col min="8738" max="8738" width="9" style="35" customWidth="1"/>
    <col min="8739" max="8739" width="9.83203125" style="35" customWidth="1"/>
    <col min="8740" max="8740" width="9" style="35" customWidth="1"/>
    <col min="8741" max="8929" width="9.33203125" style="35"/>
    <col min="8930" max="8930" width="13.5" style="35" customWidth="1"/>
    <col min="8931" max="8931" width="12.83203125" style="35" customWidth="1"/>
    <col min="8932" max="8932" width="11.1640625" style="35" customWidth="1"/>
    <col min="8933" max="8933" width="10.6640625" style="35" customWidth="1"/>
    <col min="8934" max="8934" width="8.5" style="35" customWidth="1"/>
    <col min="8935" max="8944" width="0" style="35" hidden="1" customWidth="1"/>
    <col min="8945" max="8945" width="12.5" style="35" customWidth="1"/>
    <col min="8946" max="8946" width="13.6640625" style="35" customWidth="1"/>
    <col min="8947" max="8950" width="0" style="35" hidden="1" customWidth="1"/>
    <col min="8951" max="8951" width="13.6640625" style="35" customWidth="1"/>
    <col min="8952" max="8952" width="12.5" style="35" customWidth="1"/>
    <col min="8953" max="8953" width="15.5" style="35" customWidth="1"/>
    <col min="8954" max="8954" width="13.6640625" style="35" customWidth="1"/>
    <col min="8955" max="8955" width="10.83203125" style="35" customWidth="1"/>
    <col min="8956" max="8956" width="10.33203125" style="35" customWidth="1"/>
    <col min="8957" max="8958" width="9.83203125" style="35" customWidth="1"/>
    <col min="8959" max="8959" width="10.83203125" style="35" customWidth="1"/>
    <col min="8960" max="8960" width="9.33203125" style="35" customWidth="1"/>
    <col min="8961" max="8963" width="9.83203125" style="35" customWidth="1"/>
    <col min="8964" max="8964" width="14.5" style="35" customWidth="1"/>
    <col min="8965" max="8965" width="18.1640625" style="35" customWidth="1"/>
    <col min="8966" max="8966" width="13.1640625" style="35" customWidth="1"/>
    <col min="8967" max="8967" width="13" style="35" customWidth="1"/>
    <col min="8968" max="8968" width="11" style="35" customWidth="1"/>
    <col min="8969" max="8973" width="0" style="35" hidden="1" customWidth="1"/>
    <col min="8974" max="8974" width="14.33203125" style="35" customWidth="1"/>
    <col min="8975" max="8977" width="0" style="35" hidden="1" customWidth="1"/>
    <col min="8978" max="8978" width="14.33203125" style="35" customWidth="1"/>
    <col min="8979" max="8981" width="0" style="35" hidden="1" customWidth="1"/>
    <col min="8982" max="8982" width="14.33203125" style="35" customWidth="1"/>
    <col min="8983" max="8985" width="0" style="35" hidden="1" customWidth="1"/>
    <col min="8986" max="8987" width="14.33203125" style="35" customWidth="1"/>
    <col min="8988" max="8988" width="14.1640625" style="35" customWidth="1"/>
    <col min="8989" max="8989" width="10.5" style="35" customWidth="1"/>
    <col min="8990" max="8990" width="10.1640625" style="35" customWidth="1"/>
    <col min="8991" max="8991" width="11.6640625" style="35" customWidth="1"/>
    <col min="8992" max="8992" width="9.83203125" style="35" customWidth="1"/>
    <col min="8993" max="8993" width="10.1640625" style="35" customWidth="1"/>
    <col min="8994" max="8994" width="9" style="35" customWidth="1"/>
    <col min="8995" max="8995" width="9.83203125" style="35" customWidth="1"/>
    <col min="8996" max="8996" width="9" style="35" customWidth="1"/>
    <col min="8997" max="9185" width="9.33203125" style="35"/>
    <col min="9186" max="9186" width="13.5" style="35" customWidth="1"/>
    <col min="9187" max="9187" width="12.83203125" style="35" customWidth="1"/>
    <col min="9188" max="9188" width="11.1640625" style="35" customWidth="1"/>
    <col min="9189" max="9189" width="10.6640625" style="35" customWidth="1"/>
    <col min="9190" max="9190" width="8.5" style="35" customWidth="1"/>
    <col min="9191" max="9200" width="0" style="35" hidden="1" customWidth="1"/>
    <col min="9201" max="9201" width="12.5" style="35" customWidth="1"/>
    <col min="9202" max="9202" width="13.6640625" style="35" customWidth="1"/>
    <col min="9203" max="9206" width="0" style="35" hidden="1" customWidth="1"/>
    <col min="9207" max="9207" width="13.6640625" style="35" customWidth="1"/>
    <col min="9208" max="9208" width="12.5" style="35" customWidth="1"/>
    <col min="9209" max="9209" width="15.5" style="35" customWidth="1"/>
    <col min="9210" max="9210" width="13.6640625" style="35" customWidth="1"/>
    <col min="9211" max="9211" width="10.83203125" style="35" customWidth="1"/>
    <col min="9212" max="9212" width="10.33203125" style="35" customWidth="1"/>
    <col min="9213" max="9214" width="9.83203125" style="35" customWidth="1"/>
    <col min="9215" max="9215" width="10.83203125" style="35" customWidth="1"/>
    <col min="9216" max="9216" width="9.33203125" style="35" customWidth="1"/>
    <col min="9217" max="9219" width="9.83203125" style="35" customWidth="1"/>
    <col min="9220" max="9220" width="14.5" style="35" customWidth="1"/>
    <col min="9221" max="9221" width="18.1640625" style="35" customWidth="1"/>
    <col min="9222" max="9222" width="13.1640625" style="35" customWidth="1"/>
    <col min="9223" max="9223" width="13" style="35" customWidth="1"/>
    <col min="9224" max="9224" width="11" style="35" customWidth="1"/>
    <col min="9225" max="9229" width="0" style="35" hidden="1" customWidth="1"/>
    <col min="9230" max="9230" width="14.33203125" style="35" customWidth="1"/>
    <col min="9231" max="9233" width="0" style="35" hidden="1" customWidth="1"/>
    <col min="9234" max="9234" width="14.33203125" style="35" customWidth="1"/>
    <col min="9235" max="9237" width="0" style="35" hidden="1" customWidth="1"/>
    <col min="9238" max="9238" width="14.33203125" style="35" customWidth="1"/>
    <col min="9239" max="9241" width="0" style="35" hidden="1" customWidth="1"/>
    <col min="9242" max="9243" width="14.33203125" style="35" customWidth="1"/>
    <col min="9244" max="9244" width="14.1640625" style="35" customWidth="1"/>
    <col min="9245" max="9245" width="10.5" style="35" customWidth="1"/>
    <col min="9246" max="9246" width="10.1640625" style="35" customWidth="1"/>
    <col min="9247" max="9247" width="11.6640625" style="35" customWidth="1"/>
    <col min="9248" max="9248" width="9.83203125" style="35" customWidth="1"/>
    <col min="9249" max="9249" width="10.1640625" style="35" customWidth="1"/>
    <col min="9250" max="9250" width="9" style="35" customWidth="1"/>
    <col min="9251" max="9251" width="9.83203125" style="35" customWidth="1"/>
    <col min="9252" max="9252" width="9" style="35" customWidth="1"/>
    <col min="9253" max="9441" width="9.33203125" style="35"/>
    <col min="9442" max="9442" width="13.5" style="35" customWidth="1"/>
    <col min="9443" max="9443" width="12.83203125" style="35" customWidth="1"/>
    <col min="9444" max="9444" width="11.1640625" style="35" customWidth="1"/>
    <col min="9445" max="9445" width="10.6640625" style="35" customWidth="1"/>
    <col min="9446" max="9446" width="8.5" style="35" customWidth="1"/>
    <col min="9447" max="9456" width="0" style="35" hidden="1" customWidth="1"/>
    <col min="9457" max="9457" width="12.5" style="35" customWidth="1"/>
    <col min="9458" max="9458" width="13.6640625" style="35" customWidth="1"/>
    <col min="9459" max="9462" width="0" style="35" hidden="1" customWidth="1"/>
    <col min="9463" max="9463" width="13.6640625" style="35" customWidth="1"/>
    <col min="9464" max="9464" width="12.5" style="35" customWidth="1"/>
    <col min="9465" max="9465" width="15.5" style="35" customWidth="1"/>
    <col min="9466" max="9466" width="13.6640625" style="35" customWidth="1"/>
    <col min="9467" max="9467" width="10.83203125" style="35" customWidth="1"/>
    <col min="9468" max="9468" width="10.33203125" style="35" customWidth="1"/>
    <col min="9469" max="9470" width="9.83203125" style="35" customWidth="1"/>
    <col min="9471" max="9471" width="10.83203125" style="35" customWidth="1"/>
    <col min="9472" max="9472" width="9.33203125" style="35" customWidth="1"/>
    <col min="9473" max="9475" width="9.83203125" style="35" customWidth="1"/>
    <col min="9476" max="9476" width="14.5" style="35" customWidth="1"/>
    <col min="9477" max="9477" width="18.1640625" style="35" customWidth="1"/>
    <col min="9478" max="9478" width="13.1640625" style="35" customWidth="1"/>
    <col min="9479" max="9479" width="13" style="35" customWidth="1"/>
    <col min="9480" max="9480" width="11" style="35" customWidth="1"/>
    <col min="9481" max="9485" width="0" style="35" hidden="1" customWidth="1"/>
    <col min="9486" max="9486" width="14.33203125" style="35" customWidth="1"/>
    <col min="9487" max="9489" width="0" style="35" hidden="1" customWidth="1"/>
    <col min="9490" max="9490" width="14.33203125" style="35" customWidth="1"/>
    <col min="9491" max="9493" width="0" style="35" hidden="1" customWidth="1"/>
    <col min="9494" max="9494" width="14.33203125" style="35" customWidth="1"/>
    <col min="9495" max="9497" width="0" style="35" hidden="1" customWidth="1"/>
    <col min="9498" max="9499" width="14.33203125" style="35" customWidth="1"/>
    <col min="9500" max="9500" width="14.1640625" style="35" customWidth="1"/>
    <col min="9501" max="9501" width="10.5" style="35" customWidth="1"/>
    <col min="9502" max="9502" width="10.1640625" style="35" customWidth="1"/>
    <col min="9503" max="9503" width="11.6640625" style="35" customWidth="1"/>
    <col min="9504" max="9504" width="9.83203125" style="35" customWidth="1"/>
    <col min="9505" max="9505" width="10.1640625" style="35" customWidth="1"/>
    <col min="9506" max="9506" width="9" style="35" customWidth="1"/>
    <col min="9507" max="9507" width="9.83203125" style="35" customWidth="1"/>
    <col min="9508" max="9508" width="9" style="35" customWidth="1"/>
    <col min="9509" max="9697" width="9.33203125" style="35"/>
    <col min="9698" max="9698" width="13.5" style="35" customWidth="1"/>
    <col min="9699" max="9699" width="12.83203125" style="35" customWidth="1"/>
    <col min="9700" max="9700" width="11.1640625" style="35" customWidth="1"/>
    <col min="9701" max="9701" width="10.6640625" style="35" customWidth="1"/>
    <col min="9702" max="9702" width="8.5" style="35" customWidth="1"/>
    <col min="9703" max="9712" width="0" style="35" hidden="1" customWidth="1"/>
    <col min="9713" max="9713" width="12.5" style="35" customWidth="1"/>
    <col min="9714" max="9714" width="13.6640625" style="35" customWidth="1"/>
    <col min="9715" max="9718" width="0" style="35" hidden="1" customWidth="1"/>
    <col min="9719" max="9719" width="13.6640625" style="35" customWidth="1"/>
    <col min="9720" max="9720" width="12.5" style="35" customWidth="1"/>
    <col min="9721" max="9721" width="15.5" style="35" customWidth="1"/>
    <col min="9722" max="9722" width="13.6640625" style="35" customWidth="1"/>
    <col min="9723" max="9723" width="10.83203125" style="35" customWidth="1"/>
    <col min="9724" max="9724" width="10.33203125" style="35" customWidth="1"/>
    <col min="9725" max="9726" width="9.83203125" style="35" customWidth="1"/>
    <col min="9727" max="9727" width="10.83203125" style="35" customWidth="1"/>
    <col min="9728" max="9728" width="9.33203125" style="35" customWidth="1"/>
    <col min="9729" max="9731" width="9.83203125" style="35" customWidth="1"/>
    <col min="9732" max="9732" width="14.5" style="35" customWidth="1"/>
    <col min="9733" max="9733" width="18.1640625" style="35" customWidth="1"/>
    <col min="9734" max="9734" width="13.1640625" style="35" customWidth="1"/>
    <col min="9735" max="9735" width="13" style="35" customWidth="1"/>
    <col min="9736" max="9736" width="11" style="35" customWidth="1"/>
    <col min="9737" max="9741" width="0" style="35" hidden="1" customWidth="1"/>
    <col min="9742" max="9742" width="14.33203125" style="35" customWidth="1"/>
    <col min="9743" max="9745" width="0" style="35" hidden="1" customWidth="1"/>
    <col min="9746" max="9746" width="14.33203125" style="35" customWidth="1"/>
    <col min="9747" max="9749" width="0" style="35" hidden="1" customWidth="1"/>
    <col min="9750" max="9750" width="14.33203125" style="35" customWidth="1"/>
    <col min="9751" max="9753" width="0" style="35" hidden="1" customWidth="1"/>
    <col min="9754" max="9755" width="14.33203125" style="35" customWidth="1"/>
    <col min="9756" max="9756" width="14.1640625" style="35" customWidth="1"/>
    <col min="9757" max="9757" width="10.5" style="35" customWidth="1"/>
    <col min="9758" max="9758" width="10.1640625" style="35" customWidth="1"/>
    <col min="9759" max="9759" width="11.6640625" style="35" customWidth="1"/>
    <col min="9760" max="9760" width="9.83203125" style="35" customWidth="1"/>
    <col min="9761" max="9761" width="10.1640625" style="35" customWidth="1"/>
    <col min="9762" max="9762" width="9" style="35" customWidth="1"/>
    <col min="9763" max="9763" width="9.83203125" style="35" customWidth="1"/>
    <col min="9764" max="9764" width="9" style="35" customWidth="1"/>
    <col min="9765" max="9953" width="9.33203125" style="35"/>
    <col min="9954" max="9954" width="13.5" style="35" customWidth="1"/>
    <col min="9955" max="9955" width="12.83203125" style="35" customWidth="1"/>
    <col min="9956" max="9956" width="11.1640625" style="35" customWidth="1"/>
    <col min="9957" max="9957" width="10.6640625" style="35" customWidth="1"/>
    <col min="9958" max="9958" width="8.5" style="35" customWidth="1"/>
    <col min="9959" max="9968" width="0" style="35" hidden="1" customWidth="1"/>
    <col min="9969" max="9969" width="12.5" style="35" customWidth="1"/>
    <col min="9970" max="9970" width="13.6640625" style="35" customWidth="1"/>
    <col min="9971" max="9974" width="0" style="35" hidden="1" customWidth="1"/>
    <col min="9975" max="9975" width="13.6640625" style="35" customWidth="1"/>
    <col min="9976" max="9976" width="12.5" style="35" customWidth="1"/>
    <col min="9977" max="9977" width="15.5" style="35" customWidth="1"/>
    <col min="9978" max="9978" width="13.6640625" style="35" customWidth="1"/>
    <col min="9979" max="9979" width="10.83203125" style="35" customWidth="1"/>
    <col min="9980" max="9980" width="10.33203125" style="35" customWidth="1"/>
    <col min="9981" max="9982" width="9.83203125" style="35" customWidth="1"/>
    <col min="9983" max="9983" width="10.83203125" style="35" customWidth="1"/>
    <col min="9984" max="9984" width="9.33203125" style="35" customWidth="1"/>
    <col min="9985" max="9987" width="9.83203125" style="35" customWidth="1"/>
    <col min="9988" max="9988" width="14.5" style="35" customWidth="1"/>
    <col min="9989" max="9989" width="18.1640625" style="35" customWidth="1"/>
    <col min="9990" max="9990" width="13.1640625" style="35" customWidth="1"/>
    <col min="9991" max="9991" width="13" style="35" customWidth="1"/>
    <col min="9992" max="9992" width="11" style="35" customWidth="1"/>
    <col min="9993" max="9997" width="0" style="35" hidden="1" customWidth="1"/>
    <col min="9998" max="9998" width="14.33203125" style="35" customWidth="1"/>
    <col min="9999" max="10001" width="0" style="35" hidden="1" customWidth="1"/>
    <col min="10002" max="10002" width="14.33203125" style="35" customWidth="1"/>
    <col min="10003" max="10005" width="0" style="35" hidden="1" customWidth="1"/>
    <col min="10006" max="10006" width="14.33203125" style="35" customWidth="1"/>
    <col min="10007" max="10009" width="0" style="35" hidden="1" customWidth="1"/>
    <col min="10010" max="10011" width="14.33203125" style="35" customWidth="1"/>
    <col min="10012" max="10012" width="14.1640625" style="35" customWidth="1"/>
    <col min="10013" max="10013" width="10.5" style="35" customWidth="1"/>
    <col min="10014" max="10014" width="10.1640625" style="35" customWidth="1"/>
    <col min="10015" max="10015" width="11.6640625" style="35" customWidth="1"/>
    <col min="10016" max="10016" width="9.83203125" style="35" customWidth="1"/>
    <col min="10017" max="10017" width="10.1640625" style="35" customWidth="1"/>
    <col min="10018" max="10018" width="9" style="35" customWidth="1"/>
    <col min="10019" max="10019" width="9.83203125" style="35" customWidth="1"/>
    <col min="10020" max="10020" width="9" style="35" customWidth="1"/>
    <col min="10021" max="10209" width="9.33203125" style="35"/>
    <col min="10210" max="10210" width="13.5" style="35" customWidth="1"/>
    <col min="10211" max="10211" width="12.83203125" style="35" customWidth="1"/>
    <col min="10212" max="10212" width="11.1640625" style="35" customWidth="1"/>
    <col min="10213" max="10213" width="10.6640625" style="35" customWidth="1"/>
    <col min="10214" max="10214" width="8.5" style="35" customWidth="1"/>
    <col min="10215" max="10224" width="0" style="35" hidden="1" customWidth="1"/>
    <col min="10225" max="10225" width="12.5" style="35" customWidth="1"/>
    <col min="10226" max="10226" width="13.6640625" style="35" customWidth="1"/>
    <col min="10227" max="10230" width="0" style="35" hidden="1" customWidth="1"/>
    <col min="10231" max="10231" width="13.6640625" style="35" customWidth="1"/>
    <col min="10232" max="10232" width="12.5" style="35" customWidth="1"/>
    <col min="10233" max="10233" width="15.5" style="35" customWidth="1"/>
    <col min="10234" max="10234" width="13.6640625" style="35" customWidth="1"/>
    <col min="10235" max="10235" width="10.83203125" style="35" customWidth="1"/>
    <col min="10236" max="10236" width="10.33203125" style="35" customWidth="1"/>
    <col min="10237" max="10238" width="9.83203125" style="35" customWidth="1"/>
    <col min="10239" max="10239" width="10.83203125" style="35" customWidth="1"/>
    <col min="10240" max="10240" width="9.33203125" style="35" customWidth="1"/>
    <col min="10241" max="10243" width="9.83203125" style="35" customWidth="1"/>
    <col min="10244" max="10244" width="14.5" style="35" customWidth="1"/>
    <col min="10245" max="10245" width="18.1640625" style="35" customWidth="1"/>
    <col min="10246" max="10246" width="13.1640625" style="35" customWidth="1"/>
    <col min="10247" max="10247" width="13" style="35" customWidth="1"/>
    <col min="10248" max="10248" width="11" style="35" customWidth="1"/>
    <col min="10249" max="10253" width="0" style="35" hidden="1" customWidth="1"/>
    <col min="10254" max="10254" width="14.33203125" style="35" customWidth="1"/>
    <col min="10255" max="10257" width="0" style="35" hidden="1" customWidth="1"/>
    <col min="10258" max="10258" width="14.33203125" style="35" customWidth="1"/>
    <col min="10259" max="10261" width="0" style="35" hidden="1" customWidth="1"/>
    <col min="10262" max="10262" width="14.33203125" style="35" customWidth="1"/>
    <col min="10263" max="10265" width="0" style="35" hidden="1" customWidth="1"/>
    <col min="10266" max="10267" width="14.33203125" style="35" customWidth="1"/>
    <col min="10268" max="10268" width="14.1640625" style="35" customWidth="1"/>
    <col min="10269" max="10269" width="10.5" style="35" customWidth="1"/>
    <col min="10270" max="10270" width="10.1640625" style="35" customWidth="1"/>
    <col min="10271" max="10271" width="11.6640625" style="35" customWidth="1"/>
    <col min="10272" max="10272" width="9.83203125" style="35" customWidth="1"/>
    <col min="10273" max="10273" width="10.1640625" style="35" customWidth="1"/>
    <col min="10274" max="10274" width="9" style="35" customWidth="1"/>
    <col min="10275" max="10275" width="9.83203125" style="35" customWidth="1"/>
    <col min="10276" max="10276" width="9" style="35" customWidth="1"/>
    <col min="10277" max="10465" width="9.33203125" style="35"/>
    <col min="10466" max="10466" width="13.5" style="35" customWidth="1"/>
    <col min="10467" max="10467" width="12.83203125" style="35" customWidth="1"/>
    <col min="10468" max="10468" width="11.1640625" style="35" customWidth="1"/>
    <col min="10469" max="10469" width="10.6640625" style="35" customWidth="1"/>
    <col min="10470" max="10470" width="8.5" style="35" customWidth="1"/>
    <col min="10471" max="10480" width="0" style="35" hidden="1" customWidth="1"/>
    <col min="10481" max="10481" width="12.5" style="35" customWidth="1"/>
    <col min="10482" max="10482" width="13.6640625" style="35" customWidth="1"/>
    <col min="10483" max="10486" width="0" style="35" hidden="1" customWidth="1"/>
    <col min="10487" max="10487" width="13.6640625" style="35" customWidth="1"/>
    <col min="10488" max="10488" width="12.5" style="35" customWidth="1"/>
    <col min="10489" max="10489" width="15.5" style="35" customWidth="1"/>
    <col min="10490" max="10490" width="13.6640625" style="35" customWidth="1"/>
    <col min="10491" max="10491" width="10.83203125" style="35" customWidth="1"/>
    <col min="10492" max="10492" width="10.33203125" style="35" customWidth="1"/>
    <col min="10493" max="10494" width="9.83203125" style="35" customWidth="1"/>
    <col min="10495" max="10495" width="10.83203125" style="35" customWidth="1"/>
    <col min="10496" max="10496" width="9.33203125" style="35" customWidth="1"/>
    <col min="10497" max="10499" width="9.83203125" style="35" customWidth="1"/>
    <col min="10500" max="10500" width="14.5" style="35" customWidth="1"/>
    <col min="10501" max="10501" width="18.1640625" style="35" customWidth="1"/>
    <col min="10502" max="10502" width="13.1640625" style="35" customWidth="1"/>
    <col min="10503" max="10503" width="13" style="35" customWidth="1"/>
    <col min="10504" max="10504" width="11" style="35" customWidth="1"/>
    <col min="10505" max="10509" width="0" style="35" hidden="1" customWidth="1"/>
    <col min="10510" max="10510" width="14.33203125" style="35" customWidth="1"/>
    <col min="10511" max="10513" width="0" style="35" hidden="1" customWidth="1"/>
    <col min="10514" max="10514" width="14.33203125" style="35" customWidth="1"/>
    <col min="10515" max="10517" width="0" style="35" hidden="1" customWidth="1"/>
    <col min="10518" max="10518" width="14.33203125" style="35" customWidth="1"/>
    <col min="10519" max="10521" width="0" style="35" hidden="1" customWidth="1"/>
    <col min="10522" max="10523" width="14.33203125" style="35" customWidth="1"/>
    <col min="10524" max="10524" width="14.1640625" style="35" customWidth="1"/>
    <col min="10525" max="10525" width="10.5" style="35" customWidth="1"/>
    <col min="10526" max="10526" width="10.1640625" style="35" customWidth="1"/>
    <col min="10527" max="10527" width="11.6640625" style="35" customWidth="1"/>
    <col min="10528" max="10528" width="9.83203125" style="35" customWidth="1"/>
    <col min="10529" max="10529" width="10.1640625" style="35" customWidth="1"/>
    <col min="10530" max="10530" width="9" style="35" customWidth="1"/>
    <col min="10531" max="10531" width="9.83203125" style="35" customWidth="1"/>
    <col min="10532" max="10532" width="9" style="35" customWidth="1"/>
    <col min="10533" max="10721" width="9.33203125" style="35"/>
    <col min="10722" max="10722" width="13.5" style="35" customWidth="1"/>
    <col min="10723" max="10723" width="12.83203125" style="35" customWidth="1"/>
    <col min="10724" max="10724" width="11.1640625" style="35" customWidth="1"/>
    <col min="10725" max="10725" width="10.6640625" style="35" customWidth="1"/>
    <col min="10726" max="10726" width="8.5" style="35" customWidth="1"/>
    <col min="10727" max="10736" width="0" style="35" hidden="1" customWidth="1"/>
    <col min="10737" max="10737" width="12.5" style="35" customWidth="1"/>
    <col min="10738" max="10738" width="13.6640625" style="35" customWidth="1"/>
    <col min="10739" max="10742" width="0" style="35" hidden="1" customWidth="1"/>
    <col min="10743" max="10743" width="13.6640625" style="35" customWidth="1"/>
    <col min="10744" max="10744" width="12.5" style="35" customWidth="1"/>
    <col min="10745" max="10745" width="15.5" style="35" customWidth="1"/>
    <col min="10746" max="10746" width="13.6640625" style="35" customWidth="1"/>
    <col min="10747" max="10747" width="10.83203125" style="35" customWidth="1"/>
    <col min="10748" max="10748" width="10.33203125" style="35" customWidth="1"/>
    <col min="10749" max="10750" width="9.83203125" style="35" customWidth="1"/>
    <col min="10751" max="10751" width="10.83203125" style="35" customWidth="1"/>
    <col min="10752" max="10752" width="9.33203125" style="35" customWidth="1"/>
    <col min="10753" max="10755" width="9.83203125" style="35" customWidth="1"/>
    <col min="10756" max="10756" width="14.5" style="35" customWidth="1"/>
    <col min="10757" max="10757" width="18.1640625" style="35" customWidth="1"/>
    <col min="10758" max="10758" width="13.1640625" style="35" customWidth="1"/>
    <col min="10759" max="10759" width="13" style="35" customWidth="1"/>
    <col min="10760" max="10760" width="11" style="35" customWidth="1"/>
    <col min="10761" max="10765" width="0" style="35" hidden="1" customWidth="1"/>
    <col min="10766" max="10766" width="14.33203125" style="35" customWidth="1"/>
    <col min="10767" max="10769" width="0" style="35" hidden="1" customWidth="1"/>
    <col min="10770" max="10770" width="14.33203125" style="35" customWidth="1"/>
    <col min="10771" max="10773" width="0" style="35" hidden="1" customWidth="1"/>
    <col min="10774" max="10774" width="14.33203125" style="35" customWidth="1"/>
    <col min="10775" max="10777" width="0" style="35" hidden="1" customWidth="1"/>
    <col min="10778" max="10779" width="14.33203125" style="35" customWidth="1"/>
    <col min="10780" max="10780" width="14.1640625" style="35" customWidth="1"/>
    <col min="10781" max="10781" width="10.5" style="35" customWidth="1"/>
    <col min="10782" max="10782" width="10.1640625" style="35" customWidth="1"/>
    <col min="10783" max="10783" width="11.6640625" style="35" customWidth="1"/>
    <col min="10784" max="10784" width="9.83203125" style="35" customWidth="1"/>
    <col min="10785" max="10785" width="10.1640625" style="35" customWidth="1"/>
    <col min="10786" max="10786" width="9" style="35" customWidth="1"/>
    <col min="10787" max="10787" width="9.83203125" style="35" customWidth="1"/>
    <col min="10788" max="10788" width="9" style="35" customWidth="1"/>
    <col min="10789" max="10977" width="9.33203125" style="35"/>
    <col min="10978" max="10978" width="13.5" style="35" customWidth="1"/>
    <col min="10979" max="10979" width="12.83203125" style="35" customWidth="1"/>
    <col min="10980" max="10980" width="11.1640625" style="35" customWidth="1"/>
    <col min="10981" max="10981" width="10.6640625" style="35" customWidth="1"/>
    <col min="10982" max="10982" width="8.5" style="35" customWidth="1"/>
    <col min="10983" max="10992" width="0" style="35" hidden="1" customWidth="1"/>
    <col min="10993" max="10993" width="12.5" style="35" customWidth="1"/>
    <col min="10994" max="10994" width="13.6640625" style="35" customWidth="1"/>
    <col min="10995" max="10998" width="0" style="35" hidden="1" customWidth="1"/>
    <col min="10999" max="10999" width="13.6640625" style="35" customWidth="1"/>
    <col min="11000" max="11000" width="12.5" style="35" customWidth="1"/>
    <col min="11001" max="11001" width="15.5" style="35" customWidth="1"/>
    <col min="11002" max="11002" width="13.6640625" style="35" customWidth="1"/>
    <col min="11003" max="11003" width="10.83203125" style="35" customWidth="1"/>
    <col min="11004" max="11004" width="10.33203125" style="35" customWidth="1"/>
    <col min="11005" max="11006" width="9.83203125" style="35" customWidth="1"/>
    <col min="11007" max="11007" width="10.83203125" style="35" customWidth="1"/>
    <col min="11008" max="11008" width="9.33203125" style="35" customWidth="1"/>
    <col min="11009" max="11011" width="9.83203125" style="35" customWidth="1"/>
    <col min="11012" max="11012" width="14.5" style="35" customWidth="1"/>
    <col min="11013" max="11013" width="18.1640625" style="35" customWidth="1"/>
    <col min="11014" max="11014" width="13.1640625" style="35" customWidth="1"/>
    <col min="11015" max="11015" width="13" style="35" customWidth="1"/>
    <col min="11016" max="11016" width="11" style="35" customWidth="1"/>
    <col min="11017" max="11021" width="0" style="35" hidden="1" customWidth="1"/>
    <col min="11022" max="11022" width="14.33203125" style="35" customWidth="1"/>
    <col min="11023" max="11025" width="0" style="35" hidden="1" customWidth="1"/>
    <col min="11026" max="11026" width="14.33203125" style="35" customWidth="1"/>
    <col min="11027" max="11029" width="0" style="35" hidden="1" customWidth="1"/>
    <col min="11030" max="11030" width="14.33203125" style="35" customWidth="1"/>
    <col min="11031" max="11033" width="0" style="35" hidden="1" customWidth="1"/>
    <col min="11034" max="11035" width="14.33203125" style="35" customWidth="1"/>
    <col min="11036" max="11036" width="14.1640625" style="35" customWidth="1"/>
    <col min="11037" max="11037" width="10.5" style="35" customWidth="1"/>
    <col min="11038" max="11038" width="10.1640625" style="35" customWidth="1"/>
    <col min="11039" max="11039" width="11.6640625" style="35" customWidth="1"/>
    <col min="11040" max="11040" width="9.83203125" style="35" customWidth="1"/>
    <col min="11041" max="11041" width="10.1640625" style="35" customWidth="1"/>
    <col min="11042" max="11042" width="9" style="35" customWidth="1"/>
    <col min="11043" max="11043" width="9.83203125" style="35" customWidth="1"/>
    <col min="11044" max="11044" width="9" style="35" customWidth="1"/>
    <col min="11045" max="11233" width="9.33203125" style="35"/>
    <col min="11234" max="11234" width="13.5" style="35" customWidth="1"/>
    <col min="11235" max="11235" width="12.83203125" style="35" customWidth="1"/>
    <col min="11236" max="11236" width="11.1640625" style="35" customWidth="1"/>
    <col min="11237" max="11237" width="10.6640625" style="35" customWidth="1"/>
    <col min="11238" max="11238" width="8.5" style="35" customWidth="1"/>
    <col min="11239" max="11248" width="0" style="35" hidden="1" customWidth="1"/>
    <col min="11249" max="11249" width="12.5" style="35" customWidth="1"/>
    <col min="11250" max="11250" width="13.6640625" style="35" customWidth="1"/>
    <col min="11251" max="11254" width="0" style="35" hidden="1" customWidth="1"/>
    <col min="11255" max="11255" width="13.6640625" style="35" customWidth="1"/>
    <col min="11256" max="11256" width="12.5" style="35" customWidth="1"/>
    <col min="11257" max="11257" width="15.5" style="35" customWidth="1"/>
    <col min="11258" max="11258" width="13.6640625" style="35" customWidth="1"/>
    <col min="11259" max="11259" width="10.83203125" style="35" customWidth="1"/>
    <col min="11260" max="11260" width="10.33203125" style="35" customWidth="1"/>
    <col min="11261" max="11262" width="9.83203125" style="35" customWidth="1"/>
    <col min="11263" max="11263" width="10.83203125" style="35" customWidth="1"/>
    <col min="11264" max="11264" width="9.33203125" style="35" customWidth="1"/>
    <col min="11265" max="11267" width="9.83203125" style="35" customWidth="1"/>
    <col min="11268" max="11268" width="14.5" style="35" customWidth="1"/>
    <col min="11269" max="11269" width="18.1640625" style="35" customWidth="1"/>
    <col min="11270" max="11270" width="13.1640625" style="35" customWidth="1"/>
    <col min="11271" max="11271" width="13" style="35" customWidth="1"/>
    <col min="11272" max="11272" width="11" style="35" customWidth="1"/>
    <col min="11273" max="11277" width="0" style="35" hidden="1" customWidth="1"/>
    <col min="11278" max="11278" width="14.33203125" style="35" customWidth="1"/>
    <col min="11279" max="11281" width="0" style="35" hidden="1" customWidth="1"/>
    <col min="11282" max="11282" width="14.33203125" style="35" customWidth="1"/>
    <col min="11283" max="11285" width="0" style="35" hidden="1" customWidth="1"/>
    <col min="11286" max="11286" width="14.33203125" style="35" customWidth="1"/>
    <col min="11287" max="11289" width="0" style="35" hidden="1" customWidth="1"/>
    <col min="11290" max="11291" width="14.33203125" style="35" customWidth="1"/>
    <col min="11292" max="11292" width="14.1640625" style="35" customWidth="1"/>
    <col min="11293" max="11293" width="10.5" style="35" customWidth="1"/>
    <col min="11294" max="11294" width="10.1640625" style="35" customWidth="1"/>
    <col min="11295" max="11295" width="11.6640625" style="35" customWidth="1"/>
    <col min="11296" max="11296" width="9.83203125" style="35" customWidth="1"/>
    <col min="11297" max="11297" width="10.1640625" style="35" customWidth="1"/>
    <col min="11298" max="11298" width="9" style="35" customWidth="1"/>
    <col min="11299" max="11299" width="9.83203125" style="35" customWidth="1"/>
    <col min="11300" max="11300" width="9" style="35" customWidth="1"/>
    <col min="11301" max="11489" width="9.33203125" style="35"/>
    <col min="11490" max="11490" width="13.5" style="35" customWidth="1"/>
    <col min="11491" max="11491" width="12.83203125" style="35" customWidth="1"/>
    <col min="11492" max="11492" width="11.1640625" style="35" customWidth="1"/>
    <col min="11493" max="11493" width="10.6640625" style="35" customWidth="1"/>
    <col min="11494" max="11494" width="8.5" style="35" customWidth="1"/>
    <col min="11495" max="11504" width="0" style="35" hidden="1" customWidth="1"/>
    <col min="11505" max="11505" width="12.5" style="35" customWidth="1"/>
    <col min="11506" max="11506" width="13.6640625" style="35" customWidth="1"/>
    <col min="11507" max="11510" width="0" style="35" hidden="1" customWidth="1"/>
    <col min="11511" max="11511" width="13.6640625" style="35" customWidth="1"/>
    <col min="11512" max="11512" width="12.5" style="35" customWidth="1"/>
    <col min="11513" max="11513" width="15.5" style="35" customWidth="1"/>
    <col min="11514" max="11514" width="13.6640625" style="35" customWidth="1"/>
    <col min="11515" max="11515" width="10.83203125" style="35" customWidth="1"/>
    <col min="11516" max="11516" width="10.33203125" style="35" customWidth="1"/>
    <col min="11517" max="11518" width="9.83203125" style="35" customWidth="1"/>
    <col min="11519" max="11519" width="10.83203125" style="35" customWidth="1"/>
    <col min="11520" max="11520" width="9.33203125" style="35" customWidth="1"/>
    <col min="11521" max="11523" width="9.83203125" style="35" customWidth="1"/>
    <col min="11524" max="11524" width="14.5" style="35" customWidth="1"/>
    <col min="11525" max="11525" width="18.1640625" style="35" customWidth="1"/>
    <col min="11526" max="11526" width="13.1640625" style="35" customWidth="1"/>
    <col min="11527" max="11527" width="13" style="35" customWidth="1"/>
    <col min="11528" max="11528" width="11" style="35" customWidth="1"/>
    <col min="11529" max="11533" width="0" style="35" hidden="1" customWidth="1"/>
    <col min="11534" max="11534" width="14.33203125" style="35" customWidth="1"/>
    <col min="11535" max="11537" width="0" style="35" hidden="1" customWidth="1"/>
    <col min="11538" max="11538" width="14.33203125" style="35" customWidth="1"/>
    <col min="11539" max="11541" width="0" style="35" hidden="1" customWidth="1"/>
    <col min="11542" max="11542" width="14.33203125" style="35" customWidth="1"/>
    <col min="11543" max="11545" width="0" style="35" hidden="1" customWidth="1"/>
    <col min="11546" max="11547" width="14.33203125" style="35" customWidth="1"/>
    <col min="11548" max="11548" width="14.1640625" style="35" customWidth="1"/>
    <col min="11549" max="11549" width="10.5" style="35" customWidth="1"/>
    <col min="11550" max="11550" width="10.1640625" style="35" customWidth="1"/>
    <col min="11551" max="11551" width="11.6640625" style="35" customWidth="1"/>
    <col min="11552" max="11552" width="9.83203125" style="35" customWidth="1"/>
    <col min="11553" max="11553" width="10.1640625" style="35" customWidth="1"/>
    <col min="11554" max="11554" width="9" style="35" customWidth="1"/>
    <col min="11555" max="11555" width="9.83203125" style="35" customWidth="1"/>
    <col min="11556" max="11556" width="9" style="35" customWidth="1"/>
    <col min="11557" max="11745" width="9.33203125" style="35"/>
    <col min="11746" max="11746" width="13.5" style="35" customWidth="1"/>
    <col min="11747" max="11747" width="12.83203125" style="35" customWidth="1"/>
    <col min="11748" max="11748" width="11.1640625" style="35" customWidth="1"/>
    <col min="11749" max="11749" width="10.6640625" style="35" customWidth="1"/>
    <col min="11750" max="11750" width="8.5" style="35" customWidth="1"/>
    <col min="11751" max="11760" width="0" style="35" hidden="1" customWidth="1"/>
    <col min="11761" max="11761" width="12.5" style="35" customWidth="1"/>
    <col min="11762" max="11762" width="13.6640625" style="35" customWidth="1"/>
    <col min="11763" max="11766" width="0" style="35" hidden="1" customWidth="1"/>
    <col min="11767" max="11767" width="13.6640625" style="35" customWidth="1"/>
    <col min="11768" max="11768" width="12.5" style="35" customWidth="1"/>
    <col min="11769" max="11769" width="15.5" style="35" customWidth="1"/>
    <col min="11770" max="11770" width="13.6640625" style="35" customWidth="1"/>
    <col min="11771" max="11771" width="10.83203125" style="35" customWidth="1"/>
    <col min="11772" max="11772" width="10.33203125" style="35" customWidth="1"/>
    <col min="11773" max="11774" width="9.83203125" style="35" customWidth="1"/>
    <col min="11775" max="11775" width="10.83203125" style="35" customWidth="1"/>
    <col min="11776" max="11776" width="9.33203125" style="35" customWidth="1"/>
    <col min="11777" max="11779" width="9.83203125" style="35" customWidth="1"/>
    <col min="11780" max="11780" width="14.5" style="35" customWidth="1"/>
    <col min="11781" max="11781" width="18.1640625" style="35" customWidth="1"/>
    <col min="11782" max="11782" width="13.1640625" style="35" customWidth="1"/>
    <col min="11783" max="11783" width="13" style="35" customWidth="1"/>
    <col min="11784" max="11784" width="11" style="35" customWidth="1"/>
    <col min="11785" max="11789" width="0" style="35" hidden="1" customWidth="1"/>
    <col min="11790" max="11790" width="14.33203125" style="35" customWidth="1"/>
    <col min="11791" max="11793" width="0" style="35" hidden="1" customWidth="1"/>
    <col min="11794" max="11794" width="14.33203125" style="35" customWidth="1"/>
    <col min="11795" max="11797" width="0" style="35" hidden="1" customWidth="1"/>
    <col min="11798" max="11798" width="14.33203125" style="35" customWidth="1"/>
    <col min="11799" max="11801" width="0" style="35" hidden="1" customWidth="1"/>
    <col min="11802" max="11803" width="14.33203125" style="35" customWidth="1"/>
    <col min="11804" max="11804" width="14.1640625" style="35" customWidth="1"/>
    <col min="11805" max="11805" width="10.5" style="35" customWidth="1"/>
    <col min="11806" max="11806" width="10.1640625" style="35" customWidth="1"/>
    <col min="11807" max="11807" width="11.6640625" style="35" customWidth="1"/>
    <col min="11808" max="11808" width="9.83203125" style="35" customWidth="1"/>
    <col min="11809" max="11809" width="10.1640625" style="35" customWidth="1"/>
    <col min="11810" max="11810" width="9" style="35" customWidth="1"/>
    <col min="11811" max="11811" width="9.83203125" style="35" customWidth="1"/>
    <col min="11812" max="11812" width="9" style="35" customWidth="1"/>
    <col min="11813" max="12001" width="9.33203125" style="35"/>
    <col min="12002" max="12002" width="13.5" style="35" customWidth="1"/>
    <col min="12003" max="12003" width="12.83203125" style="35" customWidth="1"/>
    <col min="12004" max="12004" width="11.1640625" style="35" customWidth="1"/>
    <col min="12005" max="12005" width="10.6640625" style="35" customWidth="1"/>
    <col min="12006" max="12006" width="8.5" style="35" customWidth="1"/>
    <col min="12007" max="12016" width="0" style="35" hidden="1" customWidth="1"/>
    <col min="12017" max="12017" width="12.5" style="35" customWidth="1"/>
    <col min="12018" max="12018" width="13.6640625" style="35" customWidth="1"/>
    <col min="12019" max="12022" width="0" style="35" hidden="1" customWidth="1"/>
    <col min="12023" max="12023" width="13.6640625" style="35" customWidth="1"/>
    <col min="12024" max="12024" width="12.5" style="35" customWidth="1"/>
    <col min="12025" max="12025" width="15.5" style="35" customWidth="1"/>
    <col min="12026" max="12026" width="13.6640625" style="35" customWidth="1"/>
    <col min="12027" max="12027" width="10.83203125" style="35" customWidth="1"/>
    <col min="12028" max="12028" width="10.33203125" style="35" customWidth="1"/>
    <col min="12029" max="12030" width="9.83203125" style="35" customWidth="1"/>
    <col min="12031" max="12031" width="10.83203125" style="35" customWidth="1"/>
    <col min="12032" max="12032" width="9.33203125" style="35" customWidth="1"/>
    <col min="12033" max="12035" width="9.83203125" style="35" customWidth="1"/>
    <col min="12036" max="12036" width="14.5" style="35" customWidth="1"/>
    <col min="12037" max="12037" width="18.1640625" style="35" customWidth="1"/>
    <col min="12038" max="12038" width="13.1640625" style="35" customWidth="1"/>
    <col min="12039" max="12039" width="13" style="35" customWidth="1"/>
    <col min="12040" max="12040" width="11" style="35" customWidth="1"/>
    <col min="12041" max="12045" width="0" style="35" hidden="1" customWidth="1"/>
    <col min="12046" max="12046" width="14.33203125" style="35" customWidth="1"/>
    <col min="12047" max="12049" width="0" style="35" hidden="1" customWidth="1"/>
    <col min="12050" max="12050" width="14.33203125" style="35" customWidth="1"/>
    <col min="12051" max="12053" width="0" style="35" hidden="1" customWidth="1"/>
    <col min="12054" max="12054" width="14.33203125" style="35" customWidth="1"/>
    <col min="12055" max="12057" width="0" style="35" hidden="1" customWidth="1"/>
    <col min="12058" max="12059" width="14.33203125" style="35" customWidth="1"/>
    <col min="12060" max="12060" width="14.1640625" style="35" customWidth="1"/>
    <col min="12061" max="12061" width="10.5" style="35" customWidth="1"/>
    <col min="12062" max="12062" width="10.1640625" style="35" customWidth="1"/>
    <col min="12063" max="12063" width="11.6640625" style="35" customWidth="1"/>
    <col min="12064" max="12064" width="9.83203125" style="35" customWidth="1"/>
    <col min="12065" max="12065" width="10.1640625" style="35" customWidth="1"/>
    <col min="12066" max="12066" width="9" style="35" customWidth="1"/>
    <col min="12067" max="12067" width="9.83203125" style="35" customWidth="1"/>
    <col min="12068" max="12068" width="9" style="35" customWidth="1"/>
    <col min="12069" max="12257" width="9.33203125" style="35"/>
    <col min="12258" max="12258" width="13.5" style="35" customWidth="1"/>
    <col min="12259" max="12259" width="12.83203125" style="35" customWidth="1"/>
    <col min="12260" max="12260" width="11.1640625" style="35" customWidth="1"/>
    <col min="12261" max="12261" width="10.6640625" style="35" customWidth="1"/>
    <col min="12262" max="12262" width="8.5" style="35" customWidth="1"/>
    <col min="12263" max="12272" width="0" style="35" hidden="1" customWidth="1"/>
    <col min="12273" max="12273" width="12.5" style="35" customWidth="1"/>
    <col min="12274" max="12274" width="13.6640625" style="35" customWidth="1"/>
    <col min="12275" max="12278" width="0" style="35" hidden="1" customWidth="1"/>
    <col min="12279" max="12279" width="13.6640625" style="35" customWidth="1"/>
    <col min="12280" max="12280" width="12.5" style="35" customWidth="1"/>
    <col min="12281" max="12281" width="15.5" style="35" customWidth="1"/>
    <col min="12282" max="12282" width="13.6640625" style="35" customWidth="1"/>
    <col min="12283" max="12283" width="10.83203125" style="35" customWidth="1"/>
    <col min="12284" max="12284" width="10.33203125" style="35" customWidth="1"/>
    <col min="12285" max="12286" width="9.83203125" style="35" customWidth="1"/>
    <col min="12287" max="12287" width="10.83203125" style="35" customWidth="1"/>
    <col min="12288" max="12288" width="9.33203125" style="35" customWidth="1"/>
    <col min="12289" max="12291" width="9.83203125" style="35" customWidth="1"/>
    <col min="12292" max="12292" width="14.5" style="35" customWidth="1"/>
    <col min="12293" max="12293" width="18.1640625" style="35" customWidth="1"/>
    <col min="12294" max="12294" width="13.1640625" style="35" customWidth="1"/>
    <col min="12295" max="12295" width="13" style="35" customWidth="1"/>
    <col min="12296" max="12296" width="11" style="35" customWidth="1"/>
    <col min="12297" max="12301" width="0" style="35" hidden="1" customWidth="1"/>
    <col min="12302" max="12302" width="14.33203125" style="35" customWidth="1"/>
    <col min="12303" max="12305" width="0" style="35" hidden="1" customWidth="1"/>
    <col min="12306" max="12306" width="14.33203125" style="35" customWidth="1"/>
    <col min="12307" max="12309" width="0" style="35" hidden="1" customWidth="1"/>
    <col min="12310" max="12310" width="14.33203125" style="35" customWidth="1"/>
    <col min="12311" max="12313" width="0" style="35" hidden="1" customWidth="1"/>
    <col min="12314" max="12315" width="14.33203125" style="35" customWidth="1"/>
    <col min="12316" max="12316" width="14.1640625" style="35" customWidth="1"/>
    <col min="12317" max="12317" width="10.5" style="35" customWidth="1"/>
    <col min="12318" max="12318" width="10.1640625" style="35" customWidth="1"/>
    <col min="12319" max="12319" width="11.6640625" style="35" customWidth="1"/>
    <col min="12320" max="12320" width="9.83203125" style="35" customWidth="1"/>
    <col min="12321" max="12321" width="10.1640625" style="35" customWidth="1"/>
    <col min="12322" max="12322" width="9" style="35" customWidth="1"/>
    <col min="12323" max="12323" width="9.83203125" style="35" customWidth="1"/>
    <col min="12324" max="12324" width="9" style="35" customWidth="1"/>
    <col min="12325" max="12513" width="9.33203125" style="35"/>
    <col min="12514" max="12514" width="13.5" style="35" customWidth="1"/>
    <col min="12515" max="12515" width="12.83203125" style="35" customWidth="1"/>
    <col min="12516" max="12516" width="11.1640625" style="35" customWidth="1"/>
    <col min="12517" max="12517" width="10.6640625" style="35" customWidth="1"/>
    <col min="12518" max="12518" width="8.5" style="35" customWidth="1"/>
    <col min="12519" max="12528" width="0" style="35" hidden="1" customWidth="1"/>
    <col min="12529" max="12529" width="12.5" style="35" customWidth="1"/>
    <col min="12530" max="12530" width="13.6640625" style="35" customWidth="1"/>
    <col min="12531" max="12534" width="0" style="35" hidden="1" customWidth="1"/>
    <col min="12535" max="12535" width="13.6640625" style="35" customWidth="1"/>
    <col min="12536" max="12536" width="12.5" style="35" customWidth="1"/>
    <col min="12537" max="12537" width="15.5" style="35" customWidth="1"/>
    <col min="12538" max="12538" width="13.6640625" style="35" customWidth="1"/>
    <col min="12539" max="12539" width="10.83203125" style="35" customWidth="1"/>
    <col min="12540" max="12540" width="10.33203125" style="35" customWidth="1"/>
    <col min="12541" max="12542" width="9.83203125" style="35" customWidth="1"/>
    <col min="12543" max="12543" width="10.83203125" style="35" customWidth="1"/>
    <col min="12544" max="12544" width="9.33203125" style="35" customWidth="1"/>
    <col min="12545" max="12547" width="9.83203125" style="35" customWidth="1"/>
    <col min="12548" max="12548" width="14.5" style="35" customWidth="1"/>
    <col min="12549" max="12549" width="18.1640625" style="35" customWidth="1"/>
    <col min="12550" max="12550" width="13.1640625" style="35" customWidth="1"/>
    <col min="12551" max="12551" width="13" style="35" customWidth="1"/>
    <col min="12552" max="12552" width="11" style="35" customWidth="1"/>
    <col min="12553" max="12557" width="0" style="35" hidden="1" customWidth="1"/>
    <col min="12558" max="12558" width="14.33203125" style="35" customWidth="1"/>
    <col min="12559" max="12561" width="0" style="35" hidden="1" customWidth="1"/>
    <col min="12562" max="12562" width="14.33203125" style="35" customWidth="1"/>
    <col min="12563" max="12565" width="0" style="35" hidden="1" customWidth="1"/>
    <col min="12566" max="12566" width="14.33203125" style="35" customWidth="1"/>
    <col min="12567" max="12569" width="0" style="35" hidden="1" customWidth="1"/>
    <col min="12570" max="12571" width="14.33203125" style="35" customWidth="1"/>
    <col min="12572" max="12572" width="14.1640625" style="35" customWidth="1"/>
    <col min="12573" max="12573" width="10.5" style="35" customWidth="1"/>
    <col min="12574" max="12574" width="10.1640625" style="35" customWidth="1"/>
    <col min="12575" max="12575" width="11.6640625" style="35" customWidth="1"/>
    <col min="12576" max="12576" width="9.83203125" style="35" customWidth="1"/>
    <col min="12577" max="12577" width="10.1640625" style="35" customWidth="1"/>
    <col min="12578" max="12578" width="9" style="35" customWidth="1"/>
    <col min="12579" max="12579" width="9.83203125" style="35" customWidth="1"/>
    <col min="12580" max="12580" width="9" style="35" customWidth="1"/>
    <col min="12581" max="12769" width="9.33203125" style="35"/>
    <col min="12770" max="12770" width="13.5" style="35" customWidth="1"/>
    <col min="12771" max="12771" width="12.83203125" style="35" customWidth="1"/>
    <col min="12772" max="12772" width="11.1640625" style="35" customWidth="1"/>
    <col min="12773" max="12773" width="10.6640625" style="35" customWidth="1"/>
    <col min="12774" max="12774" width="8.5" style="35" customWidth="1"/>
    <col min="12775" max="12784" width="0" style="35" hidden="1" customWidth="1"/>
    <col min="12785" max="12785" width="12.5" style="35" customWidth="1"/>
    <col min="12786" max="12786" width="13.6640625" style="35" customWidth="1"/>
    <col min="12787" max="12790" width="0" style="35" hidden="1" customWidth="1"/>
    <col min="12791" max="12791" width="13.6640625" style="35" customWidth="1"/>
    <col min="12792" max="12792" width="12.5" style="35" customWidth="1"/>
    <col min="12793" max="12793" width="15.5" style="35" customWidth="1"/>
    <col min="12794" max="12794" width="13.6640625" style="35" customWidth="1"/>
    <col min="12795" max="12795" width="10.83203125" style="35" customWidth="1"/>
    <col min="12796" max="12796" width="10.33203125" style="35" customWidth="1"/>
    <col min="12797" max="12798" width="9.83203125" style="35" customWidth="1"/>
    <col min="12799" max="12799" width="10.83203125" style="35" customWidth="1"/>
    <col min="12800" max="12800" width="9.33203125" style="35" customWidth="1"/>
    <col min="12801" max="12803" width="9.83203125" style="35" customWidth="1"/>
    <col min="12804" max="12804" width="14.5" style="35" customWidth="1"/>
    <col min="12805" max="12805" width="18.1640625" style="35" customWidth="1"/>
    <col min="12806" max="12806" width="13.1640625" style="35" customWidth="1"/>
    <col min="12807" max="12807" width="13" style="35" customWidth="1"/>
    <col min="12808" max="12808" width="11" style="35" customWidth="1"/>
    <col min="12809" max="12813" width="0" style="35" hidden="1" customWidth="1"/>
    <col min="12814" max="12814" width="14.33203125" style="35" customWidth="1"/>
    <col min="12815" max="12817" width="0" style="35" hidden="1" customWidth="1"/>
    <col min="12818" max="12818" width="14.33203125" style="35" customWidth="1"/>
    <col min="12819" max="12821" width="0" style="35" hidden="1" customWidth="1"/>
    <col min="12822" max="12822" width="14.33203125" style="35" customWidth="1"/>
    <col min="12823" max="12825" width="0" style="35" hidden="1" customWidth="1"/>
    <col min="12826" max="12827" width="14.33203125" style="35" customWidth="1"/>
    <col min="12828" max="12828" width="14.1640625" style="35" customWidth="1"/>
    <col min="12829" max="12829" width="10.5" style="35" customWidth="1"/>
    <col min="12830" max="12830" width="10.1640625" style="35" customWidth="1"/>
    <col min="12831" max="12831" width="11.6640625" style="35" customWidth="1"/>
    <col min="12832" max="12832" width="9.83203125" style="35" customWidth="1"/>
    <col min="12833" max="12833" width="10.1640625" style="35" customWidth="1"/>
    <col min="12834" max="12834" width="9" style="35" customWidth="1"/>
    <col min="12835" max="12835" width="9.83203125" style="35" customWidth="1"/>
    <col min="12836" max="12836" width="9" style="35" customWidth="1"/>
    <col min="12837" max="13025" width="9.33203125" style="35"/>
    <col min="13026" max="13026" width="13.5" style="35" customWidth="1"/>
    <col min="13027" max="13027" width="12.83203125" style="35" customWidth="1"/>
    <col min="13028" max="13028" width="11.1640625" style="35" customWidth="1"/>
    <col min="13029" max="13029" width="10.6640625" style="35" customWidth="1"/>
    <col min="13030" max="13030" width="8.5" style="35" customWidth="1"/>
    <col min="13031" max="13040" width="0" style="35" hidden="1" customWidth="1"/>
    <col min="13041" max="13041" width="12.5" style="35" customWidth="1"/>
    <col min="13042" max="13042" width="13.6640625" style="35" customWidth="1"/>
    <col min="13043" max="13046" width="0" style="35" hidden="1" customWidth="1"/>
    <col min="13047" max="13047" width="13.6640625" style="35" customWidth="1"/>
    <col min="13048" max="13048" width="12.5" style="35" customWidth="1"/>
    <col min="13049" max="13049" width="15.5" style="35" customWidth="1"/>
    <col min="13050" max="13050" width="13.6640625" style="35" customWidth="1"/>
    <col min="13051" max="13051" width="10.83203125" style="35" customWidth="1"/>
    <col min="13052" max="13052" width="10.33203125" style="35" customWidth="1"/>
    <col min="13053" max="13054" width="9.83203125" style="35" customWidth="1"/>
    <col min="13055" max="13055" width="10.83203125" style="35" customWidth="1"/>
    <col min="13056" max="13056" width="9.33203125" style="35" customWidth="1"/>
    <col min="13057" max="13059" width="9.83203125" style="35" customWidth="1"/>
    <col min="13060" max="13060" width="14.5" style="35" customWidth="1"/>
    <col min="13061" max="13061" width="18.1640625" style="35" customWidth="1"/>
    <col min="13062" max="13062" width="13.1640625" style="35" customWidth="1"/>
    <col min="13063" max="13063" width="13" style="35" customWidth="1"/>
    <col min="13064" max="13064" width="11" style="35" customWidth="1"/>
    <col min="13065" max="13069" width="0" style="35" hidden="1" customWidth="1"/>
    <col min="13070" max="13070" width="14.33203125" style="35" customWidth="1"/>
    <col min="13071" max="13073" width="0" style="35" hidden="1" customWidth="1"/>
    <col min="13074" max="13074" width="14.33203125" style="35" customWidth="1"/>
    <col min="13075" max="13077" width="0" style="35" hidden="1" customWidth="1"/>
    <col min="13078" max="13078" width="14.33203125" style="35" customWidth="1"/>
    <col min="13079" max="13081" width="0" style="35" hidden="1" customWidth="1"/>
    <col min="13082" max="13083" width="14.33203125" style="35" customWidth="1"/>
    <col min="13084" max="13084" width="14.1640625" style="35" customWidth="1"/>
    <col min="13085" max="13085" width="10.5" style="35" customWidth="1"/>
    <col min="13086" max="13086" width="10.1640625" style="35" customWidth="1"/>
    <col min="13087" max="13087" width="11.6640625" style="35" customWidth="1"/>
    <col min="13088" max="13088" width="9.83203125" style="35" customWidth="1"/>
    <col min="13089" max="13089" width="10.1640625" style="35" customWidth="1"/>
    <col min="13090" max="13090" width="9" style="35" customWidth="1"/>
    <col min="13091" max="13091" width="9.83203125" style="35" customWidth="1"/>
    <col min="13092" max="13092" width="9" style="35" customWidth="1"/>
    <col min="13093" max="13281" width="9.33203125" style="35"/>
    <col min="13282" max="13282" width="13.5" style="35" customWidth="1"/>
    <col min="13283" max="13283" width="12.83203125" style="35" customWidth="1"/>
    <col min="13284" max="13284" width="11.1640625" style="35" customWidth="1"/>
    <col min="13285" max="13285" width="10.6640625" style="35" customWidth="1"/>
    <col min="13286" max="13286" width="8.5" style="35" customWidth="1"/>
    <col min="13287" max="13296" width="0" style="35" hidden="1" customWidth="1"/>
    <col min="13297" max="13297" width="12.5" style="35" customWidth="1"/>
    <col min="13298" max="13298" width="13.6640625" style="35" customWidth="1"/>
    <col min="13299" max="13302" width="0" style="35" hidden="1" customWidth="1"/>
    <col min="13303" max="13303" width="13.6640625" style="35" customWidth="1"/>
    <col min="13304" max="13304" width="12.5" style="35" customWidth="1"/>
    <col min="13305" max="13305" width="15.5" style="35" customWidth="1"/>
    <col min="13306" max="13306" width="13.6640625" style="35" customWidth="1"/>
    <col min="13307" max="13307" width="10.83203125" style="35" customWidth="1"/>
    <col min="13308" max="13308" width="10.33203125" style="35" customWidth="1"/>
    <col min="13309" max="13310" width="9.83203125" style="35" customWidth="1"/>
    <col min="13311" max="13311" width="10.83203125" style="35" customWidth="1"/>
    <col min="13312" max="13312" width="9.33203125" style="35" customWidth="1"/>
    <col min="13313" max="13315" width="9.83203125" style="35" customWidth="1"/>
    <col min="13316" max="13316" width="14.5" style="35" customWidth="1"/>
    <col min="13317" max="13317" width="18.1640625" style="35" customWidth="1"/>
    <col min="13318" max="13318" width="13.1640625" style="35" customWidth="1"/>
    <col min="13319" max="13319" width="13" style="35" customWidth="1"/>
    <col min="13320" max="13320" width="11" style="35" customWidth="1"/>
    <col min="13321" max="13325" width="0" style="35" hidden="1" customWidth="1"/>
    <col min="13326" max="13326" width="14.33203125" style="35" customWidth="1"/>
    <col min="13327" max="13329" width="0" style="35" hidden="1" customWidth="1"/>
    <col min="13330" max="13330" width="14.33203125" style="35" customWidth="1"/>
    <col min="13331" max="13333" width="0" style="35" hidden="1" customWidth="1"/>
    <col min="13334" max="13334" width="14.33203125" style="35" customWidth="1"/>
    <col min="13335" max="13337" width="0" style="35" hidden="1" customWidth="1"/>
    <col min="13338" max="13339" width="14.33203125" style="35" customWidth="1"/>
    <col min="13340" max="13340" width="14.1640625" style="35" customWidth="1"/>
    <col min="13341" max="13341" width="10.5" style="35" customWidth="1"/>
    <col min="13342" max="13342" width="10.1640625" style="35" customWidth="1"/>
    <col min="13343" max="13343" width="11.6640625" style="35" customWidth="1"/>
    <col min="13344" max="13344" width="9.83203125" style="35" customWidth="1"/>
    <col min="13345" max="13345" width="10.1640625" style="35" customWidth="1"/>
    <col min="13346" max="13346" width="9" style="35" customWidth="1"/>
    <col min="13347" max="13347" width="9.83203125" style="35" customWidth="1"/>
    <col min="13348" max="13348" width="9" style="35" customWidth="1"/>
    <col min="13349" max="13537" width="9.33203125" style="35"/>
    <col min="13538" max="13538" width="13.5" style="35" customWidth="1"/>
    <col min="13539" max="13539" width="12.83203125" style="35" customWidth="1"/>
    <col min="13540" max="13540" width="11.1640625" style="35" customWidth="1"/>
    <col min="13541" max="13541" width="10.6640625" style="35" customWidth="1"/>
    <col min="13542" max="13542" width="8.5" style="35" customWidth="1"/>
    <col min="13543" max="13552" width="0" style="35" hidden="1" customWidth="1"/>
    <col min="13553" max="13553" width="12.5" style="35" customWidth="1"/>
    <col min="13554" max="13554" width="13.6640625" style="35" customWidth="1"/>
    <col min="13555" max="13558" width="0" style="35" hidden="1" customWidth="1"/>
    <col min="13559" max="13559" width="13.6640625" style="35" customWidth="1"/>
    <col min="13560" max="13560" width="12.5" style="35" customWidth="1"/>
    <col min="13561" max="13561" width="15.5" style="35" customWidth="1"/>
    <col min="13562" max="13562" width="13.6640625" style="35" customWidth="1"/>
    <col min="13563" max="13563" width="10.83203125" style="35" customWidth="1"/>
    <col min="13564" max="13564" width="10.33203125" style="35" customWidth="1"/>
    <col min="13565" max="13566" width="9.83203125" style="35" customWidth="1"/>
    <col min="13567" max="13567" width="10.83203125" style="35" customWidth="1"/>
    <col min="13568" max="13568" width="9.33203125" style="35" customWidth="1"/>
    <col min="13569" max="13571" width="9.83203125" style="35" customWidth="1"/>
    <col min="13572" max="13572" width="14.5" style="35" customWidth="1"/>
    <col min="13573" max="13573" width="18.1640625" style="35" customWidth="1"/>
    <col min="13574" max="13574" width="13.1640625" style="35" customWidth="1"/>
    <col min="13575" max="13575" width="13" style="35" customWidth="1"/>
    <col min="13576" max="13576" width="11" style="35" customWidth="1"/>
    <col min="13577" max="13581" width="0" style="35" hidden="1" customWidth="1"/>
    <col min="13582" max="13582" width="14.33203125" style="35" customWidth="1"/>
    <col min="13583" max="13585" width="0" style="35" hidden="1" customWidth="1"/>
    <col min="13586" max="13586" width="14.33203125" style="35" customWidth="1"/>
    <col min="13587" max="13589" width="0" style="35" hidden="1" customWidth="1"/>
    <col min="13590" max="13590" width="14.33203125" style="35" customWidth="1"/>
    <col min="13591" max="13593" width="0" style="35" hidden="1" customWidth="1"/>
    <col min="13594" max="13595" width="14.33203125" style="35" customWidth="1"/>
    <col min="13596" max="13596" width="14.1640625" style="35" customWidth="1"/>
    <col min="13597" max="13597" width="10.5" style="35" customWidth="1"/>
    <col min="13598" max="13598" width="10.1640625" style="35" customWidth="1"/>
    <col min="13599" max="13599" width="11.6640625" style="35" customWidth="1"/>
    <col min="13600" max="13600" width="9.83203125" style="35" customWidth="1"/>
    <col min="13601" max="13601" width="10.1640625" style="35" customWidth="1"/>
    <col min="13602" max="13602" width="9" style="35" customWidth="1"/>
    <col min="13603" max="13603" width="9.83203125" style="35" customWidth="1"/>
    <col min="13604" max="13604" width="9" style="35" customWidth="1"/>
    <col min="13605" max="13793" width="9.33203125" style="35"/>
    <col min="13794" max="13794" width="13.5" style="35" customWidth="1"/>
    <col min="13795" max="13795" width="12.83203125" style="35" customWidth="1"/>
    <col min="13796" max="13796" width="11.1640625" style="35" customWidth="1"/>
    <col min="13797" max="13797" width="10.6640625" style="35" customWidth="1"/>
    <col min="13798" max="13798" width="8.5" style="35" customWidth="1"/>
    <col min="13799" max="13808" width="0" style="35" hidden="1" customWidth="1"/>
    <col min="13809" max="13809" width="12.5" style="35" customWidth="1"/>
    <col min="13810" max="13810" width="13.6640625" style="35" customWidth="1"/>
    <col min="13811" max="13814" width="0" style="35" hidden="1" customWidth="1"/>
    <col min="13815" max="13815" width="13.6640625" style="35" customWidth="1"/>
    <col min="13816" max="13816" width="12.5" style="35" customWidth="1"/>
    <col min="13817" max="13817" width="15.5" style="35" customWidth="1"/>
    <col min="13818" max="13818" width="13.6640625" style="35" customWidth="1"/>
    <col min="13819" max="13819" width="10.83203125" style="35" customWidth="1"/>
    <col min="13820" max="13820" width="10.33203125" style="35" customWidth="1"/>
    <col min="13821" max="13822" width="9.83203125" style="35" customWidth="1"/>
    <col min="13823" max="13823" width="10.83203125" style="35" customWidth="1"/>
    <col min="13824" max="13824" width="9.33203125" style="35" customWidth="1"/>
    <col min="13825" max="13827" width="9.83203125" style="35" customWidth="1"/>
    <col min="13828" max="13828" width="14.5" style="35" customWidth="1"/>
    <col min="13829" max="13829" width="18.1640625" style="35" customWidth="1"/>
    <col min="13830" max="13830" width="13.1640625" style="35" customWidth="1"/>
    <col min="13831" max="13831" width="13" style="35" customWidth="1"/>
    <col min="13832" max="13832" width="11" style="35" customWidth="1"/>
    <col min="13833" max="13837" width="0" style="35" hidden="1" customWidth="1"/>
    <col min="13838" max="13838" width="14.33203125" style="35" customWidth="1"/>
    <col min="13839" max="13841" width="0" style="35" hidden="1" customWidth="1"/>
    <col min="13842" max="13842" width="14.33203125" style="35" customWidth="1"/>
    <col min="13843" max="13845" width="0" style="35" hidden="1" customWidth="1"/>
    <col min="13846" max="13846" width="14.33203125" style="35" customWidth="1"/>
    <col min="13847" max="13849" width="0" style="35" hidden="1" customWidth="1"/>
    <col min="13850" max="13851" width="14.33203125" style="35" customWidth="1"/>
    <col min="13852" max="13852" width="14.1640625" style="35" customWidth="1"/>
    <col min="13853" max="13853" width="10.5" style="35" customWidth="1"/>
    <col min="13854" max="13854" width="10.1640625" style="35" customWidth="1"/>
    <col min="13855" max="13855" width="11.6640625" style="35" customWidth="1"/>
    <col min="13856" max="13856" width="9.83203125" style="35" customWidth="1"/>
    <col min="13857" max="13857" width="10.1640625" style="35" customWidth="1"/>
    <col min="13858" max="13858" width="9" style="35" customWidth="1"/>
    <col min="13859" max="13859" width="9.83203125" style="35" customWidth="1"/>
    <col min="13860" max="13860" width="9" style="35" customWidth="1"/>
    <col min="13861" max="14049" width="9.33203125" style="35"/>
    <col min="14050" max="14050" width="13.5" style="35" customWidth="1"/>
    <col min="14051" max="14051" width="12.83203125" style="35" customWidth="1"/>
    <col min="14052" max="14052" width="11.1640625" style="35" customWidth="1"/>
    <col min="14053" max="14053" width="10.6640625" style="35" customWidth="1"/>
    <col min="14054" max="14054" width="8.5" style="35" customWidth="1"/>
    <col min="14055" max="14064" width="0" style="35" hidden="1" customWidth="1"/>
    <col min="14065" max="14065" width="12.5" style="35" customWidth="1"/>
    <col min="14066" max="14066" width="13.6640625" style="35" customWidth="1"/>
    <col min="14067" max="14070" width="0" style="35" hidden="1" customWidth="1"/>
    <col min="14071" max="14071" width="13.6640625" style="35" customWidth="1"/>
    <col min="14072" max="14072" width="12.5" style="35" customWidth="1"/>
    <col min="14073" max="14073" width="15.5" style="35" customWidth="1"/>
    <col min="14074" max="14074" width="13.6640625" style="35" customWidth="1"/>
    <col min="14075" max="14075" width="10.83203125" style="35" customWidth="1"/>
    <col min="14076" max="14076" width="10.33203125" style="35" customWidth="1"/>
    <col min="14077" max="14078" width="9.83203125" style="35" customWidth="1"/>
    <col min="14079" max="14079" width="10.83203125" style="35" customWidth="1"/>
    <col min="14080" max="14080" width="9.33203125" style="35" customWidth="1"/>
    <col min="14081" max="14083" width="9.83203125" style="35" customWidth="1"/>
    <col min="14084" max="14084" width="14.5" style="35" customWidth="1"/>
    <col min="14085" max="14085" width="18.1640625" style="35" customWidth="1"/>
    <col min="14086" max="14086" width="13.1640625" style="35" customWidth="1"/>
    <col min="14087" max="14087" width="13" style="35" customWidth="1"/>
    <col min="14088" max="14088" width="11" style="35" customWidth="1"/>
    <col min="14089" max="14093" width="0" style="35" hidden="1" customWidth="1"/>
    <col min="14094" max="14094" width="14.33203125" style="35" customWidth="1"/>
    <col min="14095" max="14097" width="0" style="35" hidden="1" customWidth="1"/>
    <col min="14098" max="14098" width="14.33203125" style="35" customWidth="1"/>
    <col min="14099" max="14101" width="0" style="35" hidden="1" customWidth="1"/>
    <col min="14102" max="14102" width="14.33203125" style="35" customWidth="1"/>
    <col min="14103" max="14105" width="0" style="35" hidden="1" customWidth="1"/>
    <col min="14106" max="14107" width="14.33203125" style="35" customWidth="1"/>
    <col min="14108" max="14108" width="14.1640625" style="35" customWidth="1"/>
    <col min="14109" max="14109" width="10.5" style="35" customWidth="1"/>
    <col min="14110" max="14110" width="10.1640625" style="35" customWidth="1"/>
    <col min="14111" max="14111" width="11.6640625" style="35" customWidth="1"/>
    <col min="14112" max="14112" width="9.83203125" style="35" customWidth="1"/>
    <col min="14113" max="14113" width="10.1640625" style="35" customWidth="1"/>
    <col min="14114" max="14114" width="9" style="35" customWidth="1"/>
    <col min="14115" max="14115" width="9.83203125" style="35" customWidth="1"/>
    <col min="14116" max="14116" width="9" style="35" customWidth="1"/>
    <col min="14117" max="14305" width="9.33203125" style="35"/>
    <col min="14306" max="14306" width="13.5" style="35" customWidth="1"/>
    <col min="14307" max="14307" width="12.83203125" style="35" customWidth="1"/>
    <col min="14308" max="14308" width="11.1640625" style="35" customWidth="1"/>
    <col min="14309" max="14309" width="10.6640625" style="35" customWidth="1"/>
    <col min="14310" max="14310" width="8.5" style="35" customWidth="1"/>
    <col min="14311" max="14320" width="0" style="35" hidden="1" customWidth="1"/>
    <col min="14321" max="14321" width="12.5" style="35" customWidth="1"/>
    <col min="14322" max="14322" width="13.6640625" style="35" customWidth="1"/>
    <col min="14323" max="14326" width="0" style="35" hidden="1" customWidth="1"/>
    <col min="14327" max="14327" width="13.6640625" style="35" customWidth="1"/>
    <col min="14328" max="14328" width="12.5" style="35" customWidth="1"/>
    <col min="14329" max="14329" width="15.5" style="35" customWidth="1"/>
    <col min="14330" max="14330" width="13.6640625" style="35" customWidth="1"/>
    <col min="14331" max="14331" width="10.83203125" style="35" customWidth="1"/>
    <col min="14332" max="14332" width="10.33203125" style="35" customWidth="1"/>
    <col min="14333" max="14334" width="9.83203125" style="35" customWidth="1"/>
    <col min="14335" max="14335" width="10.83203125" style="35" customWidth="1"/>
    <col min="14336" max="14336" width="9.33203125" style="35" customWidth="1"/>
    <col min="14337" max="14339" width="9.83203125" style="35" customWidth="1"/>
    <col min="14340" max="14340" width="14.5" style="35" customWidth="1"/>
    <col min="14341" max="14341" width="18.1640625" style="35" customWidth="1"/>
    <col min="14342" max="14342" width="13.1640625" style="35" customWidth="1"/>
    <col min="14343" max="14343" width="13" style="35" customWidth="1"/>
    <col min="14344" max="14344" width="11" style="35" customWidth="1"/>
    <col min="14345" max="14349" width="0" style="35" hidden="1" customWidth="1"/>
    <col min="14350" max="14350" width="14.33203125" style="35" customWidth="1"/>
    <col min="14351" max="14353" width="0" style="35" hidden="1" customWidth="1"/>
    <col min="14354" max="14354" width="14.33203125" style="35" customWidth="1"/>
    <col min="14355" max="14357" width="0" style="35" hidden="1" customWidth="1"/>
    <col min="14358" max="14358" width="14.33203125" style="35" customWidth="1"/>
    <col min="14359" max="14361" width="0" style="35" hidden="1" customWidth="1"/>
    <col min="14362" max="14363" width="14.33203125" style="35" customWidth="1"/>
    <col min="14364" max="14364" width="14.1640625" style="35" customWidth="1"/>
    <col min="14365" max="14365" width="10.5" style="35" customWidth="1"/>
    <col min="14366" max="14366" width="10.1640625" style="35" customWidth="1"/>
    <col min="14367" max="14367" width="11.6640625" style="35" customWidth="1"/>
    <col min="14368" max="14368" width="9.83203125" style="35" customWidth="1"/>
    <col min="14369" max="14369" width="10.1640625" style="35" customWidth="1"/>
    <col min="14370" max="14370" width="9" style="35" customWidth="1"/>
    <col min="14371" max="14371" width="9.83203125" style="35" customWidth="1"/>
    <col min="14372" max="14372" width="9" style="35" customWidth="1"/>
    <col min="14373" max="14561" width="9.33203125" style="35"/>
    <col min="14562" max="14562" width="13.5" style="35" customWidth="1"/>
    <col min="14563" max="14563" width="12.83203125" style="35" customWidth="1"/>
    <col min="14564" max="14564" width="11.1640625" style="35" customWidth="1"/>
    <col min="14565" max="14565" width="10.6640625" style="35" customWidth="1"/>
    <col min="14566" max="14566" width="8.5" style="35" customWidth="1"/>
    <col min="14567" max="14576" width="0" style="35" hidden="1" customWidth="1"/>
    <col min="14577" max="14577" width="12.5" style="35" customWidth="1"/>
    <col min="14578" max="14578" width="13.6640625" style="35" customWidth="1"/>
    <col min="14579" max="14582" width="0" style="35" hidden="1" customWidth="1"/>
    <col min="14583" max="14583" width="13.6640625" style="35" customWidth="1"/>
    <col min="14584" max="14584" width="12.5" style="35" customWidth="1"/>
    <col min="14585" max="14585" width="15.5" style="35" customWidth="1"/>
    <col min="14586" max="14586" width="13.6640625" style="35" customWidth="1"/>
    <col min="14587" max="14587" width="10.83203125" style="35" customWidth="1"/>
    <col min="14588" max="14588" width="10.33203125" style="35" customWidth="1"/>
    <col min="14589" max="14590" width="9.83203125" style="35" customWidth="1"/>
    <col min="14591" max="14591" width="10.83203125" style="35" customWidth="1"/>
    <col min="14592" max="14592" width="9.33203125" style="35" customWidth="1"/>
    <col min="14593" max="14595" width="9.83203125" style="35" customWidth="1"/>
    <col min="14596" max="14596" width="14.5" style="35" customWidth="1"/>
    <col min="14597" max="14597" width="18.1640625" style="35" customWidth="1"/>
    <col min="14598" max="14598" width="13.1640625" style="35" customWidth="1"/>
    <col min="14599" max="14599" width="13" style="35" customWidth="1"/>
    <col min="14600" max="14600" width="11" style="35" customWidth="1"/>
    <col min="14601" max="14605" width="0" style="35" hidden="1" customWidth="1"/>
    <col min="14606" max="14606" width="14.33203125" style="35" customWidth="1"/>
    <col min="14607" max="14609" width="0" style="35" hidden="1" customWidth="1"/>
    <col min="14610" max="14610" width="14.33203125" style="35" customWidth="1"/>
    <col min="14611" max="14613" width="0" style="35" hidden="1" customWidth="1"/>
    <col min="14614" max="14614" width="14.33203125" style="35" customWidth="1"/>
    <col min="14615" max="14617" width="0" style="35" hidden="1" customWidth="1"/>
    <col min="14618" max="14619" width="14.33203125" style="35" customWidth="1"/>
    <col min="14620" max="14620" width="14.1640625" style="35" customWidth="1"/>
    <col min="14621" max="14621" width="10.5" style="35" customWidth="1"/>
    <col min="14622" max="14622" width="10.1640625" style="35" customWidth="1"/>
    <col min="14623" max="14623" width="11.6640625" style="35" customWidth="1"/>
    <col min="14624" max="14624" width="9.83203125" style="35" customWidth="1"/>
    <col min="14625" max="14625" width="10.1640625" style="35" customWidth="1"/>
    <col min="14626" max="14626" width="9" style="35" customWidth="1"/>
    <col min="14627" max="14627" width="9.83203125" style="35" customWidth="1"/>
    <col min="14628" max="14628" width="9" style="35" customWidth="1"/>
    <col min="14629" max="14817" width="9.33203125" style="35"/>
    <col min="14818" max="14818" width="13.5" style="35" customWidth="1"/>
    <col min="14819" max="14819" width="12.83203125" style="35" customWidth="1"/>
    <col min="14820" max="14820" width="11.1640625" style="35" customWidth="1"/>
    <col min="14821" max="14821" width="10.6640625" style="35" customWidth="1"/>
    <col min="14822" max="14822" width="8.5" style="35" customWidth="1"/>
    <col min="14823" max="14832" width="0" style="35" hidden="1" customWidth="1"/>
    <col min="14833" max="14833" width="12.5" style="35" customWidth="1"/>
    <col min="14834" max="14834" width="13.6640625" style="35" customWidth="1"/>
    <col min="14835" max="14838" width="0" style="35" hidden="1" customWidth="1"/>
    <col min="14839" max="14839" width="13.6640625" style="35" customWidth="1"/>
    <col min="14840" max="14840" width="12.5" style="35" customWidth="1"/>
    <col min="14841" max="14841" width="15.5" style="35" customWidth="1"/>
    <col min="14842" max="14842" width="13.6640625" style="35" customWidth="1"/>
    <col min="14843" max="14843" width="10.83203125" style="35" customWidth="1"/>
    <col min="14844" max="14844" width="10.33203125" style="35" customWidth="1"/>
    <col min="14845" max="14846" width="9.83203125" style="35" customWidth="1"/>
    <col min="14847" max="14847" width="10.83203125" style="35" customWidth="1"/>
    <col min="14848" max="14848" width="9.33203125" style="35" customWidth="1"/>
    <col min="14849" max="14851" width="9.83203125" style="35" customWidth="1"/>
    <col min="14852" max="14852" width="14.5" style="35" customWidth="1"/>
    <col min="14853" max="14853" width="18.1640625" style="35" customWidth="1"/>
    <col min="14854" max="14854" width="13.1640625" style="35" customWidth="1"/>
    <col min="14855" max="14855" width="13" style="35" customWidth="1"/>
    <col min="14856" max="14856" width="11" style="35" customWidth="1"/>
    <col min="14857" max="14861" width="0" style="35" hidden="1" customWidth="1"/>
    <col min="14862" max="14862" width="14.33203125" style="35" customWidth="1"/>
    <col min="14863" max="14865" width="0" style="35" hidden="1" customWidth="1"/>
    <col min="14866" max="14866" width="14.33203125" style="35" customWidth="1"/>
    <col min="14867" max="14869" width="0" style="35" hidden="1" customWidth="1"/>
    <col min="14870" max="14870" width="14.33203125" style="35" customWidth="1"/>
    <col min="14871" max="14873" width="0" style="35" hidden="1" customWidth="1"/>
    <col min="14874" max="14875" width="14.33203125" style="35" customWidth="1"/>
    <col min="14876" max="14876" width="14.1640625" style="35" customWidth="1"/>
    <col min="14877" max="14877" width="10.5" style="35" customWidth="1"/>
    <col min="14878" max="14878" width="10.1640625" style="35" customWidth="1"/>
    <col min="14879" max="14879" width="11.6640625" style="35" customWidth="1"/>
    <col min="14880" max="14880" width="9.83203125" style="35" customWidth="1"/>
    <col min="14881" max="14881" width="10.1640625" style="35" customWidth="1"/>
    <col min="14882" max="14882" width="9" style="35" customWidth="1"/>
    <col min="14883" max="14883" width="9.83203125" style="35" customWidth="1"/>
    <col min="14884" max="14884" width="9" style="35" customWidth="1"/>
    <col min="14885" max="15073" width="9.33203125" style="35"/>
    <col min="15074" max="15074" width="13.5" style="35" customWidth="1"/>
    <col min="15075" max="15075" width="12.83203125" style="35" customWidth="1"/>
    <col min="15076" max="15076" width="11.1640625" style="35" customWidth="1"/>
    <col min="15077" max="15077" width="10.6640625" style="35" customWidth="1"/>
    <col min="15078" max="15078" width="8.5" style="35" customWidth="1"/>
    <col min="15079" max="15088" width="0" style="35" hidden="1" customWidth="1"/>
    <col min="15089" max="15089" width="12.5" style="35" customWidth="1"/>
    <col min="15090" max="15090" width="13.6640625" style="35" customWidth="1"/>
    <col min="15091" max="15094" width="0" style="35" hidden="1" customWidth="1"/>
    <col min="15095" max="15095" width="13.6640625" style="35" customWidth="1"/>
    <col min="15096" max="15096" width="12.5" style="35" customWidth="1"/>
    <col min="15097" max="15097" width="15.5" style="35" customWidth="1"/>
    <col min="15098" max="15098" width="13.6640625" style="35" customWidth="1"/>
    <col min="15099" max="15099" width="10.83203125" style="35" customWidth="1"/>
    <col min="15100" max="15100" width="10.33203125" style="35" customWidth="1"/>
    <col min="15101" max="15102" width="9.83203125" style="35" customWidth="1"/>
    <col min="15103" max="15103" width="10.83203125" style="35" customWidth="1"/>
    <col min="15104" max="15104" width="9.33203125" style="35" customWidth="1"/>
    <col min="15105" max="15107" width="9.83203125" style="35" customWidth="1"/>
    <col min="15108" max="15108" width="14.5" style="35" customWidth="1"/>
    <col min="15109" max="15109" width="18.1640625" style="35" customWidth="1"/>
    <col min="15110" max="15110" width="13.1640625" style="35" customWidth="1"/>
    <col min="15111" max="15111" width="13" style="35" customWidth="1"/>
    <col min="15112" max="15112" width="11" style="35" customWidth="1"/>
    <col min="15113" max="15117" width="0" style="35" hidden="1" customWidth="1"/>
    <col min="15118" max="15118" width="14.33203125" style="35" customWidth="1"/>
    <col min="15119" max="15121" width="0" style="35" hidden="1" customWidth="1"/>
    <col min="15122" max="15122" width="14.33203125" style="35" customWidth="1"/>
    <col min="15123" max="15125" width="0" style="35" hidden="1" customWidth="1"/>
    <col min="15126" max="15126" width="14.33203125" style="35" customWidth="1"/>
    <col min="15127" max="15129" width="0" style="35" hidden="1" customWidth="1"/>
    <col min="15130" max="15131" width="14.33203125" style="35" customWidth="1"/>
    <col min="15132" max="15132" width="14.1640625" style="35" customWidth="1"/>
    <col min="15133" max="15133" width="10.5" style="35" customWidth="1"/>
    <col min="15134" max="15134" width="10.1640625" style="35" customWidth="1"/>
    <col min="15135" max="15135" width="11.6640625" style="35" customWidth="1"/>
    <col min="15136" max="15136" width="9.83203125" style="35" customWidth="1"/>
    <col min="15137" max="15137" width="10.1640625" style="35" customWidth="1"/>
    <col min="15138" max="15138" width="9" style="35" customWidth="1"/>
    <col min="15139" max="15139" width="9.83203125" style="35" customWidth="1"/>
    <col min="15140" max="15140" width="9" style="35" customWidth="1"/>
    <col min="15141" max="15329" width="9.33203125" style="35"/>
    <col min="15330" max="15330" width="13.5" style="35" customWidth="1"/>
    <col min="15331" max="15331" width="12.83203125" style="35" customWidth="1"/>
    <col min="15332" max="15332" width="11.1640625" style="35" customWidth="1"/>
    <col min="15333" max="15333" width="10.6640625" style="35" customWidth="1"/>
    <col min="15334" max="15334" width="8.5" style="35" customWidth="1"/>
    <col min="15335" max="15344" width="0" style="35" hidden="1" customWidth="1"/>
    <col min="15345" max="15345" width="12.5" style="35" customWidth="1"/>
    <col min="15346" max="15346" width="13.6640625" style="35" customWidth="1"/>
    <col min="15347" max="15350" width="0" style="35" hidden="1" customWidth="1"/>
    <col min="15351" max="15351" width="13.6640625" style="35" customWidth="1"/>
    <col min="15352" max="15352" width="12.5" style="35" customWidth="1"/>
    <col min="15353" max="15353" width="15.5" style="35" customWidth="1"/>
    <col min="15354" max="15354" width="13.6640625" style="35" customWidth="1"/>
    <col min="15355" max="15355" width="10.83203125" style="35" customWidth="1"/>
    <col min="15356" max="15356" width="10.33203125" style="35" customWidth="1"/>
    <col min="15357" max="15358" width="9.83203125" style="35" customWidth="1"/>
    <col min="15359" max="15359" width="10.83203125" style="35" customWidth="1"/>
    <col min="15360" max="15360" width="9.33203125" style="35" customWidth="1"/>
    <col min="15361" max="15363" width="9.83203125" style="35" customWidth="1"/>
    <col min="15364" max="15364" width="14.5" style="35" customWidth="1"/>
    <col min="15365" max="15365" width="18.1640625" style="35" customWidth="1"/>
    <col min="15366" max="15366" width="13.1640625" style="35" customWidth="1"/>
    <col min="15367" max="15367" width="13" style="35" customWidth="1"/>
    <col min="15368" max="15368" width="11" style="35" customWidth="1"/>
    <col min="15369" max="15373" width="0" style="35" hidden="1" customWidth="1"/>
    <col min="15374" max="15374" width="14.33203125" style="35" customWidth="1"/>
    <col min="15375" max="15377" width="0" style="35" hidden="1" customWidth="1"/>
    <col min="15378" max="15378" width="14.33203125" style="35" customWidth="1"/>
    <col min="15379" max="15381" width="0" style="35" hidden="1" customWidth="1"/>
    <col min="15382" max="15382" width="14.33203125" style="35" customWidth="1"/>
    <col min="15383" max="15385" width="0" style="35" hidden="1" customWidth="1"/>
    <col min="15386" max="15387" width="14.33203125" style="35" customWidth="1"/>
    <col min="15388" max="15388" width="14.1640625" style="35" customWidth="1"/>
    <col min="15389" max="15389" width="10.5" style="35" customWidth="1"/>
    <col min="15390" max="15390" width="10.1640625" style="35" customWidth="1"/>
    <col min="15391" max="15391" width="11.6640625" style="35" customWidth="1"/>
    <col min="15392" max="15392" width="9.83203125" style="35" customWidth="1"/>
    <col min="15393" max="15393" width="10.1640625" style="35" customWidth="1"/>
    <col min="15394" max="15394" width="9" style="35" customWidth="1"/>
    <col min="15395" max="15395" width="9.83203125" style="35" customWidth="1"/>
    <col min="15396" max="15396" width="9" style="35" customWidth="1"/>
    <col min="15397" max="15585" width="9.33203125" style="35"/>
    <col min="15586" max="15586" width="13.5" style="35" customWidth="1"/>
    <col min="15587" max="15587" width="12.83203125" style="35" customWidth="1"/>
    <col min="15588" max="15588" width="11.1640625" style="35" customWidth="1"/>
    <col min="15589" max="15589" width="10.6640625" style="35" customWidth="1"/>
    <col min="15590" max="15590" width="8.5" style="35" customWidth="1"/>
    <col min="15591" max="15600" width="0" style="35" hidden="1" customWidth="1"/>
    <col min="15601" max="15601" width="12.5" style="35" customWidth="1"/>
    <col min="15602" max="15602" width="13.6640625" style="35" customWidth="1"/>
    <col min="15603" max="15606" width="0" style="35" hidden="1" customWidth="1"/>
    <col min="15607" max="15607" width="13.6640625" style="35" customWidth="1"/>
    <col min="15608" max="15608" width="12.5" style="35" customWidth="1"/>
    <col min="15609" max="15609" width="15.5" style="35" customWidth="1"/>
    <col min="15610" max="15610" width="13.6640625" style="35" customWidth="1"/>
    <col min="15611" max="15611" width="10.83203125" style="35" customWidth="1"/>
    <col min="15612" max="15612" width="10.33203125" style="35" customWidth="1"/>
    <col min="15613" max="15614" width="9.83203125" style="35" customWidth="1"/>
    <col min="15615" max="15615" width="10.83203125" style="35" customWidth="1"/>
    <col min="15616" max="15616" width="9.33203125" style="35" customWidth="1"/>
    <col min="15617" max="15619" width="9.83203125" style="35" customWidth="1"/>
    <col min="15620" max="15620" width="14.5" style="35" customWidth="1"/>
    <col min="15621" max="15621" width="18.1640625" style="35" customWidth="1"/>
    <col min="15622" max="15622" width="13.1640625" style="35" customWidth="1"/>
    <col min="15623" max="15623" width="13" style="35" customWidth="1"/>
    <col min="15624" max="15624" width="11" style="35" customWidth="1"/>
    <col min="15625" max="15629" width="0" style="35" hidden="1" customWidth="1"/>
    <col min="15630" max="15630" width="14.33203125" style="35" customWidth="1"/>
    <col min="15631" max="15633" width="0" style="35" hidden="1" customWidth="1"/>
    <col min="15634" max="15634" width="14.33203125" style="35" customWidth="1"/>
    <col min="15635" max="15637" width="0" style="35" hidden="1" customWidth="1"/>
    <col min="15638" max="15638" width="14.33203125" style="35" customWidth="1"/>
    <col min="15639" max="15641" width="0" style="35" hidden="1" customWidth="1"/>
    <col min="15642" max="15643" width="14.33203125" style="35" customWidth="1"/>
    <col min="15644" max="15644" width="14.1640625" style="35" customWidth="1"/>
    <col min="15645" max="15645" width="10.5" style="35" customWidth="1"/>
    <col min="15646" max="15646" width="10.1640625" style="35" customWidth="1"/>
    <col min="15647" max="15647" width="11.6640625" style="35" customWidth="1"/>
    <col min="15648" max="15648" width="9.83203125" style="35" customWidth="1"/>
    <col min="15649" max="15649" width="10.1640625" style="35" customWidth="1"/>
    <col min="15650" max="15650" width="9" style="35" customWidth="1"/>
    <col min="15651" max="15651" width="9.83203125" style="35" customWidth="1"/>
    <col min="15652" max="15652" width="9" style="35" customWidth="1"/>
    <col min="15653" max="15841" width="9.33203125" style="35"/>
    <col min="15842" max="15842" width="13.5" style="35" customWidth="1"/>
    <col min="15843" max="15843" width="12.83203125" style="35" customWidth="1"/>
    <col min="15844" max="15844" width="11.1640625" style="35" customWidth="1"/>
    <col min="15845" max="15845" width="10.6640625" style="35" customWidth="1"/>
    <col min="15846" max="15846" width="8.5" style="35" customWidth="1"/>
    <col min="15847" max="15856" width="0" style="35" hidden="1" customWidth="1"/>
    <col min="15857" max="15857" width="12.5" style="35" customWidth="1"/>
    <col min="15858" max="15858" width="13.6640625" style="35" customWidth="1"/>
    <col min="15859" max="15862" width="0" style="35" hidden="1" customWidth="1"/>
    <col min="15863" max="15863" width="13.6640625" style="35" customWidth="1"/>
    <col min="15864" max="15864" width="12.5" style="35" customWidth="1"/>
    <col min="15865" max="15865" width="15.5" style="35" customWidth="1"/>
    <col min="15866" max="15866" width="13.6640625" style="35" customWidth="1"/>
    <col min="15867" max="15867" width="10.83203125" style="35" customWidth="1"/>
    <col min="15868" max="15868" width="10.33203125" style="35" customWidth="1"/>
    <col min="15869" max="15870" width="9.83203125" style="35" customWidth="1"/>
    <col min="15871" max="15871" width="10.83203125" style="35" customWidth="1"/>
    <col min="15872" max="15872" width="9.33203125" style="35" customWidth="1"/>
    <col min="15873" max="15875" width="9.83203125" style="35" customWidth="1"/>
    <col min="15876" max="15876" width="14.5" style="35" customWidth="1"/>
    <col min="15877" max="15877" width="18.1640625" style="35" customWidth="1"/>
    <col min="15878" max="15878" width="13.1640625" style="35" customWidth="1"/>
    <col min="15879" max="15879" width="13" style="35" customWidth="1"/>
    <col min="15880" max="15880" width="11" style="35" customWidth="1"/>
    <col min="15881" max="15885" width="0" style="35" hidden="1" customWidth="1"/>
    <col min="15886" max="15886" width="14.33203125" style="35" customWidth="1"/>
    <col min="15887" max="15889" width="0" style="35" hidden="1" customWidth="1"/>
    <col min="15890" max="15890" width="14.33203125" style="35" customWidth="1"/>
    <col min="15891" max="15893" width="0" style="35" hidden="1" customWidth="1"/>
    <col min="15894" max="15894" width="14.33203125" style="35" customWidth="1"/>
    <col min="15895" max="15897" width="0" style="35" hidden="1" customWidth="1"/>
    <col min="15898" max="15899" width="14.33203125" style="35" customWidth="1"/>
    <col min="15900" max="15900" width="14.1640625" style="35" customWidth="1"/>
    <col min="15901" max="15901" width="10.5" style="35" customWidth="1"/>
    <col min="15902" max="15902" width="10.1640625" style="35" customWidth="1"/>
    <col min="15903" max="15903" width="11.6640625" style="35" customWidth="1"/>
    <col min="15904" max="15904" width="9.83203125" style="35" customWidth="1"/>
    <col min="15905" max="15905" width="10.1640625" style="35" customWidth="1"/>
    <col min="15906" max="15906" width="9" style="35" customWidth="1"/>
    <col min="15907" max="15907" width="9.83203125" style="35" customWidth="1"/>
    <col min="15908" max="15908" width="9" style="35" customWidth="1"/>
    <col min="15909" max="16097" width="9.33203125" style="35"/>
    <col min="16098" max="16098" width="13.5" style="35" customWidth="1"/>
    <col min="16099" max="16099" width="12.83203125" style="35" customWidth="1"/>
    <col min="16100" max="16100" width="11.1640625" style="35" customWidth="1"/>
    <col min="16101" max="16101" width="10.6640625" style="35" customWidth="1"/>
    <col min="16102" max="16102" width="8.5" style="35" customWidth="1"/>
    <col min="16103" max="16112" width="0" style="35" hidden="1" customWidth="1"/>
    <col min="16113" max="16113" width="12.5" style="35" customWidth="1"/>
    <col min="16114" max="16114" width="13.6640625" style="35" customWidth="1"/>
    <col min="16115" max="16118" width="0" style="35" hidden="1" customWidth="1"/>
    <col min="16119" max="16119" width="13.6640625" style="35" customWidth="1"/>
    <col min="16120" max="16120" width="12.5" style="35" customWidth="1"/>
    <col min="16121" max="16121" width="15.5" style="35" customWidth="1"/>
    <col min="16122" max="16122" width="13.6640625" style="35" customWidth="1"/>
    <col min="16123" max="16123" width="10.83203125" style="35" customWidth="1"/>
    <col min="16124" max="16124" width="10.33203125" style="35" customWidth="1"/>
    <col min="16125" max="16126" width="9.83203125" style="35" customWidth="1"/>
    <col min="16127" max="16127" width="10.83203125" style="35" customWidth="1"/>
    <col min="16128" max="16128" width="9.33203125" style="35" customWidth="1"/>
    <col min="16129" max="16131" width="9.83203125" style="35" customWidth="1"/>
    <col min="16132" max="16132" width="14.5" style="35" customWidth="1"/>
    <col min="16133" max="16133" width="18.1640625" style="35" customWidth="1"/>
    <col min="16134" max="16134" width="13.1640625" style="35" customWidth="1"/>
    <col min="16135" max="16135" width="13" style="35" customWidth="1"/>
    <col min="16136" max="16136" width="11" style="35" customWidth="1"/>
    <col min="16137" max="16141" width="0" style="35" hidden="1" customWidth="1"/>
    <col min="16142" max="16142" width="14.33203125" style="35" customWidth="1"/>
    <col min="16143" max="16145" width="0" style="35" hidden="1" customWidth="1"/>
    <col min="16146" max="16146" width="14.33203125" style="35" customWidth="1"/>
    <col min="16147" max="16149" width="0" style="35" hidden="1" customWidth="1"/>
    <col min="16150" max="16150" width="14.33203125" style="35" customWidth="1"/>
    <col min="16151" max="16153" width="0" style="35" hidden="1" customWidth="1"/>
    <col min="16154" max="16155" width="14.33203125" style="35" customWidth="1"/>
    <col min="16156" max="16156" width="14.1640625" style="35" customWidth="1"/>
    <col min="16157" max="16157" width="10.5" style="35" customWidth="1"/>
    <col min="16158" max="16158" width="10.1640625" style="35" customWidth="1"/>
    <col min="16159" max="16159" width="11.6640625" style="35" customWidth="1"/>
    <col min="16160" max="16160" width="9.83203125" style="35" customWidth="1"/>
    <col min="16161" max="16161" width="10.1640625" style="35" customWidth="1"/>
    <col min="16162" max="16162" width="9" style="35" customWidth="1"/>
    <col min="16163" max="16163" width="9.83203125" style="35" customWidth="1"/>
    <col min="16164" max="16164" width="9" style="35" customWidth="1"/>
    <col min="16165" max="16384" width="9.33203125" style="35"/>
  </cols>
  <sheetData>
    <row r="1" spans="1:112" ht="16.5" customHeight="1" x14ac:dyDescent="0.2">
      <c r="B1" s="453" t="s">
        <v>175</v>
      </c>
      <c r="C1" s="454" t="s">
        <v>993</v>
      </c>
      <c r="D1" s="454"/>
      <c r="E1" s="43"/>
      <c r="F1" s="43"/>
      <c r="G1" s="43"/>
      <c r="H1" s="43"/>
      <c r="I1" s="43"/>
    </row>
    <row r="2" spans="1:112" ht="16.5" customHeight="1" thickBot="1" x14ac:dyDescent="0.3">
      <c r="B2" s="34" t="s">
        <v>43</v>
      </c>
      <c r="C2" s="42" t="s">
        <v>248</v>
      </c>
    </row>
    <row r="3" spans="1:112" s="45" customFormat="1" ht="16.5" customHeight="1" x14ac:dyDescent="0.2">
      <c r="A3" s="43"/>
      <c r="B3" s="44"/>
      <c r="G3" s="434" t="s">
        <v>44</v>
      </c>
      <c r="H3" s="435"/>
      <c r="I3" s="436"/>
      <c r="J3" s="435"/>
      <c r="K3" s="437">
        <v>10</v>
      </c>
      <c r="L3" s="438"/>
      <c r="P3" s="46"/>
      <c r="T3" s="47"/>
      <c r="U3" s="47"/>
      <c r="V3" s="47"/>
      <c r="W3" s="48"/>
      <c r="X3" s="49"/>
      <c r="Y3" s="47"/>
      <c r="Z3" s="50"/>
      <c r="AC3" s="46"/>
      <c r="AJ3" s="47"/>
      <c r="AK3" s="47"/>
      <c r="AN3" s="47"/>
      <c r="AO3" s="47"/>
      <c r="CM3" s="51"/>
    </row>
    <row r="4" spans="1:112" s="54" customFormat="1" ht="16.5" customHeight="1" thickBot="1" x14ac:dyDescent="0.25">
      <c r="A4" s="52"/>
      <c r="B4" s="1161" t="s">
        <v>210</v>
      </c>
      <c r="C4" s="1161"/>
      <c r="D4" s="1161"/>
      <c r="E4" s="1161"/>
      <c r="F4" s="45"/>
      <c r="G4" s="439" t="s">
        <v>176</v>
      </c>
      <c r="H4" s="440"/>
      <c r="I4" s="440"/>
      <c r="J4" s="440"/>
      <c r="K4" s="441" t="s">
        <v>204</v>
      </c>
      <c r="L4" s="442"/>
      <c r="M4" s="45"/>
      <c r="N4" s="53"/>
      <c r="P4" s="55"/>
      <c r="Q4" s="53"/>
      <c r="R4" s="53"/>
      <c r="S4" s="53"/>
      <c r="T4" s="56"/>
      <c r="U4" s="56"/>
      <c r="V4" s="56"/>
      <c r="W4" s="57"/>
      <c r="X4" s="58"/>
      <c r="Y4" s="56"/>
      <c r="Z4" s="59"/>
      <c r="AC4" s="55"/>
      <c r="AJ4" s="56"/>
      <c r="AK4" s="56"/>
      <c r="AN4" s="56"/>
      <c r="AO4" s="56"/>
      <c r="CM4" s="60"/>
    </row>
    <row r="5" spans="1:112" s="54" customFormat="1" ht="52.5" customHeight="1" thickBot="1" x14ac:dyDescent="0.25">
      <c r="A5" s="52"/>
      <c r="B5" s="1162"/>
      <c r="C5" s="1163"/>
      <c r="D5" s="1163"/>
      <c r="E5" s="1164"/>
      <c r="F5" s="45"/>
      <c r="G5" s="1165" t="s">
        <v>205</v>
      </c>
      <c r="H5" s="1166"/>
      <c r="I5" s="1166"/>
      <c r="J5" s="443"/>
      <c r="K5" s="441" t="s">
        <v>206</v>
      </c>
      <c r="L5" s="442"/>
      <c r="M5" s="47"/>
      <c r="P5" s="55"/>
      <c r="T5" s="56"/>
      <c r="U5" s="56"/>
      <c r="V5" s="56"/>
      <c r="W5" s="57"/>
      <c r="X5" s="58"/>
      <c r="Y5" s="56"/>
      <c r="Z5" s="59"/>
      <c r="AC5" s="55"/>
      <c r="AI5" s="61"/>
      <c r="AJ5" s="56"/>
      <c r="AK5" s="56"/>
      <c r="AN5" s="56"/>
      <c r="AO5" s="56"/>
      <c r="CM5" s="60"/>
    </row>
    <row r="6" spans="1:112" s="54" customFormat="1" ht="16.5" customHeight="1" x14ac:dyDescent="0.2">
      <c r="A6" s="52"/>
      <c r="B6" s="62" t="s">
        <v>45</v>
      </c>
      <c r="C6" s="63">
        <v>1155.98</v>
      </c>
      <c r="D6" s="64" t="s">
        <v>46</v>
      </c>
      <c r="E6" s="65" t="s">
        <v>47</v>
      </c>
      <c r="F6" s="66"/>
      <c r="G6" s="439" t="s">
        <v>177</v>
      </c>
      <c r="H6" s="440"/>
      <c r="I6" s="440"/>
      <c r="J6" s="440"/>
      <c r="K6" s="444">
        <v>0.6</v>
      </c>
      <c r="L6" s="445"/>
      <c r="M6" s="47"/>
      <c r="P6" s="67"/>
      <c r="T6" s="56"/>
      <c r="U6" s="56"/>
      <c r="V6" s="56"/>
      <c r="W6" s="57"/>
      <c r="X6" s="58"/>
      <c r="Y6" s="56"/>
      <c r="Z6" s="59"/>
      <c r="AC6" s="55"/>
      <c r="AJ6" s="56"/>
      <c r="AK6" s="56"/>
      <c r="AN6" s="56"/>
      <c r="AO6" s="56"/>
      <c r="CM6" s="60"/>
    </row>
    <row r="7" spans="1:112" s="54" customFormat="1" ht="16.5" customHeight="1" x14ac:dyDescent="0.2">
      <c r="A7" s="52"/>
      <c r="B7" s="68" t="s">
        <v>48</v>
      </c>
      <c r="C7" s="69">
        <v>0.155</v>
      </c>
      <c r="D7" s="70" t="s">
        <v>49</v>
      </c>
      <c r="E7" s="71">
        <v>13</v>
      </c>
      <c r="F7" s="66"/>
      <c r="G7" s="439" t="s">
        <v>178</v>
      </c>
      <c r="H7" s="440"/>
      <c r="I7" s="440"/>
      <c r="J7" s="440"/>
      <c r="K7" s="441" t="s">
        <v>207</v>
      </c>
      <c r="L7" s="445"/>
      <c r="M7" s="72"/>
      <c r="P7" s="55"/>
      <c r="T7" s="56"/>
      <c r="U7" s="56"/>
      <c r="V7" s="56"/>
      <c r="W7" s="57"/>
      <c r="X7" s="58"/>
      <c r="Y7" s="56"/>
      <c r="Z7" s="59"/>
      <c r="AC7" s="55"/>
      <c r="AJ7" s="56"/>
      <c r="AK7" s="56"/>
      <c r="AL7" s="323" t="e">
        <f>#REF!+#REF!</f>
        <v>#REF!</v>
      </c>
      <c r="AN7" s="56"/>
      <c r="AO7" s="56"/>
      <c r="CM7" s="60"/>
    </row>
    <row r="8" spans="1:112" s="54" customFormat="1" ht="16.5" customHeight="1" thickBot="1" x14ac:dyDescent="0.25">
      <c r="A8" s="52"/>
      <c r="B8" s="73" t="s">
        <v>50</v>
      </c>
      <c r="C8" s="74">
        <v>10</v>
      </c>
      <c r="D8" s="75" t="s">
        <v>51</v>
      </c>
      <c r="E8" s="76">
        <v>0.79100000000000004</v>
      </c>
      <c r="F8" s="66"/>
      <c r="G8" s="446" t="s">
        <v>208</v>
      </c>
      <c r="H8" s="447"/>
      <c r="I8" s="447"/>
      <c r="J8" s="447"/>
      <c r="K8" s="448" t="s">
        <v>209</v>
      </c>
      <c r="L8" s="449"/>
      <c r="M8" s="47"/>
      <c r="P8" s="55"/>
      <c r="T8" s="56"/>
      <c r="U8" s="56"/>
      <c r="V8" s="56"/>
      <c r="W8" s="57"/>
      <c r="X8" s="58"/>
      <c r="Y8" s="56"/>
      <c r="Z8" s="59"/>
      <c r="AC8" s="55"/>
      <c r="AJ8" s="56"/>
      <c r="AK8" s="56"/>
      <c r="AN8" s="56"/>
      <c r="AO8" s="56"/>
      <c r="CM8" s="60"/>
    </row>
    <row r="9" spans="1:112" s="81" customFormat="1" ht="16.5" customHeight="1" thickBot="1" x14ac:dyDescent="0.25">
      <c r="A9" s="77"/>
      <c r="B9" s="35"/>
      <c r="C9" s="35"/>
      <c r="D9" s="78"/>
      <c r="E9" s="79"/>
      <c r="F9" s="35"/>
      <c r="G9" s="35"/>
      <c r="H9" s="35"/>
      <c r="I9" s="35"/>
      <c r="J9" s="80"/>
      <c r="P9" s="82"/>
      <c r="T9" s="83"/>
      <c r="U9" s="83"/>
      <c r="V9" s="83"/>
      <c r="W9" s="84"/>
      <c r="X9" s="85"/>
      <c r="Y9" s="83"/>
      <c r="Z9" s="86"/>
      <c r="AC9" s="82"/>
      <c r="AJ9" s="83"/>
      <c r="AK9" s="83"/>
      <c r="AN9" s="83"/>
      <c r="AO9" s="83"/>
      <c r="CM9" s="87"/>
    </row>
    <row r="10" spans="1:112" s="89" customFormat="1" ht="34.5" customHeight="1" thickBot="1" x14ac:dyDescent="0.25">
      <c r="A10" s="88"/>
      <c r="B10" s="1167" t="s">
        <v>249</v>
      </c>
      <c r="C10" s="1168"/>
      <c r="D10" s="1168"/>
      <c r="E10" s="1168"/>
      <c r="F10" s="1168"/>
      <c r="G10" s="1168"/>
      <c r="H10" s="1168"/>
      <c r="I10" s="1168"/>
      <c r="J10" s="1168"/>
      <c r="K10" s="1168"/>
      <c r="L10" s="1168"/>
      <c r="M10" s="1168"/>
      <c r="N10" s="1168"/>
      <c r="O10" s="1168"/>
      <c r="P10" s="1168"/>
      <c r="Q10" s="1168"/>
      <c r="R10" s="1168"/>
      <c r="S10" s="1168"/>
      <c r="T10" s="1168"/>
      <c r="U10" s="1168"/>
      <c r="V10" s="1168"/>
      <c r="W10" s="1168"/>
      <c r="X10" s="1168"/>
      <c r="Y10" s="1168"/>
      <c r="Z10" s="1168"/>
      <c r="AA10" s="1168"/>
      <c r="AB10" s="1168"/>
      <c r="AC10" s="1168"/>
      <c r="AD10" s="1168"/>
      <c r="AE10" s="1168"/>
      <c r="AF10" s="1168"/>
      <c r="AG10" s="1168"/>
      <c r="AH10" s="1168"/>
      <c r="AI10" s="1168"/>
      <c r="AJ10" s="1168"/>
      <c r="AK10" s="1168"/>
      <c r="AL10" s="1168"/>
      <c r="AM10" s="1168"/>
      <c r="AN10" s="1168"/>
      <c r="AO10" s="1168"/>
      <c r="AP10" s="1168"/>
      <c r="AQ10" s="1168"/>
      <c r="AR10" s="1168"/>
      <c r="AS10" s="1169"/>
      <c r="AU10" s="1119" t="s">
        <v>292</v>
      </c>
      <c r="AV10" s="1119"/>
      <c r="AW10" s="1119"/>
      <c r="AX10" s="1119"/>
      <c r="AY10" s="1119"/>
      <c r="AZ10" s="1119"/>
      <c r="BA10" s="1119"/>
      <c r="BB10" s="1119"/>
      <c r="BC10" s="1119"/>
      <c r="BD10" s="1119"/>
      <c r="BE10" s="1119"/>
      <c r="BF10" s="1119"/>
      <c r="BG10" s="1119"/>
      <c r="BH10" s="1119"/>
      <c r="BI10" s="1119"/>
      <c r="BJ10" s="1119"/>
      <c r="BK10" s="1119"/>
      <c r="BL10" s="1119"/>
      <c r="BM10" s="1119"/>
      <c r="BN10" s="1119"/>
      <c r="BO10" s="1119"/>
      <c r="BP10" s="1119"/>
      <c r="BQ10" s="1119"/>
      <c r="BR10" s="1119"/>
      <c r="BS10" s="1119"/>
      <c r="BT10" s="1119"/>
      <c r="BU10" s="1119"/>
      <c r="BV10" s="1119"/>
      <c r="BW10" s="1119"/>
      <c r="BX10" s="1119"/>
      <c r="BY10" s="1119"/>
      <c r="BZ10" s="1119"/>
      <c r="CA10" s="1119"/>
      <c r="CB10" s="1119"/>
      <c r="CC10" s="1119"/>
      <c r="CD10" s="1119"/>
      <c r="CE10" s="1119"/>
      <c r="CF10" s="1119"/>
      <c r="CG10" s="1119"/>
      <c r="CH10" s="1119"/>
      <c r="CI10" s="1119"/>
      <c r="CJ10" s="1119"/>
      <c r="CK10" s="1119"/>
      <c r="CL10" s="1119"/>
      <c r="CM10" s="1119"/>
      <c r="CN10" s="1119"/>
      <c r="CO10" s="1119"/>
      <c r="CP10" s="1119"/>
      <c r="CQ10" s="1119"/>
      <c r="CR10" s="1119"/>
      <c r="CS10" s="1119"/>
      <c r="CT10" s="1119"/>
      <c r="CU10" s="1119"/>
      <c r="CV10" s="1119"/>
      <c r="CW10" s="1119"/>
      <c r="CX10" s="1119"/>
      <c r="CY10" s="1119"/>
      <c r="CZ10" s="1119"/>
      <c r="DA10" s="1119"/>
      <c r="DB10" s="1119"/>
      <c r="DC10" s="1119"/>
      <c r="DD10" s="1119"/>
      <c r="DE10" s="1119"/>
      <c r="DF10" s="1119"/>
      <c r="DG10" s="1119"/>
      <c r="DH10" s="1119"/>
    </row>
    <row r="11" spans="1:112" s="91" customFormat="1" ht="39.75" customHeight="1" x14ac:dyDescent="0.2">
      <c r="A11" s="90"/>
      <c r="B11" s="1120" t="s">
        <v>52</v>
      </c>
      <c r="C11" s="1171" t="s">
        <v>179</v>
      </c>
      <c r="D11" s="1123" t="s">
        <v>250</v>
      </c>
      <c r="E11" s="1125"/>
      <c r="F11" s="1123" t="s">
        <v>251</v>
      </c>
      <c r="G11" s="1123" t="s">
        <v>252</v>
      </c>
      <c r="H11" s="1123" t="s">
        <v>252</v>
      </c>
      <c r="I11" s="1123" t="s">
        <v>253</v>
      </c>
      <c r="J11" s="1123" t="s">
        <v>254</v>
      </c>
      <c r="K11" s="1123" t="s">
        <v>180</v>
      </c>
      <c r="L11" s="1134" t="s">
        <v>181</v>
      </c>
      <c r="M11" s="1123" t="s">
        <v>182</v>
      </c>
      <c r="N11" s="1123" t="s">
        <v>255</v>
      </c>
      <c r="O11" s="1123" t="s">
        <v>183</v>
      </c>
      <c r="P11" s="1132" t="s">
        <v>256</v>
      </c>
      <c r="Q11" s="1123" t="s">
        <v>257</v>
      </c>
      <c r="R11" s="1123" t="s">
        <v>258</v>
      </c>
      <c r="S11" s="1123" t="s">
        <v>259</v>
      </c>
      <c r="T11" s="1123" t="s">
        <v>152</v>
      </c>
      <c r="U11" s="1134" t="s">
        <v>184</v>
      </c>
      <c r="V11" s="1134" t="s">
        <v>185</v>
      </c>
      <c r="W11" s="1134" t="s">
        <v>186</v>
      </c>
      <c r="X11" s="1175" t="s">
        <v>187</v>
      </c>
      <c r="Y11" s="1134" t="s">
        <v>153</v>
      </c>
      <c r="Z11" s="1155" t="s">
        <v>188</v>
      </c>
      <c r="AA11" s="1123" t="s">
        <v>53</v>
      </c>
      <c r="AB11" s="1123" t="s">
        <v>54</v>
      </c>
      <c r="AC11" s="1132" t="s">
        <v>260</v>
      </c>
      <c r="AD11" s="1134" t="s">
        <v>189</v>
      </c>
      <c r="AE11" s="1123" t="s">
        <v>56</v>
      </c>
      <c r="AF11" s="1123" t="s">
        <v>261</v>
      </c>
      <c r="AG11" s="1123" t="s">
        <v>262</v>
      </c>
      <c r="AH11" s="1123" t="s">
        <v>263</v>
      </c>
      <c r="AI11" s="1123" t="s">
        <v>264</v>
      </c>
      <c r="AJ11" s="1125"/>
      <c r="AK11" s="1126" t="s">
        <v>265</v>
      </c>
      <c r="AL11" s="1127"/>
      <c r="AM11" s="1128"/>
      <c r="AN11" s="1173" t="s">
        <v>266</v>
      </c>
      <c r="AO11" s="1174"/>
      <c r="AP11" s="1129" t="s">
        <v>267</v>
      </c>
      <c r="AQ11" s="1130"/>
      <c r="AR11" s="1123" t="s">
        <v>268</v>
      </c>
      <c r="AS11" s="1131"/>
      <c r="AT11" s="1149"/>
      <c r="AU11" s="1151" t="s">
        <v>57</v>
      </c>
      <c r="AV11" s="1118" t="s">
        <v>58</v>
      </c>
      <c r="AW11" s="93"/>
      <c r="AX11" s="1152" t="s">
        <v>59</v>
      </c>
      <c r="AY11" s="1152"/>
      <c r="AZ11" s="1152"/>
      <c r="BA11" s="1152"/>
      <c r="BB11" s="1157" t="s">
        <v>60</v>
      </c>
      <c r="BC11" s="1157"/>
      <c r="BD11" s="1158" t="s">
        <v>190</v>
      </c>
      <c r="BE11" s="1158" t="s">
        <v>61</v>
      </c>
      <c r="BF11" s="1158" t="s">
        <v>62</v>
      </c>
      <c r="BG11" s="1152" t="s">
        <v>63</v>
      </c>
      <c r="BH11" s="1152"/>
      <c r="BI11" s="1152" t="s">
        <v>64</v>
      </c>
      <c r="BJ11" s="1152"/>
      <c r="BK11" s="1152" t="s">
        <v>65</v>
      </c>
      <c r="BL11" s="1152"/>
      <c r="BM11" s="1152"/>
      <c r="BN11" s="1152"/>
      <c r="BO11" s="1152"/>
      <c r="BP11" s="1152"/>
      <c r="BQ11" s="1152"/>
      <c r="BR11" s="1152"/>
      <c r="BS11" s="1152"/>
      <c r="BT11" s="1152"/>
      <c r="BU11" s="1152"/>
      <c r="BV11" s="1152"/>
      <c r="BW11" s="1152" t="s">
        <v>66</v>
      </c>
      <c r="BX11" s="1152"/>
      <c r="BY11" s="1152"/>
      <c r="BZ11" s="1152"/>
      <c r="CA11" s="1152"/>
      <c r="CB11" s="1152" t="s">
        <v>67</v>
      </c>
      <c r="CC11" s="1152"/>
      <c r="CD11" s="1152"/>
      <c r="CE11" s="1152"/>
      <c r="CF11" s="1152"/>
      <c r="CG11" s="1152"/>
      <c r="CH11" s="1152" t="s">
        <v>68</v>
      </c>
      <c r="CI11" s="1152"/>
      <c r="CJ11" s="1152" t="s">
        <v>191</v>
      </c>
      <c r="CK11" s="1152"/>
      <c r="CL11" s="1152"/>
      <c r="CM11" s="1152"/>
      <c r="CN11" s="1152"/>
      <c r="CO11" s="1152" t="s">
        <v>69</v>
      </c>
      <c r="CP11" s="1152"/>
      <c r="CQ11" s="1152"/>
      <c r="CR11" s="1152"/>
      <c r="CS11" s="1152"/>
      <c r="CT11" s="1152"/>
      <c r="CU11" s="1152"/>
      <c r="CV11" s="1152"/>
      <c r="CW11" s="1152"/>
      <c r="CX11" s="1152"/>
      <c r="CY11" s="1152"/>
      <c r="CZ11" s="1152"/>
      <c r="DA11" s="1118" t="s">
        <v>70</v>
      </c>
      <c r="DB11" s="1118" t="s">
        <v>71</v>
      </c>
      <c r="DC11" s="1118" t="s">
        <v>72</v>
      </c>
      <c r="DD11" s="1118" t="s">
        <v>73</v>
      </c>
      <c r="DE11" s="1118" t="s">
        <v>74</v>
      </c>
      <c r="DF11" s="1118" t="s">
        <v>75</v>
      </c>
      <c r="DG11" s="1118" t="s">
        <v>76</v>
      </c>
      <c r="DH11" s="1118" t="s">
        <v>1315</v>
      </c>
    </row>
    <row r="12" spans="1:112" s="84" customFormat="1" ht="72.75" customHeight="1" thickBot="1" x14ac:dyDescent="0.25">
      <c r="A12" s="92"/>
      <c r="B12" s="1121"/>
      <c r="C12" s="1172"/>
      <c r="D12" s="198" t="s">
        <v>77</v>
      </c>
      <c r="E12" s="198" t="s">
        <v>78</v>
      </c>
      <c r="F12" s="1124"/>
      <c r="G12" s="1124"/>
      <c r="H12" s="1170"/>
      <c r="I12" s="1124"/>
      <c r="J12" s="1124"/>
      <c r="K12" s="1124"/>
      <c r="L12" s="1135"/>
      <c r="M12" s="1124"/>
      <c r="N12" s="1124"/>
      <c r="O12" s="1124"/>
      <c r="P12" s="1133"/>
      <c r="Q12" s="1124"/>
      <c r="R12" s="1124"/>
      <c r="S12" s="1124"/>
      <c r="T12" s="1124"/>
      <c r="U12" s="1135"/>
      <c r="V12" s="1135"/>
      <c r="W12" s="1135"/>
      <c r="X12" s="1176"/>
      <c r="Y12" s="1135"/>
      <c r="Z12" s="1156"/>
      <c r="AA12" s="1124"/>
      <c r="AB12" s="1124"/>
      <c r="AC12" s="1133"/>
      <c r="AD12" s="1135"/>
      <c r="AE12" s="1124"/>
      <c r="AF12" s="1124"/>
      <c r="AG12" s="1124"/>
      <c r="AH12" s="1124"/>
      <c r="AI12" s="199" t="s">
        <v>269</v>
      </c>
      <c r="AJ12" s="199" t="s">
        <v>270</v>
      </c>
      <c r="AK12" s="199" t="s">
        <v>271</v>
      </c>
      <c r="AL12" s="199" t="s">
        <v>269</v>
      </c>
      <c r="AM12" s="199" t="s">
        <v>270</v>
      </c>
      <c r="AN12" s="200" t="s">
        <v>269</v>
      </c>
      <c r="AO12" s="200" t="s">
        <v>270</v>
      </c>
      <c r="AP12" s="201" t="s">
        <v>269</v>
      </c>
      <c r="AQ12" s="201" t="s">
        <v>270</v>
      </c>
      <c r="AR12" s="199" t="s">
        <v>269</v>
      </c>
      <c r="AS12" s="202" t="s">
        <v>270</v>
      </c>
      <c r="AT12" s="1150"/>
      <c r="AU12" s="1151"/>
      <c r="AV12" s="1118"/>
      <c r="AW12" s="94" t="s">
        <v>192</v>
      </c>
      <c r="AX12" s="94" t="s">
        <v>79</v>
      </c>
      <c r="AY12" s="93" t="s">
        <v>193</v>
      </c>
      <c r="AZ12" s="93" t="s">
        <v>80</v>
      </c>
      <c r="BA12" s="93" t="s">
        <v>81</v>
      </c>
      <c r="BB12" s="93" t="s">
        <v>82</v>
      </c>
      <c r="BC12" s="93" t="s">
        <v>83</v>
      </c>
      <c r="BD12" s="1158"/>
      <c r="BE12" s="1158"/>
      <c r="BF12" s="1158"/>
      <c r="BG12" s="94" t="s">
        <v>84</v>
      </c>
      <c r="BH12" s="93" t="s">
        <v>85</v>
      </c>
      <c r="BI12" s="93" t="s">
        <v>86</v>
      </c>
      <c r="BJ12" s="93" t="s">
        <v>87</v>
      </c>
      <c r="BK12" s="93" t="s">
        <v>88</v>
      </c>
      <c r="BL12" s="93" t="s">
        <v>89</v>
      </c>
      <c r="BM12" s="93" t="s">
        <v>90</v>
      </c>
      <c r="BN12" s="93" t="s">
        <v>91</v>
      </c>
      <c r="BO12" s="93" t="s">
        <v>92</v>
      </c>
      <c r="BP12" s="93" t="s">
        <v>93</v>
      </c>
      <c r="BQ12" s="93" t="s">
        <v>94</v>
      </c>
      <c r="BR12" s="93" t="s">
        <v>95</v>
      </c>
      <c r="BS12" s="93" t="s">
        <v>96</v>
      </c>
      <c r="BT12" s="93" t="s">
        <v>97</v>
      </c>
      <c r="BU12" s="93" t="s">
        <v>98</v>
      </c>
      <c r="BV12" s="93" t="s">
        <v>99</v>
      </c>
      <c r="BW12" s="93" t="s">
        <v>100</v>
      </c>
      <c r="BX12" s="93" t="s">
        <v>101</v>
      </c>
      <c r="BY12" s="93" t="s">
        <v>102</v>
      </c>
      <c r="BZ12" s="93" t="s">
        <v>103</v>
      </c>
      <c r="CA12" s="93" t="s">
        <v>104</v>
      </c>
      <c r="CB12" s="93" t="s">
        <v>105</v>
      </c>
      <c r="CC12" s="93" t="s">
        <v>90</v>
      </c>
      <c r="CD12" s="93" t="s">
        <v>106</v>
      </c>
      <c r="CE12" s="93" t="s">
        <v>93</v>
      </c>
      <c r="CF12" s="93" t="s">
        <v>107</v>
      </c>
      <c r="CG12" s="93" t="s">
        <v>96</v>
      </c>
      <c r="CH12" s="93" t="s">
        <v>108</v>
      </c>
      <c r="CI12" s="93" t="s">
        <v>109</v>
      </c>
      <c r="CJ12" s="93" t="s">
        <v>7</v>
      </c>
      <c r="CK12" s="93" t="s">
        <v>110</v>
      </c>
      <c r="CL12" s="93" t="s">
        <v>111</v>
      </c>
      <c r="CM12" s="95" t="s">
        <v>112</v>
      </c>
      <c r="CN12" s="93" t="s">
        <v>113</v>
      </c>
      <c r="CO12" s="93" t="s">
        <v>88</v>
      </c>
      <c r="CP12" s="93" t="s">
        <v>89</v>
      </c>
      <c r="CQ12" s="93" t="s">
        <v>90</v>
      </c>
      <c r="CR12" s="93" t="s">
        <v>91</v>
      </c>
      <c r="CS12" s="93" t="s">
        <v>92</v>
      </c>
      <c r="CT12" s="93" t="s">
        <v>93</v>
      </c>
      <c r="CU12" s="93" t="s">
        <v>94</v>
      </c>
      <c r="CV12" s="93" t="s">
        <v>95</v>
      </c>
      <c r="CW12" s="93" t="s">
        <v>96</v>
      </c>
      <c r="CX12" s="93" t="s">
        <v>97</v>
      </c>
      <c r="CY12" s="93" t="s">
        <v>98</v>
      </c>
      <c r="CZ12" s="93" t="s">
        <v>99</v>
      </c>
      <c r="DA12" s="1118"/>
      <c r="DB12" s="1118"/>
      <c r="DC12" s="1118"/>
      <c r="DD12" s="1118"/>
      <c r="DE12" s="1118"/>
      <c r="DF12" s="1118"/>
      <c r="DG12" s="1118"/>
      <c r="DH12" s="1118"/>
    </row>
    <row r="13" spans="1:112" ht="16.5" customHeight="1" thickBot="1" x14ac:dyDescent="0.25">
      <c r="A13" s="120"/>
      <c r="B13" s="35"/>
      <c r="AM13" s="122"/>
      <c r="AT13" s="101"/>
      <c r="AU13" s="1151"/>
      <c r="AV13" s="607" t="s">
        <v>3</v>
      </c>
      <c r="AW13" s="608" t="s">
        <v>37</v>
      </c>
      <c r="AX13" s="608" t="s">
        <v>37</v>
      </c>
      <c r="AY13" s="608" t="s">
        <v>114</v>
      </c>
      <c r="AZ13" s="608" t="s">
        <v>114</v>
      </c>
      <c r="BA13" s="609" t="s">
        <v>36</v>
      </c>
      <c r="BB13" s="607" t="s">
        <v>3</v>
      </c>
      <c r="BC13" s="607" t="s">
        <v>3</v>
      </c>
      <c r="BD13" s="607" t="s">
        <v>3</v>
      </c>
      <c r="BE13" s="610" t="s">
        <v>36</v>
      </c>
      <c r="BF13" s="610" t="s">
        <v>36</v>
      </c>
      <c r="BG13" s="607" t="s">
        <v>3</v>
      </c>
      <c r="BH13" s="607" t="s">
        <v>3</v>
      </c>
      <c r="BI13" s="607" t="s">
        <v>3</v>
      </c>
      <c r="BJ13" s="607" t="s">
        <v>3</v>
      </c>
      <c r="BK13" s="607" t="s">
        <v>2</v>
      </c>
      <c r="BL13" s="607" t="s">
        <v>2</v>
      </c>
      <c r="BM13" s="607" t="s">
        <v>2</v>
      </c>
      <c r="BN13" s="607" t="s">
        <v>2</v>
      </c>
      <c r="BO13" s="607" t="s">
        <v>2</v>
      </c>
      <c r="BP13" s="607" t="s">
        <v>2</v>
      </c>
      <c r="BQ13" s="607" t="s">
        <v>2</v>
      </c>
      <c r="BR13" s="607" t="s">
        <v>2</v>
      </c>
      <c r="BS13" s="607" t="s">
        <v>2</v>
      </c>
      <c r="BT13" s="607" t="s">
        <v>2</v>
      </c>
      <c r="BU13" s="607" t="s">
        <v>2</v>
      </c>
      <c r="BV13" s="607" t="s">
        <v>2</v>
      </c>
      <c r="BW13" s="607" t="s">
        <v>2</v>
      </c>
      <c r="BX13" s="611" t="s">
        <v>115</v>
      </c>
      <c r="BY13" s="611" t="s">
        <v>115</v>
      </c>
      <c r="BZ13" s="607" t="s">
        <v>2</v>
      </c>
      <c r="CA13" s="607" t="s">
        <v>2</v>
      </c>
      <c r="CB13" s="607" t="s">
        <v>1</v>
      </c>
      <c r="CC13" s="607" t="s">
        <v>1</v>
      </c>
      <c r="CD13" s="607" t="s">
        <v>1</v>
      </c>
      <c r="CE13" s="607" t="s">
        <v>1</v>
      </c>
      <c r="CF13" s="607" t="s">
        <v>1</v>
      </c>
      <c r="CG13" s="607" t="s">
        <v>1</v>
      </c>
      <c r="CH13" s="607" t="s">
        <v>1</v>
      </c>
      <c r="CI13" s="607" t="s">
        <v>1</v>
      </c>
      <c r="CJ13" s="609" t="s">
        <v>36</v>
      </c>
      <c r="CK13" s="607" t="s">
        <v>2</v>
      </c>
      <c r="CL13" s="607" t="s">
        <v>2</v>
      </c>
      <c r="CM13" s="612" t="s">
        <v>115</v>
      </c>
      <c r="CN13" s="607" t="s">
        <v>2</v>
      </c>
      <c r="CO13" s="607" t="s">
        <v>2</v>
      </c>
      <c r="CP13" s="607" t="s">
        <v>2</v>
      </c>
      <c r="CQ13" s="607" t="s">
        <v>2</v>
      </c>
      <c r="CR13" s="607" t="s">
        <v>2</v>
      </c>
      <c r="CS13" s="607" t="s">
        <v>2</v>
      </c>
      <c r="CT13" s="607" t="s">
        <v>2</v>
      </c>
      <c r="CU13" s="607" t="s">
        <v>2</v>
      </c>
      <c r="CV13" s="607" t="s">
        <v>2</v>
      </c>
      <c r="CW13" s="607" t="s">
        <v>2</v>
      </c>
      <c r="CX13" s="607" t="s">
        <v>2</v>
      </c>
      <c r="CY13" s="607" t="s">
        <v>2</v>
      </c>
      <c r="CZ13" s="607" t="s">
        <v>2</v>
      </c>
      <c r="DA13" s="607" t="s">
        <v>116</v>
      </c>
      <c r="DB13" s="607" t="s">
        <v>3</v>
      </c>
      <c r="DC13" s="607" t="s">
        <v>3</v>
      </c>
      <c r="DD13" s="607" t="s">
        <v>3</v>
      </c>
      <c r="DE13" s="607" t="s">
        <v>3</v>
      </c>
      <c r="DF13" s="607" t="s">
        <v>3</v>
      </c>
      <c r="DG13" s="607" t="s">
        <v>3</v>
      </c>
      <c r="DH13" s="607" t="s">
        <v>3</v>
      </c>
    </row>
    <row r="14" spans="1:112" ht="16.5" customHeight="1" x14ac:dyDescent="0.2">
      <c r="A14" s="258"/>
      <c r="B14" s="96" t="s">
        <v>117</v>
      </c>
      <c r="C14" s="554">
        <v>119</v>
      </c>
      <c r="D14" s="63">
        <v>15.67</v>
      </c>
      <c r="E14" s="63">
        <v>15.67</v>
      </c>
      <c r="F14" s="97">
        <v>0.6</v>
      </c>
      <c r="G14" s="97">
        <v>0.66181963923249476</v>
      </c>
      <c r="H14" s="97">
        <v>0.66181963923249476</v>
      </c>
      <c r="I14" s="97">
        <v>0.47093112643371221</v>
      </c>
      <c r="J14" s="63">
        <v>144.33655734137145</v>
      </c>
      <c r="K14" s="97">
        <v>1.9596891209842713</v>
      </c>
      <c r="L14" s="97">
        <v>0</v>
      </c>
      <c r="M14" s="97">
        <v>8.7907934434682478</v>
      </c>
      <c r="N14" s="97">
        <v>0.73540530392300829</v>
      </c>
      <c r="O14" s="97">
        <v>0.96199999999998909</v>
      </c>
      <c r="P14" s="98">
        <v>8.0840336134452868E-3</v>
      </c>
      <c r="Q14" s="97">
        <v>1.9596891209842715</v>
      </c>
      <c r="R14" s="97">
        <v>0.16199999999997772</v>
      </c>
      <c r="S14" s="99">
        <v>1.3613445378149389E-3</v>
      </c>
      <c r="T14" s="336">
        <v>1.0191916166079271</v>
      </c>
      <c r="U14" s="324">
        <v>0</v>
      </c>
      <c r="V14" s="324">
        <v>0</v>
      </c>
      <c r="W14" s="324">
        <v>1</v>
      </c>
      <c r="X14" s="325"/>
      <c r="Y14" s="336">
        <v>1</v>
      </c>
      <c r="Z14" s="326">
        <v>2.6969255222300852</v>
      </c>
      <c r="AA14" s="97">
        <v>0.32693723505155947</v>
      </c>
      <c r="AB14" s="97">
        <v>0.30180000000000001</v>
      </c>
      <c r="AC14" s="98">
        <v>0.87</v>
      </c>
      <c r="AD14" s="97">
        <v>0.87</v>
      </c>
      <c r="AE14" s="97">
        <v>0.30180000000000001</v>
      </c>
      <c r="AF14" s="97">
        <v>2.0098515878833672</v>
      </c>
      <c r="AG14" s="97">
        <v>0</v>
      </c>
      <c r="AH14" s="326">
        <v>2.0098515878833672</v>
      </c>
      <c r="AI14" s="637">
        <v>317.58</v>
      </c>
      <c r="AJ14" s="637">
        <v>317.41800000000001</v>
      </c>
      <c r="AK14" s="635"/>
      <c r="AL14" s="63">
        <v>3.8</v>
      </c>
      <c r="AM14" s="63">
        <v>4.5999999999999996</v>
      </c>
      <c r="AN14" s="333">
        <v>313.77999999999997</v>
      </c>
      <c r="AO14" s="333">
        <v>312.81799999999998</v>
      </c>
      <c r="AP14" s="97">
        <v>314.64999999999998</v>
      </c>
      <c r="AQ14" s="97">
        <v>313.68799999999999</v>
      </c>
      <c r="AR14" s="63">
        <v>2.6949999999999932</v>
      </c>
      <c r="AS14" s="100">
        <v>3.4950000000000045</v>
      </c>
      <c r="AT14" s="101"/>
      <c r="AU14" s="613" t="str">
        <f t="shared" ref="AU14:AV17" si="0">B14</f>
        <v>TR-01</v>
      </c>
      <c r="AV14" s="102">
        <f t="shared" si="0"/>
        <v>119</v>
      </c>
      <c r="AW14" s="103">
        <f t="shared" ref="AW14:AW17" si="1">U14</f>
        <v>0</v>
      </c>
      <c r="AX14" s="103">
        <f t="shared" ref="AX14:AX17" si="2">W14</f>
        <v>1</v>
      </c>
      <c r="AY14" s="103">
        <f t="shared" ref="AY14:AY17" si="3">V14</f>
        <v>0</v>
      </c>
      <c r="AZ14" s="103">
        <f t="shared" ref="AZ14:AZ17" si="4">Y14*1000</f>
        <v>1000</v>
      </c>
      <c r="BA14" s="339" t="s">
        <v>294</v>
      </c>
      <c r="BB14" s="105">
        <f t="shared" ref="BB14:BC17" si="5">AL14</f>
        <v>3.8</v>
      </c>
      <c r="BC14" s="105">
        <f t="shared" si="5"/>
        <v>4.5999999999999996</v>
      </c>
      <c r="BD14" s="105">
        <f t="shared" ref="BD14:BD17" si="6">IF(AZ14&gt;=1000,0.2,0)</f>
        <v>0.2</v>
      </c>
      <c r="BE14" s="106">
        <v>4</v>
      </c>
      <c r="BF14" s="106" t="str">
        <f t="shared" ref="BF14:BF17" si="7">IF(BG14&gt;1.25,"Com","Sem")</f>
        <v>Com</v>
      </c>
      <c r="BG14" s="105">
        <f t="shared" ref="BG14:BG17" si="8">AVERAGE(BB14:BC14)</f>
        <v>4.1999999999999993</v>
      </c>
      <c r="BH14" s="105">
        <f t="shared" ref="BH14:BH17" si="9">BG14+BD14+0.21*AZ14/1000</f>
        <v>4.6099999999999994</v>
      </c>
      <c r="BI14" s="105">
        <f t="shared" ref="BI14:BI17" si="10">IF(AX14=1,2*AZ14/1000,IF(AX14=2,((1.21*2*(AZ14/1000))+0.4),IF(AX14=3,((3*1.21*(AZ14/1000))+0.6),0)))</f>
        <v>2</v>
      </c>
      <c r="BJ14" s="105">
        <f t="shared" ref="BJ14:BJ17" si="11">IF(BE14=0,BI14,BI14+2*(1/BE14)*BH14)</f>
        <v>4.3049999999999997</v>
      </c>
      <c r="BK14" s="105" t="str">
        <f t="shared" ref="BK14:BK17" si="12">IF(AND(BH14&lt;=1.5,BJ14&lt;=0.8),(BJ14+BI14)*BH14/2*AV14,"")</f>
        <v/>
      </c>
      <c r="BL14" s="105" t="str">
        <f t="shared" ref="BL14:BL17" si="13">IF(AND(BH14&lt;=1.5,BJ14&gt;0.8,BJ14&lt;=1.5),(BJ14+BI14)*BH14/2*AV14,"")</f>
        <v/>
      </c>
      <c r="BM14" s="105" t="str">
        <f t="shared" ref="BM14:BM17" si="14">IF(AND(BH14&lt;=1.5,BJ14&gt;1.5),(BJ14+BI14)*BH14/2*AV14,"")</f>
        <v/>
      </c>
      <c r="BN14" s="105" t="str">
        <f t="shared" ref="BN14:BN17" si="15">IF(AND(BH14&gt;1.5,BH14&lt;=3,BJ14&lt;=0.8),(BJ14+BI14)*BH14/2*AV14,"")</f>
        <v/>
      </c>
      <c r="BO14" s="105" t="str">
        <f t="shared" ref="BO14:BO17" si="16">IF(AND(BH14&gt;1.5,BH14&lt;=3,BJ14&gt;0.8,BJ14&lt;=1.5),(BJ14+BI14)*BH14/2*AV14,"")</f>
        <v/>
      </c>
      <c r="BP14" s="105" t="str">
        <f t="shared" ref="BP14:BP17" si="17">IF(AND(BH14&gt;1.5,BH14&lt;=3,BJ14&gt;1.5),(BJ14+BI14)*BH14/2*AV14,"")</f>
        <v/>
      </c>
      <c r="BQ14" s="105" t="str">
        <f t="shared" ref="BQ14:BQ17" si="18">IF(AND(BH14&gt;3,BH14&lt;=4.5,BJ14&lt;=0.8),(BJ14+BI14)*BH14/2*AV14,"")</f>
        <v/>
      </c>
      <c r="BR14" s="105" t="str">
        <f t="shared" ref="BR14:BR17" si="19">IF(AND(BH14&gt;3,BH14&lt;=4.5,BJ14&gt;0.8,BJ14&lt;=1.5),(BJ14+BI14)*BH14/2*AV14,"")</f>
        <v/>
      </c>
      <c r="BS14" s="105" t="str">
        <f t="shared" ref="BS14:BS17" si="20">IF(AND(BH14&gt;3,BH14&lt;=4.5,BJ14&gt;1.5),(BJ14+BI14)*BH14/2*AV14,"")</f>
        <v/>
      </c>
      <c r="BT14" s="105" t="str">
        <f t="shared" ref="BT14:BT17" si="21">IF(AND(BH14&gt;4.5,BJ14&lt;=0.8),(BJ14+BI14)*BH14/2*AV14,"")</f>
        <v/>
      </c>
      <c r="BU14" s="105" t="str">
        <f t="shared" ref="BU14:BU17" si="22">IF(AND(BH14&gt;4.5,BJ14&gt;0.8,BJ14&lt;=1.5),(BJ14+BI14)*BH14/2*AV14,"")</f>
        <v/>
      </c>
      <c r="BV14" s="105">
        <f t="shared" ref="BV14:BV17" si="23">IF(AND(BH14&gt;4.5,BJ14&gt;1.5),(BJ14+BI14)*BH14/2*AV14,"")</f>
        <v>1729.4299749999996</v>
      </c>
      <c r="BW14" s="105">
        <f t="shared" ref="BW14:BW17" si="24">(PI()*(AZ14/1000*1.21)^2/4*AV14)*AX14</f>
        <v>136.83827267259426</v>
      </c>
      <c r="BX14" s="107">
        <v>0</v>
      </c>
      <c r="BY14" s="107">
        <v>0.15</v>
      </c>
      <c r="BZ14" s="105">
        <f t="shared" ref="BZ14:BZ17" si="25">BX14*SUM(BK14:BV14)</f>
        <v>0</v>
      </c>
      <c r="CA14" s="105">
        <f t="shared" ref="CA14:CA17" si="26">MAX(BZ14,BW14)*(1+BY14)</f>
        <v>157.36401357348339</v>
      </c>
      <c r="CB14" s="105" t="str">
        <f t="shared" ref="CB14:CB17" si="27">IF(BF14="Sem","",IF(AND(BH14&lt;=1.5,BJ14&lt;=1.5),2*BH14*AV14,""))</f>
        <v/>
      </c>
      <c r="CC14" s="105" t="str">
        <f t="shared" ref="CC14:CC17" si="28">IF(BF14="Sem","",IF(AND(BH14&lt;=1.5,BJ14&gt;1.5),2*BH14*AV14,""))</f>
        <v/>
      </c>
      <c r="CD14" s="105" t="str">
        <f t="shared" ref="CD14:CD17" si="29">IF(BF14="Sem","",IF(AND(BH14&gt;1.5,BH14&lt;=3,BJ14&lt;=1.5),2*BH14*AV14,""))</f>
        <v/>
      </c>
      <c r="CE14" s="105" t="str">
        <f t="shared" ref="CE14:CE17" si="30">IF(BF14="Sem","",IF(AND(BH14&gt;1.5,BH14&lt;=3,BJ14&gt;1.5),2*BH14*AV14,""))</f>
        <v/>
      </c>
      <c r="CF14" s="105" t="str">
        <f t="shared" ref="CF14:CF17" si="31">IF(BF14="Sem","",IF(AND(BH14&gt;3,BJ14&lt;=1.5),2*BH14*AV14,""))</f>
        <v/>
      </c>
      <c r="CG14" s="105">
        <f t="shared" ref="CG14:CG17" si="32">IF(BF14="Sem","",IF(AND(BH14&gt;3,BJ14&gt;1.5),2*BH14*AV14,""))</f>
        <v>1097.1799999999998</v>
      </c>
      <c r="CH14" s="105" t="str">
        <f t="shared" ref="CH14:CH17" si="33">IF(BD14&lt;&gt;0,"",IF(BI14&lt;1.5,BI14*AV14,""))</f>
        <v/>
      </c>
      <c r="CI14" s="105" t="str">
        <f t="shared" ref="CI14:CI17" si="34">IF(BD14&lt;&gt;0,"",IF(BI14&gt;=1.5,BI14*AV14,""))</f>
        <v/>
      </c>
      <c r="CJ14" s="104" t="s">
        <v>119</v>
      </c>
      <c r="CK14" s="105" t="str">
        <f t="shared" ref="CK14:CK17" si="35">IF(BD14=0,"",IF(BI14&lt;1.5,BD14*BI14*AV14,""))</f>
        <v/>
      </c>
      <c r="CL14" s="105">
        <f t="shared" ref="CL14:CL17" si="36">IF(BD14=0,"",IF(BI14&gt;=1.5,BD14*BI14*AV14,""))</f>
        <v>47.6</v>
      </c>
      <c r="CM14" s="108">
        <v>0.1</v>
      </c>
      <c r="CN14" s="105">
        <f t="shared" ref="CN14:CN17" si="37">SUM(CK14:CL14)*(1+CM14)</f>
        <v>52.360000000000007</v>
      </c>
      <c r="CO14" s="105" t="str">
        <f t="shared" ref="CO14:CO17" si="38">IF(AND(BH14&lt;=1.5,BJ14&lt;=0.8),SUM(BK14:BV14)-BW14,"")</f>
        <v/>
      </c>
      <c r="CP14" s="105" t="str">
        <f t="shared" ref="CP14:CP17" si="39">IF(AND(BH14&lt;=1.5,BJ14&gt;0.8,BJ14&lt;=1.5),SUM(BK14:BV14)-BW14,"")</f>
        <v/>
      </c>
      <c r="CQ14" s="105" t="str">
        <f t="shared" ref="CQ14:CQ17" si="40">IF(AND(BH14&lt;=1.5,BJ14&gt;1.5),SUM(BK14:BV14)-BW14,"")</f>
        <v/>
      </c>
      <c r="CR14" s="105" t="str">
        <f t="shared" ref="CR14:CR17" si="41">IF(AND(BH14&gt;1.5,BH14&lt;=3,BJ14&lt;=0.8),SUM(BK14:BV14)-BW14,"")</f>
        <v/>
      </c>
      <c r="CS14" s="105" t="str">
        <f t="shared" ref="CS14:CS17" si="42">IF(AND(BH14&gt;1.5,BH14&lt;=3,BJ14&gt;0.8,BJ14&lt;=1.5),SUM(BK14:BV14)-BW14,"")</f>
        <v/>
      </c>
      <c r="CT14" s="105" t="str">
        <f t="shared" ref="CT14:CT17" si="43">IF(AND(BH14&gt;1.5,BH14&lt;=3,BJ14&gt;1.5),SUM(BK14:BV14)-BW14,"")</f>
        <v/>
      </c>
      <c r="CU14" s="105" t="str">
        <f t="shared" ref="CU14:CU17" si="44">IF(AND(BH14&gt;3,BH14&lt;=4.5,BJ14&lt;=0.8),SUM(BK14:BV14)-BW14,"")</f>
        <v/>
      </c>
      <c r="CV14" s="105" t="str">
        <f t="shared" ref="CV14:CV17" si="45">IF(AND(BH14&gt;3,BH14&lt;=4.5,BJ14&gt;0.8,BJ14&lt;=1.5),SUM(BK14:BV14)-BW14,"")</f>
        <v/>
      </c>
      <c r="CW14" s="105" t="str">
        <f t="shared" ref="CW14:CW17" si="46">IF(AND(BH14&gt;3,BH14&lt;=4.5,BJ14&gt;1.5),SUM(BK14:BV14)-BW14,"")</f>
        <v/>
      </c>
      <c r="CX14" s="105" t="str">
        <f t="shared" ref="CX14:CX17" si="47">IF(AND(BH14&gt;4.5,BJ14&lt;=0.8),SUM(BK14:BV14)-BW14,"")</f>
        <v/>
      </c>
      <c r="CY14" s="105" t="str">
        <f t="shared" ref="CY14:CY17" si="48">IF(AND(BH14&gt;4.5,BJ14&gt;0.8,BJ14&lt;=1.5),SUM(BK14:BV14)-BW14,"")</f>
        <v/>
      </c>
      <c r="CZ14" s="105">
        <f t="shared" ref="CZ14:CZ17" si="49">IF(AND(BH14&gt;4.5,BJ14&gt;1.5),SUM(BK14:BV14)-BW14,"")</f>
        <v>1592.5917023274053</v>
      </c>
      <c r="DA14" s="105">
        <f>HLOOKUP(AZ14,$BC$37:$BE$38,2,FALSE)*AV14*AX14</f>
        <v>4.165</v>
      </c>
      <c r="DB14" s="105">
        <f t="shared" ref="DB14:DB17" si="50">IF(AZ14=400,AV14*AX14,0)</f>
        <v>0</v>
      </c>
      <c r="DC14" s="105">
        <f t="shared" ref="DC14:DC17" si="51">IF($AZ14=600,$AV14*AX14,0)</f>
        <v>0</v>
      </c>
      <c r="DD14" s="105">
        <f t="shared" ref="DD14:DD17" si="52">IF($AZ14=800,$AV14*AX14,0)</f>
        <v>0</v>
      </c>
      <c r="DE14" s="105">
        <f t="shared" ref="DE14:DE17" si="53">IF($AZ14=1000,$AV14*AX14,0)</f>
        <v>119</v>
      </c>
      <c r="DF14" s="105">
        <f t="shared" ref="DF14:DF17" si="54">IF($AZ14=1200,$AV14*AX14,0)</f>
        <v>0</v>
      </c>
      <c r="DG14" s="105"/>
      <c r="DH14" s="105">
        <f>IF(AL14=0,0,(IF(AL14&lt;=1.9,0.3,AL14-1.5)))</f>
        <v>2.2999999999999998</v>
      </c>
    </row>
    <row r="15" spans="1:112" ht="16.5" customHeight="1" x14ac:dyDescent="0.2">
      <c r="A15" s="258"/>
      <c r="B15" s="110" t="s">
        <v>120</v>
      </c>
      <c r="C15" s="555">
        <v>120</v>
      </c>
      <c r="D15" s="111">
        <v>4.5199999999999996</v>
      </c>
      <c r="E15" s="111">
        <v>20.189999999999998</v>
      </c>
      <c r="F15" s="109">
        <v>0.6</v>
      </c>
      <c r="G15" s="109">
        <v>0.63713219666901966</v>
      </c>
      <c r="H15" s="109">
        <v>0.63713219666901966</v>
      </c>
      <c r="I15" s="109">
        <v>0.47949843832047256</v>
      </c>
      <c r="J15" s="111">
        <v>140.59639404722219</v>
      </c>
      <c r="K15" s="109">
        <v>2.4108603049188826</v>
      </c>
      <c r="L15" s="109">
        <v>0</v>
      </c>
      <c r="M15" s="109">
        <v>9.5261987473912555</v>
      </c>
      <c r="N15" s="109">
        <v>0.59832346475811948</v>
      </c>
      <c r="O15" s="109">
        <v>1.4849999999999568</v>
      </c>
      <c r="P15" s="112">
        <v>1.237499999999964E-2</v>
      </c>
      <c r="Q15" s="109">
        <v>0.53972702220076019</v>
      </c>
      <c r="R15" s="109">
        <v>1.8849999999999909</v>
      </c>
      <c r="S15" s="113">
        <v>1.5708333333333258E-2</v>
      </c>
      <c r="T15" s="337">
        <v>1.0170169971948901</v>
      </c>
      <c r="U15" s="327">
        <v>0</v>
      </c>
      <c r="V15" s="327">
        <v>0</v>
      </c>
      <c r="W15" s="327">
        <v>1</v>
      </c>
      <c r="X15" s="328"/>
      <c r="Y15" s="337">
        <v>1</v>
      </c>
      <c r="Z15" s="329">
        <v>3.3426735165877668</v>
      </c>
      <c r="AA15" s="109">
        <v>0.32508033719888479</v>
      </c>
      <c r="AB15" s="109">
        <v>0.30259999999999998</v>
      </c>
      <c r="AC15" s="112">
        <v>0.86</v>
      </c>
      <c r="AD15" s="109">
        <v>0.86</v>
      </c>
      <c r="AE15" s="109">
        <v>0.30259999999999998</v>
      </c>
      <c r="AF15" s="109">
        <v>2.4866950953317239</v>
      </c>
      <c r="AG15" s="109">
        <v>0</v>
      </c>
      <c r="AH15" s="329">
        <v>2.4866950953317239</v>
      </c>
      <c r="AI15" s="638">
        <v>317.41800000000001</v>
      </c>
      <c r="AJ15" s="638">
        <v>315.53300000000002</v>
      </c>
      <c r="AK15" s="137"/>
      <c r="AL15" s="111">
        <v>4.5999999999999996</v>
      </c>
      <c r="AM15" s="111">
        <v>4.2</v>
      </c>
      <c r="AN15" s="334">
        <v>312.81799999999998</v>
      </c>
      <c r="AO15" s="334">
        <v>311.33300000000003</v>
      </c>
      <c r="AP15" s="109">
        <v>313.678</v>
      </c>
      <c r="AQ15" s="109">
        <v>312.19300000000004</v>
      </c>
      <c r="AR15" s="111">
        <v>3.4950000000000045</v>
      </c>
      <c r="AS15" s="114">
        <v>3.0949999999999704</v>
      </c>
      <c r="AT15" s="101"/>
      <c r="AU15" s="613" t="str">
        <f t="shared" si="0"/>
        <v>TR-02</v>
      </c>
      <c r="AV15" s="102">
        <f t="shared" si="0"/>
        <v>120</v>
      </c>
      <c r="AW15" s="103">
        <f t="shared" si="1"/>
        <v>0</v>
      </c>
      <c r="AX15" s="103">
        <f t="shared" si="2"/>
        <v>1</v>
      </c>
      <c r="AY15" s="103">
        <f t="shared" si="3"/>
        <v>0</v>
      </c>
      <c r="AZ15" s="103">
        <f t="shared" si="4"/>
        <v>1000</v>
      </c>
      <c r="BA15" s="339" t="s">
        <v>294</v>
      </c>
      <c r="BB15" s="105">
        <f t="shared" si="5"/>
        <v>4.5999999999999996</v>
      </c>
      <c r="BC15" s="105">
        <f t="shared" si="5"/>
        <v>4.2</v>
      </c>
      <c r="BD15" s="105">
        <f t="shared" si="6"/>
        <v>0.2</v>
      </c>
      <c r="BE15" s="106">
        <v>4</v>
      </c>
      <c r="BF15" s="106" t="str">
        <f t="shared" si="7"/>
        <v>Com</v>
      </c>
      <c r="BG15" s="105">
        <f t="shared" si="8"/>
        <v>4.4000000000000004</v>
      </c>
      <c r="BH15" s="105">
        <f t="shared" si="9"/>
        <v>4.8100000000000005</v>
      </c>
      <c r="BI15" s="105">
        <f t="shared" si="10"/>
        <v>2</v>
      </c>
      <c r="BJ15" s="105">
        <f t="shared" si="11"/>
        <v>4.4050000000000002</v>
      </c>
      <c r="BK15" s="105" t="str">
        <f t="shared" si="12"/>
        <v/>
      </c>
      <c r="BL15" s="105" t="str">
        <f t="shared" si="13"/>
        <v/>
      </c>
      <c r="BM15" s="105" t="str">
        <f t="shared" si="14"/>
        <v/>
      </c>
      <c r="BN15" s="105" t="str">
        <f t="shared" si="15"/>
        <v/>
      </c>
      <c r="BO15" s="105" t="str">
        <f t="shared" si="16"/>
        <v/>
      </c>
      <c r="BP15" s="105" t="str">
        <f t="shared" si="17"/>
        <v/>
      </c>
      <c r="BQ15" s="105" t="str">
        <f t="shared" si="18"/>
        <v/>
      </c>
      <c r="BR15" s="105" t="str">
        <f t="shared" si="19"/>
        <v/>
      </c>
      <c r="BS15" s="105" t="str">
        <f t="shared" si="20"/>
        <v/>
      </c>
      <c r="BT15" s="105" t="str">
        <f t="shared" si="21"/>
        <v/>
      </c>
      <c r="BU15" s="105" t="str">
        <f t="shared" si="22"/>
        <v/>
      </c>
      <c r="BV15" s="105">
        <f t="shared" si="23"/>
        <v>1848.4830000000004</v>
      </c>
      <c r="BW15" s="105">
        <f t="shared" si="24"/>
        <v>137.98817412362447</v>
      </c>
      <c r="BX15" s="107">
        <v>0</v>
      </c>
      <c r="BY15" s="107">
        <v>0.15</v>
      </c>
      <c r="BZ15" s="105">
        <f t="shared" si="25"/>
        <v>0</v>
      </c>
      <c r="CA15" s="105">
        <f t="shared" si="26"/>
        <v>158.68640024216813</v>
      </c>
      <c r="CB15" s="105" t="str">
        <f t="shared" si="27"/>
        <v/>
      </c>
      <c r="CC15" s="105" t="str">
        <f t="shared" si="28"/>
        <v/>
      </c>
      <c r="CD15" s="105" t="str">
        <f t="shared" si="29"/>
        <v/>
      </c>
      <c r="CE15" s="105" t="str">
        <f t="shared" si="30"/>
        <v/>
      </c>
      <c r="CF15" s="105" t="str">
        <f t="shared" si="31"/>
        <v/>
      </c>
      <c r="CG15" s="105">
        <f t="shared" si="32"/>
        <v>1154.4000000000001</v>
      </c>
      <c r="CH15" s="105" t="str">
        <f t="shared" si="33"/>
        <v/>
      </c>
      <c r="CI15" s="105" t="str">
        <f t="shared" si="34"/>
        <v/>
      </c>
      <c r="CJ15" s="104" t="s">
        <v>119</v>
      </c>
      <c r="CK15" s="105" t="str">
        <f t="shared" si="35"/>
        <v/>
      </c>
      <c r="CL15" s="105">
        <f t="shared" si="36"/>
        <v>48</v>
      </c>
      <c r="CM15" s="108">
        <v>0.1</v>
      </c>
      <c r="CN15" s="105">
        <f t="shared" si="37"/>
        <v>52.800000000000004</v>
      </c>
      <c r="CO15" s="105" t="str">
        <f t="shared" si="38"/>
        <v/>
      </c>
      <c r="CP15" s="105" t="str">
        <f t="shared" si="39"/>
        <v/>
      </c>
      <c r="CQ15" s="105" t="str">
        <f t="shared" si="40"/>
        <v/>
      </c>
      <c r="CR15" s="105" t="str">
        <f t="shared" si="41"/>
        <v/>
      </c>
      <c r="CS15" s="105" t="str">
        <f t="shared" si="42"/>
        <v/>
      </c>
      <c r="CT15" s="105" t="str">
        <f t="shared" si="43"/>
        <v/>
      </c>
      <c r="CU15" s="105" t="str">
        <f t="shared" si="44"/>
        <v/>
      </c>
      <c r="CV15" s="105" t="str">
        <f t="shared" si="45"/>
        <v/>
      </c>
      <c r="CW15" s="105" t="str">
        <f t="shared" si="46"/>
        <v/>
      </c>
      <c r="CX15" s="105" t="str">
        <f t="shared" si="47"/>
        <v/>
      </c>
      <c r="CY15" s="105" t="str">
        <f t="shared" si="48"/>
        <v/>
      </c>
      <c r="CZ15" s="105">
        <f t="shared" si="49"/>
        <v>1710.4948258763759</v>
      </c>
      <c r="DA15" s="105">
        <f>HLOOKUP(AZ15,$BC$37:$BE$38,2,FALSE)*AV15*AX15</f>
        <v>4.2</v>
      </c>
      <c r="DB15" s="105">
        <f t="shared" si="50"/>
        <v>0</v>
      </c>
      <c r="DC15" s="105">
        <f t="shared" si="51"/>
        <v>0</v>
      </c>
      <c r="DD15" s="105">
        <f t="shared" si="52"/>
        <v>0</v>
      </c>
      <c r="DE15" s="105">
        <f t="shared" si="53"/>
        <v>120</v>
      </c>
      <c r="DF15" s="105">
        <f t="shared" si="54"/>
        <v>0</v>
      </c>
      <c r="DG15" s="105"/>
      <c r="DH15" s="105">
        <f>IF(AL15=0,0,(IF(AL15&lt;=1.9,0.3,AL15-1.5)))</f>
        <v>3.0999999999999996</v>
      </c>
    </row>
    <row r="16" spans="1:112" ht="16.5" customHeight="1" x14ac:dyDescent="0.2">
      <c r="A16" s="258"/>
      <c r="B16" s="110" t="s">
        <v>121</v>
      </c>
      <c r="C16" s="555">
        <v>119</v>
      </c>
      <c r="D16" s="111">
        <v>4.25</v>
      </c>
      <c r="E16" s="111">
        <v>24.439999999999998</v>
      </c>
      <c r="F16" s="109">
        <v>0.6</v>
      </c>
      <c r="G16" s="109">
        <v>0.61913423613120477</v>
      </c>
      <c r="H16" s="109">
        <v>0.61913423613120477</v>
      </c>
      <c r="I16" s="109">
        <v>0.48596354293124394</v>
      </c>
      <c r="J16" s="111">
        <v>137.71104076755577</v>
      </c>
      <c r="K16" s="109">
        <v>2.815161194985766</v>
      </c>
      <c r="L16" s="109">
        <v>0</v>
      </c>
      <c r="M16" s="109">
        <v>10.124522212149374</v>
      </c>
      <c r="N16" s="109">
        <v>0.52185587664195987</v>
      </c>
      <c r="O16" s="109">
        <v>1.9300000000000637</v>
      </c>
      <c r="P16" s="112">
        <v>1.6218487394958517E-2</v>
      </c>
      <c r="Q16" s="109">
        <v>0.48954317015914517</v>
      </c>
      <c r="R16" s="109">
        <v>3.8300000000000409</v>
      </c>
      <c r="S16" s="113">
        <v>3.2184873949580174E-2</v>
      </c>
      <c r="T16" s="337">
        <v>1.0245961164392825</v>
      </c>
      <c r="U16" s="327">
        <v>0</v>
      </c>
      <c r="V16" s="327">
        <v>0</v>
      </c>
      <c r="W16" s="327">
        <v>1</v>
      </c>
      <c r="X16" s="328"/>
      <c r="Y16" s="337">
        <v>1</v>
      </c>
      <c r="Z16" s="329">
        <v>3.8005384668573514</v>
      </c>
      <c r="AA16" s="109">
        <v>0.33158078293187315</v>
      </c>
      <c r="AB16" s="109">
        <v>0.29949999999999999</v>
      </c>
      <c r="AC16" s="112">
        <v>0.89</v>
      </c>
      <c r="AD16" s="109">
        <v>0.89</v>
      </c>
      <c r="AE16" s="109">
        <v>0.29949999999999999</v>
      </c>
      <c r="AF16" s="109">
        <v>2.8467878773397066</v>
      </c>
      <c r="AG16" s="109">
        <v>0</v>
      </c>
      <c r="AH16" s="329">
        <v>2.8467878773397066</v>
      </c>
      <c r="AI16" s="638">
        <v>315.53300000000002</v>
      </c>
      <c r="AJ16" s="638">
        <v>311.70299999999997</v>
      </c>
      <c r="AK16" s="137"/>
      <c r="AL16" s="111">
        <v>4.2</v>
      </c>
      <c r="AM16" s="111">
        <v>2.2999999999999998</v>
      </c>
      <c r="AN16" s="334">
        <v>311.33300000000003</v>
      </c>
      <c r="AO16" s="334">
        <v>309.40299999999996</v>
      </c>
      <c r="AP16" s="109">
        <v>312.22300000000001</v>
      </c>
      <c r="AQ16" s="109">
        <v>310.29299999999995</v>
      </c>
      <c r="AR16" s="111">
        <v>3.0949999999999704</v>
      </c>
      <c r="AS16" s="114">
        <v>1.1949999999999932</v>
      </c>
      <c r="AT16" s="101"/>
      <c r="AU16" s="613" t="str">
        <f t="shared" si="0"/>
        <v>TR-03</v>
      </c>
      <c r="AV16" s="102">
        <f t="shared" si="0"/>
        <v>119</v>
      </c>
      <c r="AW16" s="103">
        <f t="shared" si="1"/>
        <v>0</v>
      </c>
      <c r="AX16" s="103">
        <f t="shared" si="2"/>
        <v>1</v>
      </c>
      <c r="AY16" s="103">
        <f t="shared" si="3"/>
        <v>0</v>
      </c>
      <c r="AZ16" s="103">
        <f t="shared" si="4"/>
        <v>1000</v>
      </c>
      <c r="BA16" s="339" t="s">
        <v>294</v>
      </c>
      <c r="BB16" s="105">
        <f t="shared" si="5"/>
        <v>4.2</v>
      </c>
      <c r="BC16" s="105">
        <f t="shared" si="5"/>
        <v>2.2999999999999998</v>
      </c>
      <c r="BD16" s="105">
        <f t="shared" si="6"/>
        <v>0.2</v>
      </c>
      <c r="BE16" s="106">
        <v>4</v>
      </c>
      <c r="BF16" s="106" t="str">
        <f t="shared" si="7"/>
        <v>Com</v>
      </c>
      <c r="BG16" s="105">
        <f t="shared" si="8"/>
        <v>3.25</v>
      </c>
      <c r="BH16" s="105">
        <f t="shared" si="9"/>
        <v>3.66</v>
      </c>
      <c r="BI16" s="105">
        <f t="shared" si="10"/>
        <v>2</v>
      </c>
      <c r="BJ16" s="105">
        <f t="shared" si="11"/>
        <v>3.83</v>
      </c>
      <c r="BK16" s="105" t="str">
        <f t="shared" si="12"/>
        <v/>
      </c>
      <c r="BL16" s="105" t="str">
        <f t="shared" si="13"/>
        <v/>
      </c>
      <c r="BM16" s="105" t="str">
        <f t="shared" si="14"/>
        <v/>
      </c>
      <c r="BN16" s="105" t="str">
        <f t="shared" si="15"/>
        <v/>
      </c>
      <c r="BO16" s="105" t="str">
        <f t="shared" si="16"/>
        <v/>
      </c>
      <c r="BP16" s="105" t="str">
        <f t="shared" si="17"/>
        <v/>
      </c>
      <c r="BQ16" s="105" t="str">
        <f t="shared" si="18"/>
        <v/>
      </c>
      <c r="BR16" s="105" t="str">
        <f t="shared" si="19"/>
        <v/>
      </c>
      <c r="BS16" s="105">
        <f t="shared" si="20"/>
        <v>1269.5991000000001</v>
      </c>
      <c r="BT16" s="105" t="str">
        <f t="shared" si="21"/>
        <v/>
      </c>
      <c r="BU16" s="105" t="str">
        <f t="shared" si="22"/>
        <v/>
      </c>
      <c r="BV16" s="105" t="str">
        <f t="shared" si="23"/>
        <v/>
      </c>
      <c r="BW16" s="105">
        <f t="shared" si="24"/>
        <v>136.83827267259426</v>
      </c>
      <c r="BX16" s="107">
        <v>0</v>
      </c>
      <c r="BY16" s="107">
        <v>0.15</v>
      </c>
      <c r="BZ16" s="105">
        <f t="shared" si="25"/>
        <v>0</v>
      </c>
      <c r="CA16" s="105">
        <f t="shared" si="26"/>
        <v>157.36401357348339</v>
      </c>
      <c r="CB16" s="105" t="str">
        <f t="shared" si="27"/>
        <v/>
      </c>
      <c r="CC16" s="105" t="str">
        <f t="shared" si="28"/>
        <v/>
      </c>
      <c r="CD16" s="105" t="str">
        <f t="shared" si="29"/>
        <v/>
      </c>
      <c r="CE16" s="105" t="str">
        <f t="shared" si="30"/>
        <v/>
      </c>
      <c r="CF16" s="105" t="str">
        <f t="shared" si="31"/>
        <v/>
      </c>
      <c r="CG16" s="105">
        <f t="shared" si="32"/>
        <v>871.08</v>
      </c>
      <c r="CH16" s="105" t="str">
        <f t="shared" si="33"/>
        <v/>
      </c>
      <c r="CI16" s="105" t="str">
        <f t="shared" si="34"/>
        <v/>
      </c>
      <c r="CJ16" s="104" t="s">
        <v>119</v>
      </c>
      <c r="CK16" s="105" t="str">
        <f t="shared" si="35"/>
        <v/>
      </c>
      <c r="CL16" s="105">
        <f t="shared" si="36"/>
        <v>47.6</v>
      </c>
      <c r="CM16" s="108">
        <v>0.1</v>
      </c>
      <c r="CN16" s="105">
        <f t="shared" si="37"/>
        <v>52.360000000000007</v>
      </c>
      <c r="CO16" s="105" t="str">
        <f t="shared" si="38"/>
        <v/>
      </c>
      <c r="CP16" s="105" t="str">
        <f t="shared" si="39"/>
        <v/>
      </c>
      <c r="CQ16" s="105" t="str">
        <f t="shared" si="40"/>
        <v/>
      </c>
      <c r="CR16" s="105" t="str">
        <f t="shared" si="41"/>
        <v/>
      </c>
      <c r="CS16" s="105" t="str">
        <f t="shared" si="42"/>
        <v/>
      </c>
      <c r="CT16" s="105" t="str">
        <f t="shared" si="43"/>
        <v/>
      </c>
      <c r="CU16" s="105" t="str">
        <f t="shared" si="44"/>
        <v/>
      </c>
      <c r="CV16" s="105" t="str">
        <f t="shared" si="45"/>
        <v/>
      </c>
      <c r="CW16" s="105">
        <f t="shared" si="46"/>
        <v>1132.7608273274059</v>
      </c>
      <c r="CX16" s="105" t="str">
        <f t="shared" si="47"/>
        <v/>
      </c>
      <c r="CY16" s="105" t="str">
        <f t="shared" si="48"/>
        <v/>
      </c>
      <c r="CZ16" s="105" t="str">
        <f t="shared" si="49"/>
        <v/>
      </c>
      <c r="DA16" s="105">
        <f>HLOOKUP(AZ16,$BC$37:$BE$38,2,FALSE)*AV16*AX16</f>
        <v>4.165</v>
      </c>
      <c r="DB16" s="105">
        <f t="shared" si="50"/>
        <v>0</v>
      </c>
      <c r="DC16" s="105">
        <f t="shared" si="51"/>
        <v>0</v>
      </c>
      <c r="DD16" s="105">
        <f t="shared" si="52"/>
        <v>0</v>
      </c>
      <c r="DE16" s="105">
        <f t="shared" si="53"/>
        <v>119</v>
      </c>
      <c r="DF16" s="105">
        <f t="shared" si="54"/>
        <v>0</v>
      </c>
      <c r="DG16" s="105"/>
      <c r="DH16" s="105">
        <f t="shared" ref="DH16:DH24" si="55">IF(AL16=0,0,(IF(AL16&lt;=1.9,0.3,AL16-1.5)))</f>
        <v>2.7</v>
      </c>
    </row>
    <row r="17" spans="2:112" ht="16.5" customHeight="1" x14ac:dyDescent="0.2">
      <c r="B17" s="110" t="s">
        <v>122</v>
      </c>
      <c r="C17" s="555">
        <v>119</v>
      </c>
      <c r="D17" s="111">
        <v>2.99</v>
      </c>
      <c r="E17" s="111">
        <v>2.99</v>
      </c>
      <c r="F17" s="109">
        <v>0.6</v>
      </c>
      <c r="G17" s="109">
        <v>0.84849506700289035</v>
      </c>
      <c r="H17" s="109">
        <v>0.84849506700289035</v>
      </c>
      <c r="I17" s="109">
        <v>0.44321779330634986</v>
      </c>
      <c r="J17" s="111">
        <v>155.75507544863504</v>
      </c>
      <c r="K17" s="109">
        <v>0.48688310052489675</v>
      </c>
      <c r="L17" s="109">
        <v>0</v>
      </c>
      <c r="M17" s="109">
        <v>6.791122790776102</v>
      </c>
      <c r="N17" s="109">
        <v>0.61817629037771571</v>
      </c>
      <c r="O17" s="109">
        <v>3.3470000000000368</v>
      </c>
      <c r="P17" s="112">
        <v>2.8126050420168375E-2</v>
      </c>
      <c r="Q17" s="109">
        <v>0.48688310052489675</v>
      </c>
      <c r="R17" s="109">
        <v>2.5470000000000255</v>
      </c>
      <c r="S17" s="113">
        <v>2.1403361344538029E-2</v>
      </c>
      <c r="T17" s="337">
        <v>0.4785664976222721</v>
      </c>
      <c r="U17" s="327">
        <v>0</v>
      </c>
      <c r="V17" s="327">
        <v>0</v>
      </c>
      <c r="W17" s="327">
        <v>1</v>
      </c>
      <c r="X17" s="328"/>
      <c r="Y17" s="337">
        <v>0.6</v>
      </c>
      <c r="Z17" s="329">
        <v>3.2083620226221954</v>
      </c>
      <c r="AA17" s="109">
        <v>0.17004280087519649</v>
      </c>
      <c r="AB17" s="109">
        <v>0.25619999999999998</v>
      </c>
      <c r="AC17" s="112">
        <v>0.52</v>
      </c>
      <c r="AD17" s="109">
        <v>0.312</v>
      </c>
      <c r="AE17" s="109">
        <v>0.15372</v>
      </c>
      <c r="AF17" s="109">
        <v>0.96008048870653495</v>
      </c>
      <c r="AG17" s="109">
        <v>0</v>
      </c>
      <c r="AH17" s="329">
        <v>0.96008048870653495</v>
      </c>
      <c r="AI17" s="638">
        <v>314.238</v>
      </c>
      <c r="AJ17" s="638">
        <v>311.69099999999997</v>
      </c>
      <c r="AK17" s="137"/>
      <c r="AL17" s="111">
        <v>1.5</v>
      </c>
      <c r="AM17" s="111">
        <v>2.2999999999999998</v>
      </c>
      <c r="AN17" s="334">
        <v>312.738</v>
      </c>
      <c r="AO17" s="334">
        <v>309.39099999999996</v>
      </c>
      <c r="AP17" s="109">
        <v>313.05</v>
      </c>
      <c r="AQ17" s="109">
        <v>309.70299999999997</v>
      </c>
      <c r="AR17" s="111">
        <v>0.83699999999998909</v>
      </c>
      <c r="AS17" s="114">
        <v>1.6370000000000005</v>
      </c>
      <c r="AT17" s="101"/>
      <c r="AU17" s="613" t="str">
        <f t="shared" si="0"/>
        <v>TR-04</v>
      </c>
      <c r="AV17" s="102">
        <f t="shared" si="0"/>
        <v>119</v>
      </c>
      <c r="AW17" s="103">
        <f t="shared" si="1"/>
        <v>0</v>
      </c>
      <c r="AX17" s="103">
        <f t="shared" si="2"/>
        <v>1</v>
      </c>
      <c r="AY17" s="103">
        <f t="shared" si="3"/>
        <v>0</v>
      </c>
      <c r="AZ17" s="103">
        <f t="shared" si="4"/>
        <v>600</v>
      </c>
      <c r="BA17" s="339" t="s">
        <v>294</v>
      </c>
      <c r="BB17" s="105">
        <f t="shared" si="5"/>
        <v>1.5</v>
      </c>
      <c r="BC17" s="105">
        <f t="shared" si="5"/>
        <v>2.2999999999999998</v>
      </c>
      <c r="BD17" s="105">
        <f t="shared" si="6"/>
        <v>0</v>
      </c>
      <c r="BE17" s="106">
        <v>4</v>
      </c>
      <c r="BF17" s="106" t="str">
        <f t="shared" si="7"/>
        <v>Com</v>
      </c>
      <c r="BG17" s="105">
        <f t="shared" si="8"/>
        <v>1.9</v>
      </c>
      <c r="BH17" s="105">
        <f t="shared" si="9"/>
        <v>2.0259999999999998</v>
      </c>
      <c r="BI17" s="105">
        <f t="shared" si="10"/>
        <v>1.2</v>
      </c>
      <c r="BJ17" s="105">
        <f t="shared" si="11"/>
        <v>2.2130000000000001</v>
      </c>
      <c r="BK17" s="105" t="str">
        <f t="shared" si="12"/>
        <v/>
      </c>
      <c r="BL17" s="105" t="str">
        <f t="shared" si="13"/>
        <v/>
      </c>
      <c r="BM17" s="105" t="str">
        <f t="shared" si="14"/>
        <v/>
      </c>
      <c r="BN17" s="105" t="str">
        <f t="shared" si="15"/>
        <v/>
      </c>
      <c r="BO17" s="105" t="str">
        <f t="shared" si="16"/>
        <v/>
      </c>
      <c r="BP17" s="105">
        <f t="shared" si="17"/>
        <v>411.42691100000002</v>
      </c>
      <c r="BQ17" s="105" t="str">
        <f t="shared" si="18"/>
        <v/>
      </c>
      <c r="BR17" s="105" t="str">
        <f t="shared" si="19"/>
        <v/>
      </c>
      <c r="BS17" s="105" t="str">
        <f t="shared" si="20"/>
        <v/>
      </c>
      <c r="BT17" s="105" t="str">
        <f t="shared" si="21"/>
        <v/>
      </c>
      <c r="BU17" s="105" t="str">
        <f t="shared" si="22"/>
        <v/>
      </c>
      <c r="BV17" s="105" t="str">
        <f t="shared" si="23"/>
        <v/>
      </c>
      <c r="BW17" s="105">
        <f t="shared" si="24"/>
        <v>49.261778162133943</v>
      </c>
      <c r="BX17" s="107">
        <v>0</v>
      </c>
      <c r="BY17" s="107">
        <v>0.15</v>
      </c>
      <c r="BZ17" s="105">
        <f t="shared" si="25"/>
        <v>0</v>
      </c>
      <c r="CA17" s="105">
        <f t="shared" si="26"/>
        <v>56.651044886454031</v>
      </c>
      <c r="CB17" s="105" t="str">
        <f t="shared" si="27"/>
        <v/>
      </c>
      <c r="CC17" s="105" t="str">
        <f t="shared" si="28"/>
        <v/>
      </c>
      <c r="CD17" s="105" t="str">
        <f t="shared" si="29"/>
        <v/>
      </c>
      <c r="CE17" s="105">
        <f t="shared" si="30"/>
        <v>482.18799999999993</v>
      </c>
      <c r="CF17" s="105" t="str">
        <f t="shared" si="31"/>
        <v/>
      </c>
      <c r="CG17" s="105" t="str">
        <f t="shared" si="32"/>
        <v/>
      </c>
      <c r="CH17" s="105">
        <f t="shared" si="33"/>
        <v>142.79999999999998</v>
      </c>
      <c r="CI17" s="105" t="str">
        <f t="shared" si="34"/>
        <v/>
      </c>
      <c r="CJ17" s="104"/>
      <c r="CK17" s="105" t="str">
        <f t="shared" si="35"/>
        <v/>
      </c>
      <c r="CL17" s="105" t="str">
        <f t="shared" si="36"/>
        <v/>
      </c>
      <c r="CM17" s="108">
        <v>0.1</v>
      </c>
      <c r="CN17" s="105">
        <f t="shared" si="37"/>
        <v>0</v>
      </c>
      <c r="CO17" s="105" t="str">
        <f t="shared" si="38"/>
        <v/>
      </c>
      <c r="CP17" s="105" t="str">
        <f t="shared" si="39"/>
        <v/>
      </c>
      <c r="CQ17" s="105" t="str">
        <f t="shared" si="40"/>
        <v/>
      </c>
      <c r="CR17" s="105" t="str">
        <f t="shared" si="41"/>
        <v/>
      </c>
      <c r="CS17" s="105" t="str">
        <f t="shared" si="42"/>
        <v/>
      </c>
      <c r="CT17" s="105">
        <f t="shared" si="43"/>
        <v>362.16513283786605</v>
      </c>
      <c r="CU17" s="105" t="str">
        <f t="shared" si="44"/>
        <v/>
      </c>
      <c r="CV17" s="105" t="str">
        <f t="shared" si="45"/>
        <v/>
      </c>
      <c r="CW17" s="105" t="str">
        <f t="shared" si="46"/>
        <v/>
      </c>
      <c r="CX17" s="105" t="str">
        <f t="shared" si="47"/>
        <v/>
      </c>
      <c r="CY17" s="105" t="str">
        <f t="shared" si="48"/>
        <v/>
      </c>
      <c r="CZ17" s="105" t="str">
        <f t="shared" si="49"/>
        <v/>
      </c>
      <c r="DA17" s="105">
        <f>HLOOKUP(AZ17,$BC$37:$BE$38,2,FALSE)*AV17*AX17</f>
        <v>2.38</v>
      </c>
      <c r="DB17" s="105">
        <f t="shared" si="50"/>
        <v>0</v>
      </c>
      <c r="DC17" s="105">
        <f t="shared" si="51"/>
        <v>119</v>
      </c>
      <c r="DD17" s="105">
        <f t="shared" si="52"/>
        <v>0</v>
      </c>
      <c r="DE17" s="105">
        <f t="shared" si="53"/>
        <v>0</v>
      </c>
      <c r="DF17" s="105">
        <f t="shared" si="54"/>
        <v>0</v>
      </c>
      <c r="DG17" s="105"/>
      <c r="DH17" s="105">
        <f t="shared" si="55"/>
        <v>0.3</v>
      </c>
    </row>
    <row r="18" spans="2:112" ht="16.5" customHeight="1" x14ac:dyDescent="0.2">
      <c r="B18" s="110" t="s">
        <v>985</v>
      </c>
      <c r="C18" s="555">
        <v>121</v>
      </c>
      <c r="D18" s="111">
        <v>1.45</v>
      </c>
      <c r="E18" s="111">
        <v>28.88</v>
      </c>
      <c r="F18" s="109">
        <v>0.6</v>
      </c>
      <c r="G18" s="109">
        <v>0.60382407072870647</v>
      </c>
      <c r="H18" s="109">
        <v>0.60382407072870647</v>
      </c>
      <c r="I18" s="109">
        <v>0.49127430684417006</v>
      </c>
      <c r="J18" s="111">
        <v>135.30146482077453</v>
      </c>
      <c r="K18" s="109">
        <v>3.2223963465773338</v>
      </c>
      <c r="L18" s="109">
        <v>0</v>
      </c>
      <c r="M18" s="109">
        <v>10.646378088791334</v>
      </c>
      <c r="N18" s="109">
        <v>0.48416188735378235</v>
      </c>
      <c r="O18" s="109">
        <v>2.5529999999999404</v>
      </c>
      <c r="P18" s="112">
        <v>2.1099173553718514E-2</v>
      </c>
      <c r="Q18" s="109">
        <v>0.16178929025405589</v>
      </c>
      <c r="R18" s="109">
        <v>3.1529999999999632</v>
      </c>
      <c r="S18" s="113">
        <v>2.6057851239669118E-2</v>
      </c>
      <c r="T18" s="337">
        <v>1.0259666837785728</v>
      </c>
      <c r="U18" s="327">
        <v>0</v>
      </c>
      <c r="V18" s="327">
        <v>0</v>
      </c>
      <c r="W18" s="327">
        <v>1</v>
      </c>
      <c r="X18" s="328"/>
      <c r="Y18" s="337">
        <v>1</v>
      </c>
      <c r="Z18" s="329">
        <v>4.1652734743101876</v>
      </c>
      <c r="AA18" s="109">
        <v>0.22184325777502747</v>
      </c>
      <c r="AB18" s="109">
        <v>0.28210000000000002</v>
      </c>
      <c r="AC18" s="112">
        <v>0.62</v>
      </c>
      <c r="AD18" s="109">
        <v>0.62</v>
      </c>
      <c r="AE18" s="109">
        <v>0.28210000000000002</v>
      </c>
      <c r="AF18" s="109">
        <v>3.2470027482474473</v>
      </c>
      <c r="AG18" s="109">
        <v>0</v>
      </c>
      <c r="AH18" s="329">
        <v>3.2470027482474473</v>
      </c>
      <c r="AI18" s="638">
        <v>311.69099999999997</v>
      </c>
      <c r="AJ18" s="638">
        <v>308.53800000000001</v>
      </c>
      <c r="AK18" s="137"/>
      <c r="AL18" s="111">
        <v>2.2999999999999998</v>
      </c>
      <c r="AM18" s="111">
        <v>1.7</v>
      </c>
      <c r="AN18" s="334">
        <v>309.39099999999996</v>
      </c>
      <c r="AO18" s="334">
        <v>306.83800000000002</v>
      </c>
      <c r="AP18" s="109">
        <v>310.01099999999997</v>
      </c>
      <c r="AQ18" s="109">
        <v>307.45800000000003</v>
      </c>
      <c r="AR18" s="111">
        <v>1.1949999999999932</v>
      </c>
      <c r="AS18" s="114">
        <v>0.59499999999997044</v>
      </c>
      <c r="AT18" s="101"/>
      <c r="AU18" s="613" t="str">
        <f>B18</f>
        <v>TR-05</v>
      </c>
      <c r="AV18" s="102">
        <f>C18</f>
        <v>121</v>
      </c>
      <c r="AW18" s="103">
        <f>U18</f>
        <v>0</v>
      </c>
      <c r="AX18" s="103">
        <f>W18</f>
        <v>1</v>
      </c>
      <c r="AY18" s="103">
        <f>V18</f>
        <v>0</v>
      </c>
      <c r="AZ18" s="103">
        <f>Y18*1000</f>
        <v>1000</v>
      </c>
      <c r="BA18" s="339" t="str">
        <f>IF(AZ18=600,"PS-1","PA-1")</f>
        <v>PA-1</v>
      </c>
      <c r="BB18" s="105">
        <f>AL18</f>
        <v>2.2999999999999998</v>
      </c>
      <c r="BC18" s="105">
        <f>AM18</f>
        <v>1.7</v>
      </c>
      <c r="BD18" s="105">
        <f>IF(AZ18&gt;=1000,0.2,0)</f>
        <v>0.2</v>
      </c>
      <c r="BE18" s="106">
        <v>4</v>
      </c>
      <c r="BF18" s="106" t="str">
        <f>IF(BG18&gt;1.25,"Com","Sem")</f>
        <v>Com</v>
      </c>
      <c r="BG18" s="105">
        <f>AVERAGE(BB18:BC18)</f>
        <v>2</v>
      </c>
      <c r="BH18" s="105">
        <f>BG18+BD18+0.21*AZ18/1000</f>
        <v>2.41</v>
      </c>
      <c r="BI18" s="105">
        <f>IF(AX18=1,2*AZ18/1000,IF(AX18=2,((1.21*2*(AZ18/1000))+0.4),IF(AX18=3,((3*1.21*(AZ18/1000))+0.6),0)))</f>
        <v>2</v>
      </c>
      <c r="BJ18" s="105">
        <f>IF(BE18=0,BI18,BI18+2*(1/BE18)*BH18)</f>
        <v>3.2050000000000001</v>
      </c>
      <c r="BK18" s="105" t="str">
        <f>IF(AND(BH18&lt;=1.5,BJ18&lt;=0.8),(BJ18+BI18)*BH18/2*AV18,"")</f>
        <v/>
      </c>
      <c r="BL18" s="105" t="str">
        <f>IF(AND(BH18&lt;=1.5,BJ18&gt;0.8,BJ18&lt;=1.5),(BJ18+BI18)*BH18/2*AV18,"")</f>
        <v/>
      </c>
      <c r="BM18" s="105" t="str">
        <f>IF(AND(BH18&lt;=1.5,BJ18&gt;1.5),(BJ18+BI18)*BH18/2*AV18,"")</f>
        <v/>
      </c>
      <c r="BN18" s="105" t="str">
        <f>IF(AND(BH18&gt;1.5,BH18&lt;=3,BJ18&lt;=0.8),(BJ18+BI18)*BH18/2*AV18,"")</f>
        <v/>
      </c>
      <c r="BO18" s="105" t="str">
        <f>IF(AND(BH18&gt;1.5,BH18&lt;=3,BJ18&gt;0.8,BJ18&lt;=1.5),(BJ18+BI18)*BH18/2*AV18,"")</f>
        <v/>
      </c>
      <c r="BP18" s="105">
        <f>IF(AND(BH18&gt;1.5,BH18&lt;=3,BJ18&gt;1.5),(BJ18+BI18)*BH18/2*AV18,"")</f>
        <v>758.91502500000001</v>
      </c>
      <c r="BQ18" s="105" t="str">
        <f>IF(AND(BH18&gt;3,BH18&lt;=4.5,BJ18&lt;=0.8),(BJ18+BI18)*BH18/2*AV18,"")</f>
        <v/>
      </c>
      <c r="BR18" s="105" t="str">
        <f>IF(AND(BH18&gt;3,BH18&lt;=4.5,BJ18&gt;0.8,BJ18&lt;=1.5),(BJ18+BI18)*BH18/2*AV18,"")</f>
        <v/>
      </c>
      <c r="BS18" s="105" t="str">
        <f>IF(AND(BH18&gt;3,BH18&lt;=4.5,BJ18&gt;1.5),(BJ18+BI18)*BH18/2*AV18,"")</f>
        <v/>
      </c>
      <c r="BT18" s="105" t="str">
        <f>IF(AND(BH18&gt;4.5,BJ18&lt;=0.8),(BJ18+BI18)*BH18/2*AV18,"")</f>
        <v/>
      </c>
      <c r="BU18" s="105" t="str">
        <f>IF(AND(BH18&gt;4.5,BJ18&gt;0.8,BJ18&lt;=1.5),(BJ18+BI18)*BH18/2*AV18,"")</f>
        <v/>
      </c>
      <c r="BV18" s="105" t="str">
        <f>IF(AND(BH18&gt;4.5,BJ18&gt;1.5),(BJ18+BI18)*BH18/2*AV18,"")</f>
        <v/>
      </c>
      <c r="BW18" s="105">
        <f>(PI()*(AZ18/1000*1.21)^2/4*AV18)*AX18</f>
        <v>139.13807557465466</v>
      </c>
      <c r="BX18" s="107">
        <v>0</v>
      </c>
      <c r="BY18" s="107">
        <v>0.15</v>
      </c>
      <c r="BZ18" s="105">
        <f>BX18*SUM(BK18:BV18)</f>
        <v>0</v>
      </c>
      <c r="CA18" s="105">
        <f>MAX(BZ18,BW18)*(1+BY18)</f>
        <v>160.00878691085285</v>
      </c>
      <c r="CB18" s="105" t="str">
        <f>IF(BF18="Sem","",IF(AND(BH18&lt;=1.5,BJ18&lt;=1.5),2*BH18*AV18,""))</f>
        <v/>
      </c>
      <c r="CC18" s="105" t="str">
        <f>IF(BF18="Sem","",IF(AND(BH18&lt;=1.5,BJ18&gt;1.5),2*BH18*AV18,""))</f>
        <v/>
      </c>
      <c r="CD18" s="105" t="str">
        <f>IF(BF18="Sem","",IF(AND(BH18&gt;1.5,BH18&lt;=3,BJ18&lt;=1.5),2*BH18*AV18,""))</f>
        <v/>
      </c>
      <c r="CE18" s="105">
        <f>IF(BF18="Sem","",IF(AND(BH18&gt;1.5,BH18&lt;=3,BJ18&gt;1.5),2*BH18*AV18,""))</f>
        <v>583.22</v>
      </c>
      <c r="CF18" s="105" t="str">
        <f>IF(BF18="Sem","",IF(AND(BH18&gt;3,BJ18&lt;=1.5),2*BH18*AV18,""))</f>
        <v/>
      </c>
      <c r="CG18" s="105" t="str">
        <f>IF(BF18="Sem","",IF(AND(BH18&gt;3,BJ18&gt;1.5),2*BH18*AV18,""))</f>
        <v/>
      </c>
      <c r="CH18" s="105" t="str">
        <f>IF(BD18&lt;&gt;0,"",IF(BI18&lt;1.5,BI18*AV18,""))</f>
        <v/>
      </c>
      <c r="CI18" s="105" t="str">
        <f>IF(BD18&lt;&gt;0,"",IF(BI18&gt;=1.5,BI18*AV18,""))</f>
        <v/>
      </c>
      <c r="CJ18" s="104" t="s">
        <v>119</v>
      </c>
      <c r="CK18" s="105" t="str">
        <f>IF(BD18=0,"",IF(BI18&lt;1.5,BD18*BI18*AV18,""))</f>
        <v/>
      </c>
      <c r="CL18" s="105">
        <f>IF(BD18=0,"",IF(BI18&gt;=1.5,BD18*BI18*AV18,""))</f>
        <v>48.400000000000006</v>
      </c>
      <c r="CM18" s="108">
        <v>0.1</v>
      </c>
      <c r="CN18" s="105">
        <f>SUM(CK18:CL18)*(1+CM18)</f>
        <v>53.240000000000009</v>
      </c>
      <c r="CO18" s="105" t="str">
        <f>IF(AND(BH18&lt;=1.5,BJ18&lt;=0.8),SUM(BK18:BV18)-BW18,"")</f>
        <v/>
      </c>
      <c r="CP18" s="105" t="str">
        <f>IF(AND(BH18&lt;=1.5,BJ18&gt;0.8,BJ18&lt;=1.5),SUM(BK18:BV18)-BW18,"")</f>
        <v/>
      </c>
      <c r="CQ18" s="105" t="str">
        <f>IF(AND(BH18&lt;=1.5,BJ18&gt;1.5),SUM(BK18:BV18)-BW18,"")</f>
        <v/>
      </c>
      <c r="CR18" s="105" t="str">
        <f>IF(AND(BH18&gt;1.5,BH18&lt;=3,BJ18&lt;=0.8),SUM(BK18:BV18)-BW18,"")</f>
        <v/>
      </c>
      <c r="CS18" s="105" t="str">
        <f>IF(AND(BH18&gt;1.5,BH18&lt;=3,BJ18&gt;0.8,BJ18&lt;=1.5),SUM(BK18:BV18)-BW18,"")</f>
        <v/>
      </c>
      <c r="CT18" s="105">
        <f>IF(AND(BH18&gt;1.5,BH18&lt;=3,BJ18&gt;1.5),SUM(BK18:BV18)-BW18,"")</f>
        <v>619.77694942534538</v>
      </c>
      <c r="CU18" s="105" t="str">
        <f>IF(AND(BH18&gt;3,BH18&lt;=4.5,BJ18&lt;=0.8),SUM(BK18:BV18)-BW18,"")</f>
        <v/>
      </c>
      <c r="CV18" s="105" t="str">
        <f>IF(AND(BH18&gt;3,BH18&lt;=4.5,BJ18&gt;0.8,BJ18&lt;=1.5),SUM(BK18:BV18)-BW18,"")</f>
        <v/>
      </c>
      <c r="CW18" s="105" t="str">
        <f>IF(AND(BH18&gt;3,BH18&lt;=4.5,BJ18&gt;1.5),SUM(BK18:BV18)-BW18,"")</f>
        <v/>
      </c>
      <c r="CX18" s="105" t="str">
        <f>IF(AND(BH18&gt;4.5,BJ18&lt;=0.8),SUM(BK18:BV18)-BW18,"")</f>
        <v/>
      </c>
      <c r="CY18" s="105" t="str">
        <f>IF(AND(BH18&gt;4.5,BJ18&gt;0.8,BJ18&lt;=1.5),SUM(BK18:BV18)-BW18,"")</f>
        <v/>
      </c>
      <c r="CZ18" s="105" t="str">
        <f>IF(AND(BH18&gt;4.5,BJ18&gt;1.5),SUM(BK18:BV18)-BW18,"")</f>
        <v/>
      </c>
      <c r="DA18" s="105">
        <f>HLOOKUP(AZ18,$AW$37:$BB$38,2,FALSE)*AV18*AX18</f>
        <v>96.800000000000011</v>
      </c>
      <c r="DB18" s="105">
        <f>IF(AZ18=400,AV18*AX18,0)</f>
        <v>0</v>
      </c>
      <c r="DC18" s="105">
        <f>IF($AZ18=600,$AV18*AX18,0)</f>
        <v>0</v>
      </c>
      <c r="DD18" s="105">
        <f>IF($AZ18=800,$AV18*AX18,0)</f>
        <v>0</v>
      </c>
      <c r="DE18" s="105">
        <f>IF($AZ18=1000,$AV18*AX18,0)</f>
        <v>121</v>
      </c>
      <c r="DF18" s="105">
        <f>IF($AZ18=1200,$AV18*AX18,0)</f>
        <v>0</v>
      </c>
      <c r="DG18" s="105"/>
      <c r="DH18" s="105">
        <f t="shared" si="55"/>
        <v>0.79999999999999982</v>
      </c>
    </row>
    <row r="19" spans="2:112" ht="16.5" customHeight="1" thickBot="1" x14ac:dyDescent="0.25">
      <c r="B19" s="110" t="s">
        <v>986</v>
      </c>
      <c r="C19" s="555">
        <v>40</v>
      </c>
      <c r="D19" s="111">
        <v>4.63</v>
      </c>
      <c r="E19" s="111">
        <v>33.51</v>
      </c>
      <c r="F19" s="109">
        <v>0.6</v>
      </c>
      <c r="G19" s="109">
        <v>0.59050534882184513</v>
      </c>
      <c r="H19" s="109">
        <v>0.59050534882184513</v>
      </c>
      <c r="I19" s="109">
        <v>0.49595384928541392</v>
      </c>
      <c r="J19" s="111">
        <v>133.14957708560686</v>
      </c>
      <c r="K19" s="109">
        <v>3.6326546838352556</v>
      </c>
      <c r="L19" s="109">
        <v>0</v>
      </c>
      <c r="M19" s="109">
        <v>11.130539976145116</v>
      </c>
      <c r="N19" s="109">
        <v>0.15594586906070584</v>
      </c>
      <c r="O19" s="109">
        <v>0.81899999999995998</v>
      </c>
      <c r="P19" s="112">
        <v>2.0474999999999001E-2</v>
      </c>
      <c r="Q19" s="109">
        <v>0.5019155829948444</v>
      </c>
      <c r="R19" s="109">
        <v>0.44800000000003593</v>
      </c>
      <c r="S19" s="113">
        <v>1.1200000000000898E-2</v>
      </c>
      <c r="T19" s="337">
        <v>1.0791839573995381</v>
      </c>
      <c r="U19" s="327">
        <v>0</v>
      </c>
      <c r="V19" s="327">
        <v>0</v>
      </c>
      <c r="W19" s="327">
        <v>1</v>
      </c>
      <c r="X19" s="328"/>
      <c r="Y19" s="337">
        <v>1.2</v>
      </c>
      <c r="Z19" s="329">
        <v>4.2749876651567469</v>
      </c>
      <c r="AA19" s="109">
        <v>0.15612130455057988</v>
      </c>
      <c r="AB19" s="109">
        <v>0.25</v>
      </c>
      <c r="AC19" s="112">
        <v>0.5</v>
      </c>
      <c r="AD19" s="109">
        <v>0.6</v>
      </c>
      <c r="AE19" s="109">
        <v>0.3</v>
      </c>
      <c r="AF19" s="109">
        <v>5.2012997000828767</v>
      </c>
      <c r="AG19" s="109">
        <v>0</v>
      </c>
      <c r="AH19" s="329">
        <v>5.2012997000828767</v>
      </c>
      <c r="AI19" s="638">
        <v>308.53800000000001</v>
      </c>
      <c r="AJ19" s="638">
        <v>308.08999999999997</v>
      </c>
      <c r="AK19" s="137"/>
      <c r="AL19" s="111">
        <v>2.1</v>
      </c>
      <c r="AM19" s="111">
        <v>2.4709999999999468</v>
      </c>
      <c r="AN19" s="334">
        <v>306.43799999999999</v>
      </c>
      <c r="AO19" s="334">
        <v>305.61900000000003</v>
      </c>
      <c r="AP19" s="109">
        <v>307.03800000000001</v>
      </c>
      <c r="AQ19" s="109">
        <v>306.21900000000005</v>
      </c>
      <c r="AR19" s="111">
        <v>0.77400000000000091</v>
      </c>
      <c r="AS19" s="114">
        <v>1.144999999999925</v>
      </c>
      <c r="AT19" s="101"/>
      <c r="AU19" s="613" t="str">
        <f>B19</f>
        <v>TR-06</v>
      </c>
      <c r="AV19" s="102">
        <f>C19</f>
        <v>40</v>
      </c>
      <c r="AW19" s="103">
        <f>U19</f>
        <v>0</v>
      </c>
      <c r="AX19" s="103">
        <f>W19</f>
        <v>1</v>
      </c>
      <c r="AY19" s="103">
        <f>V19</f>
        <v>0</v>
      </c>
      <c r="AZ19" s="103">
        <f>Y19*1000</f>
        <v>1200</v>
      </c>
      <c r="BA19" s="339" t="str">
        <f>IF(AZ19=600,"PS-1","PA-1")</f>
        <v>PA-1</v>
      </c>
      <c r="BB19" s="105">
        <f>AL19</f>
        <v>2.1</v>
      </c>
      <c r="BC19" s="105">
        <f>AM19</f>
        <v>2.4709999999999468</v>
      </c>
      <c r="BD19" s="105">
        <f>IF(AZ19&gt;=1000,0.2,0)</f>
        <v>0.2</v>
      </c>
      <c r="BE19" s="106">
        <v>4</v>
      </c>
      <c r="BF19" s="106" t="str">
        <f>IF(BG19&gt;1.25,"Com","Sem")</f>
        <v>Com</v>
      </c>
      <c r="BG19" s="105">
        <f>AVERAGE(BB19:BC19)</f>
        <v>2.2854999999999732</v>
      </c>
      <c r="BH19" s="105">
        <f>BG19+BD19+0.21*AZ19/1000</f>
        <v>2.7374999999999732</v>
      </c>
      <c r="BI19" s="105">
        <f>IF(AX19=1,2*AZ19/1000,IF(AX19=2,((1.21*2*(AZ19/1000))+0.4),IF(AX19=3,((3*1.21*(AZ19/1000))+0.6),0)))</f>
        <v>2.4</v>
      </c>
      <c r="BJ19" s="105">
        <f>IF(BE19=0,BI19,BI19+2*(1/BE19)*BH19)</f>
        <v>3.7687499999999865</v>
      </c>
      <c r="BK19" s="105" t="str">
        <f>IF(AND(BH19&lt;=1.5,BJ19&lt;=0.8),(BJ19+BI19)*BH19/2*AV19,"")</f>
        <v/>
      </c>
      <c r="BL19" s="105" t="str">
        <f>IF(AND(BH19&lt;=1.5,BJ19&gt;0.8,BJ19&lt;=1.5),(BJ19+BI19)*BH19/2*AV19,"")</f>
        <v/>
      </c>
      <c r="BM19" s="105" t="str">
        <f>IF(AND(BH19&lt;=1.5,BJ19&gt;1.5),(BJ19+BI19)*BH19/2*AV19,"")</f>
        <v/>
      </c>
      <c r="BN19" s="105" t="str">
        <f>IF(AND(BH19&gt;1.5,BH19&lt;=3,BJ19&lt;=0.8),(BJ19+BI19)*BH19/2*AV19,"")</f>
        <v/>
      </c>
      <c r="BO19" s="105" t="str">
        <f>IF(AND(BH19&gt;1.5,BH19&lt;=3,BJ19&gt;0.8,BJ19&lt;=1.5),(BJ19+BI19)*BH19/2*AV19,"")</f>
        <v/>
      </c>
      <c r="BP19" s="105">
        <f>IF(AND(BH19&gt;1.5,BH19&lt;=3,BJ19&gt;1.5),(BJ19+BI19)*BH19/2*AV19,"")</f>
        <v>337.73906249999595</v>
      </c>
      <c r="BQ19" s="105" t="str">
        <f>IF(AND(BH19&gt;3,BH19&lt;=4.5,BJ19&lt;=0.8),(BJ19+BI19)*BH19/2*AV19,"")</f>
        <v/>
      </c>
      <c r="BR19" s="105" t="str">
        <f>IF(AND(BH19&gt;3,BH19&lt;=4.5,BJ19&gt;0.8,BJ19&lt;=1.5),(BJ19+BI19)*BH19/2*AV19,"")</f>
        <v/>
      </c>
      <c r="BS19" s="105" t="str">
        <f>IF(AND(BH19&gt;3,BH19&lt;=4.5,BJ19&gt;1.5),(BJ19+BI19)*BH19/2*AV19,"")</f>
        <v/>
      </c>
      <c r="BT19" s="105" t="str">
        <f>IF(AND(BH19&gt;4.5,BJ19&lt;=0.8),(BJ19+BI19)*BH19/2*AV19,"")</f>
        <v/>
      </c>
      <c r="BU19" s="105" t="str">
        <f>IF(AND(BH19&gt;4.5,BJ19&gt;0.8,BJ19&lt;=1.5),(BJ19+BI19)*BH19/2*AV19,"")</f>
        <v/>
      </c>
      <c r="BV19" s="105" t="str">
        <f>IF(AND(BH19&gt;4.5,BJ19&gt;1.5),(BJ19+BI19)*BH19/2*AV19,"")</f>
        <v/>
      </c>
      <c r="BW19" s="105">
        <f>(PI()*(AZ19/1000*1.21)^2/4*AV19)*AX19</f>
        <v>66.234323579339758</v>
      </c>
      <c r="BX19" s="107">
        <v>0</v>
      </c>
      <c r="BY19" s="107">
        <v>0.15</v>
      </c>
      <c r="BZ19" s="105">
        <f>BX19*SUM(BK19:BV19)</f>
        <v>0</v>
      </c>
      <c r="CA19" s="105">
        <f>MAX(BZ19,BW19)*(1+BY19)</f>
        <v>76.169472116240712</v>
      </c>
      <c r="CB19" s="105" t="str">
        <f>IF(BF19="Sem","",IF(AND(BH19&lt;=1.5,BJ19&lt;=1.5),2*BH19*AV19,""))</f>
        <v/>
      </c>
      <c r="CC19" s="105" t="str">
        <f>IF(BF19="Sem","",IF(AND(BH19&lt;=1.5,BJ19&gt;1.5),2*BH19*AV19,""))</f>
        <v/>
      </c>
      <c r="CD19" s="105" t="str">
        <f>IF(BF19="Sem","",IF(AND(BH19&gt;1.5,BH19&lt;=3,BJ19&lt;=1.5),2*BH19*AV19,""))</f>
        <v/>
      </c>
      <c r="CE19" s="105">
        <f>IF(BF19="Sem","",IF(AND(BH19&gt;1.5,BH19&lt;=3,BJ19&gt;1.5),2*BH19*AV19,""))</f>
        <v>218.99999999999784</v>
      </c>
      <c r="CF19" s="105" t="str">
        <f>IF(BF19="Sem","",IF(AND(BH19&gt;3,BJ19&lt;=1.5),2*BH19*AV19,""))</f>
        <v/>
      </c>
      <c r="CG19" s="105" t="str">
        <f>IF(BF19="Sem","",IF(AND(BH19&gt;3,BJ19&gt;1.5),2*BH19*AV19,""))</f>
        <v/>
      </c>
      <c r="CH19" s="105" t="str">
        <f>IF(BD19&lt;&gt;0,"",IF(BI19&lt;1.5,BI19*AV19,""))</f>
        <v/>
      </c>
      <c r="CI19" s="105" t="str">
        <f>IF(BD19&lt;&gt;0,"",IF(BI19&gt;=1.5,BI19*AV19,""))</f>
        <v/>
      </c>
      <c r="CJ19" s="104" t="s">
        <v>119</v>
      </c>
      <c r="CK19" s="105" t="str">
        <f>IF(BD19=0,"",IF(BI19&lt;1.5,BD19*BI19*AV19,""))</f>
        <v/>
      </c>
      <c r="CL19" s="105">
        <f>IF(BD19=0,"",IF(BI19&gt;=1.5,BD19*BI19*AV19,""))</f>
        <v>19.2</v>
      </c>
      <c r="CM19" s="108">
        <v>0.1</v>
      </c>
      <c r="CN19" s="105">
        <f>SUM(CK19:CL19)*(1+CM19)</f>
        <v>21.12</v>
      </c>
      <c r="CO19" s="105" t="str">
        <f>IF(AND(BH19&lt;=1.5,BJ19&lt;=0.8),SUM(BK19:BV19)-BW19,"")</f>
        <v/>
      </c>
      <c r="CP19" s="105" t="str">
        <f>IF(AND(BH19&lt;=1.5,BJ19&gt;0.8,BJ19&lt;=1.5),SUM(BK19:BV19)-BW19,"")</f>
        <v/>
      </c>
      <c r="CQ19" s="105" t="str">
        <f>IF(AND(BH19&lt;=1.5,BJ19&gt;1.5),SUM(BK19:BV19)-BW19,"")</f>
        <v/>
      </c>
      <c r="CR19" s="105" t="str">
        <f>IF(AND(BH19&gt;1.5,BH19&lt;=3,BJ19&lt;=0.8),SUM(BK19:BV19)-BW19,"")</f>
        <v/>
      </c>
      <c r="CS19" s="105" t="str">
        <f>IF(AND(BH19&gt;1.5,BH19&lt;=3,BJ19&gt;0.8,BJ19&lt;=1.5),SUM(BK19:BV19)-BW19,"")</f>
        <v/>
      </c>
      <c r="CT19" s="105">
        <f>IF(AND(BH19&gt;1.5,BH19&lt;=3,BJ19&gt;1.5),SUM(BK19:BV19)-BW19,"")</f>
        <v>271.50473892065622</v>
      </c>
      <c r="CU19" s="105" t="str">
        <f>IF(AND(BH19&gt;3,BH19&lt;=4.5,BJ19&lt;=0.8),SUM(BK19:BV19)-BW19,"")</f>
        <v/>
      </c>
      <c r="CV19" s="105" t="str">
        <f>IF(AND(BH19&gt;3,BH19&lt;=4.5,BJ19&gt;0.8,BJ19&lt;=1.5),SUM(BK19:BV19)-BW19,"")</f>
        <v/>
      </c>
      <c r="CW19" s="105" t="str">
        <f>IF(AND(BH19&gt;3,BH19&lt;=4.5,BJ19&gt;1.5),SUM(BK19:BV19)-BW19,"")</f>
        <v/>
      </c>
      <c r="CX19" s="105" t="str">
        <f>IF(AND(BH19&gt;4.5,BJ19&lt;=0.8),SUM(BK19:BV19)-BW19,"")</f>
        <v/>
      </c>
      <c r="CY19" s="105" t="str">
        <f>IF(AND(BH19&gt;4.5,BJ19&gt;0.8,BJ19&lt;=1.5),SUM(BK19:BV19)-BW19,"")</f>
        <v/>
      </c>
      <c r="CZ19" s="105" t="str">
        <f>IF(AND(BH19&gt;4.5,BJ19&gt;1.5),SUM(BK19:BV19)-BW19,"")</f>
        <v/>
      </c>
      <c r="DA19" s="105">
        <f t="shared" ref="DA19:DA29" si="56">HLOOKUP(AZ19,$AW$37:$BB$38,2,FALSE)*AV19*AX19</f>
        <v>54.400000000000006</v>
      </c>
      <c r="DB19" s="105">
        <f>IF(AZ19=400,AV19*AX19,0)</f>
        <v>0</v>
      </c>
      <c r="DC19" s="105">
        <f>IF($AZ19=600,$AV19*AX19,0)</f>
        <v>0</v>
      </c>
      <c r="DD19" s="105">
        <f>IF($AZ19=800,$AV19*AX19,0)</f>
        <v>0</v>
      </c>
      <c r="DE19" s="105">
        <f>IF($AZ19=1000,$AV19*AX19,0)</f>
        <v>0</v>
      </c>
      <c r="DF19" s="105">
        <f>IF($AZ19=1200,$AV19*AX19,0)</f>
        <v>40</v>
      </c>
      <c r="DG19" s="105"/>
      <c r="DH19" s="105">
        <f t="shared" si="55"/>
        <v>0.60000000000000009</v>
      </c>
    </row>
    <row r="20" spans="2:112" ht="16.5" customHeight="1" x14ac:dyDescent="0.2">
      <c r="B20" s="96" t="s">
        <v>154</v>
      </c>
      <c r="C20" s="554">
        <v>119</v>
      </c>
      <c r="D20" s="63">
        <v>0.94</v>
      </c>
      <c r="E20" s="63">
        <v>0.94</v>
      </c>
      <c r="F20" s="97">
        <v>0.6</v>
      </c>
      <c r="G20" s="97">
        <v>1</v>
      </c>
      <c r="H20" s="97">
        <v>1.0093245154832109</v>
      </c>
      <c r="I20" s="97">
        <v>0.47451547963042556</v>
      </c>
      <c r="J20" s="63">
        <v>142.78349265024553</v>
      </c>
      <c r="K20" s="97">
        <v>0.17705208079839707</v>
      </c>
      <c r="L20" s="97">
        <v>0</v>
      </c>
      <c r="M20" s="97">
        <v>9.0908686241879888</v>
      </c>
      <c r="N20" s="97">
        <v>1.5077487801174183</v>
      </c>
      <c r="O20" s="97">
        <v>0.81800000000004047</v>
      </c>
      <c r="P20" s="98">
        <v>6.8739495798322732E-3</v>
      </c>
      <c r="Q20" s="97">
        <v>0.17705208079839707</v>
      </c>
      <c r="R20" s="97">
        <v>0.81800000000004047</v>
      </c>
      <c r="S20" s="99">
        <v>6.8739495798322732E-3</v>
      </c>
      <c r="T20" s="336">
        <v>0.42650842984401183</v>
      </c>
      <c r="U20" s="324">
        <v>0</v>
      </c>
      <c r="V20" s="324">
        <v>0</v>
      </c>
      <c r="W20" s="324">
        <v>1</v>
      </c>
      <c r="X20" s="325"/>
      <c r="Y20" s="336">
        <v>0.6</v>
      </c>
      <c r="Z20" s="326">
        <v>1.3154269195819732</v>
      </c>
      <c r="AA20" s="97">
        <v>8.3386266557044342E-2</v>
      </c>
      <c r="AB20" s="97">
        <v>0.19350000000000001</v>
      </c>
      <c r="AC20" s="98">
        <v>0.35</v>
      </c>
      <c r="AD20" s="97">
        <v>0.21</v>
      </c>
      <c r="AE20" s="97">
        <v>0.11609999999999999</v>
      </c>
      <c r="AF20" s="97">
        <v>0.47463137069383127</v>
      </c>
      <c r="AG20" s="97">
        <v>0</v>
      </c>
      <c r="AH20" s="326">
        <v>0.47463137069383127</v>
      </c>
      <c r="AI20" s="637">
        <v>316.57600000000002</v>
      </c>
      <c r="AJ20" s="637">
        <v>315.75799999999998</v>
      </c>
      <c r="AK20" s="635"/>
      <c r="AL20" s="63">
        <v>1.5</v>
      </c>
      <c r="AM20" s="63">
        <v>1.5</v>
      </c>
      <c r="AN20" s="333">
        <v>315.07600000000002</v>
      </c>
      <c r="AO20" s="333">
        <v>314.25799999999998</v>
      </c>
      <c r="AP20" s="97">
        <v>315.286</v>
      </c>
      <c r="AQ20" s="97">
        <v>314.46799999999996</v>
      </c>
      <c r="AR20" s="63">
        <v>0.83699999999998909</v>
      </c>
      <c r="AS20" s="100">
        <v>0.83699999999998909</v>
      </c>
      <c r="AT20" s="101"/>
      <c r="AU20" s="613" t="str">
        <f t="shared" ref="AU20:AV25" si="57">B20</f>
        <v>TR-07</v>
      </c>
      <c r="AV20" s="102">
        <f t="shared" si="57"/>
        <v>119</v>
      </c>
      <c r="AW20" s="103">
        <f t="shared" ref="AW20:AW25" si="58">U20</f>
        <v>0</v>
      </c>
      <c r="AX20" s="103">
        <f t="shared" ref="AX20:AX25" si="59">W20</f>
        <v>1</v>
      </c>
      <c r="AY20" s="103">
        <f t="shared" ref="AY20:AY25" si="60">V20</f>
        <v>0</v>
      </c>
      <c r="AZ20" s="103">
        <f t="shared" ref="AZ20:AZ25" si="61">Y20*1000</f>
        <v>600</v>
      </c>
      <c r="BA20" s="104" t="str">
        <f t="shared" ref="BA20:BA25" si="62">IF(AZ20=600,"PS-1","PA-1")</f>
        <v>PS-1</v>
      </c>
      <c r="BB20" s="105">
        <f t="shared" ref="BB20:BC25" si="63">AL20</f>
        <v>1.5</v>
      </c>
      <c r="BC20" s="105">
        <f t="shared" si="63"/>
        <v>1.5</v>
      </c>
      <c r="BD20" s="105">
        <f t="shared" ref="BD20:BD25" si="64">IF(AZ20&gt;=1000,0.2,0)</f>
        <v>0</v>
      </c>
      <c r="BE20" s="106">
        <v>4</v>
      </c>
      <c r="BF20" s="106" t="str">
        <f t="shared" ref="BF20:BF25" si="65">IF(BG20&gt;1.25,"Com","Sem")</f>
        <v>Com</v>
      </c>
      <c r="BG20" s="105">
        <f t="shared" ref="BG20:BG25" si="66">AVERAGE(BB20:BC20)</f>
        <v>1.5</v>
      </c>
      <c r="BH20" s="105">
        <f t="shared" ref="BH20:BH25" si="67">BG20+BD20+0.21*AZ20/1000</f>
        <v>1.6259999999999999</v>
      </c>
      <c r="BI20" s="105">
        <f t="shared" ref="BI20:BI25" si="68">IF(AX20=1,2*AZ20/1000,IF(AX20=2,((1.21*2*(AZ20/1000))+0.4),IF(AX20=3,((3*1.21*(AZ20/1000))+0.6),0)))</f>
        <v>1.2</v>
      </c>
      <c r="BJ20" s="105">
        <f t="shared" ref="BJ20:BJ25" si="69">IF(BE20=0,BI20,BI20+2*(1/BE20)*BH20)</f>
        <v>2.0129999999999999</v>
      </c>
      <c r="BK20" s="105" t="str">
        <f t="shared" ref="BK20:BK25" si="70">IF(AND(BH20&lt;=1.5,BJ20&lt;=0.8),(BJ20+BI20)*BH20/2*AV20,"")</f>
        <v/>
      </c>
      <c r="BL20" s="105" t="str">
        <f t="shared" ref="BL20:BL25" si="71">IF(AND(BH20&lt;=1.5,BJ20&gt;0.8,BJ20&lt;=1.5),(BJ20+BI20)*BH20/2*AV20,"")</f>
        <v/>
      </c>
      <c r="BM20" s="105" t="str">
        <f t="shared" ref="BM20:BM25" si="72">IF(AND(BH20&lt;=1.5,BJ20&gt;1.5),(BJ20+BI20)*BH20/2*AV20,"")</f>
        <v/>
      </c>
      <c r="BN20" s="105" t="str">
        <f t="shared" ref="BN20:BN25" si="73">IF(AND(BH20&gt;1.5,BH20&lt;=3,BJ20&lt;=0.8),(BJ20+BI20)*BH20/2*AV20,"")</f>
        <v/>
      </c>
      <c r="BO20" s="105" t="str">
        <f t="shared" ref="BO20:BO25" si="74">IF(AND(BH20&gt;1.5,BH20&lt;=3,BJ20&gt;0.8,BJ20&lt;=1.5),(BJ20+BI20)*BH20/2*AV20,"")</f>
        <v/>
      </c>
      <c r="BP20" s="105">
        <f t="shared" ref="BP20:BP25" si="75">IF(AND(BH20&gt;1.5,BH20&lt;=3,BJ20&gt;1.5),(BJ20+BI20)*BH20/2*AV20,"")</f>
        <v>310.84811099999996</v>
      </c>
      <c r="BQ20" s="105" t="str">
        <f t="shared" ref="BQ20:BQ25" si="76">IF(AND(BH20&gt;3,BH20&lt;=4.5,BJ20&lt;=0.8),(BJ20+BI20)*BH20/2*AV20,"")</f>
        <v/>
      </c>
      <c r="BR20" s="105" t="str">
        <f t="shared" ref="BR20:BR25" si="77">IF(AND(BH20&gt;3,BH20&lt;=4.5,BJ20&gt;0.8,BJ20&lt;=1.5),(BJ20+BI20)*BH20/2*AV20,"")</f>
        <v/>
      </c>
      <c r="BS20" s="105" t="str">
        <f t="shared" ref="BS20:BS25" si="78">IF(AND(BH20&gt;3,BH20&lt;=4.5,BJ20&gt;1.5),(BJ20+BI20)*BH20/2*AV20,"")</f>
        <v/>
      </c>
      <c r="BT20" s="105" t="str">
        <f t="shared" ref="BT20:BT25" si="79">IF(AND(BH20&gt;4.5,BJ20&lt;=0.8),(BJ20+BI20)*BH20/2*AV20,"")</f>
        <v/>
      </c>
      <c r="BU20" s="105" t="str">
        <f t="shared" ref="BU20:BU25" si="80">IF(AND(BH20&gt;4.5,BJ20&gt;0.8,BJ20&lt;=1.5),(BJ20+BI20)*BH20/2*AV20,"")</f>
        <v/>
      </c>
      <c r="BV20" s="105" t="str">
        <f t="shared" ref="BV20:BV25" si="81">IF(AND(BH20&gt;4.5,BJ20&gt;1.5),(BJ20+BI20)*BH20/2*AV20,"")</f>
        <v/>
      </c>
      <c r="BW20" s="105">
        <f t="shared" ref="BW20:BW25" si="82">(PI()*(AZ20/1000*1.21)^2/4*AV20)*AX20</f>
        <v>49.261778162133943</v>
      </c>
      <c r="BX20" s="107">
        <v>0</v>
      </c>
      <c r="BY20" s="107">
        <v>0.15</v>
      </c>
      <c r="BZ20" s="105">
        <f t="shared" ref="BZ20:BZ25" si="83">BX20*SUM(BK20:BV20)</f>
        <v>0</v>
      </c>
      <c r="CA20" s="105">
        <f t="shared" ref="CA20:CA25" si="84">MAX(BZ20,BW20)*(1+BY20)</f>
        <v>56.651044886454031</v>
      </c>
      <c r="CB20" s="105" t="str">
        <f t="shared" ref="CB20:CB25" si="85">IF(BF20="Sem","",IF(AND(BH20&lt;=1.5,BJ20&lt;=1.5),2*BH20*AV20,""))</f>
        <v/>
      </c>
      <c r="CC20" s="105" t="str">
        <f t="shared" ref="CC20:CC25" si="86">IF(BF20="Sem","",IF(AND(BH20&lt;=1.5,BJ20&gt;1.5),2*BH20*AV20,""))</f>
        <v/>
      </c>
      <c r="CD20" s="105" t="str">
        <f t="shared" ref="CD20:CD25" si="87">IF(BF20="Sem","",IF(AND(BH20&gt;1.5,BH20&lt;=3,BJ20&lt;=1.5),2*BH20*AV20,""))</f>
        <v/>
      </c>
      <c r="CE20" s="105">
        <f t="shared" ref="CE20:CE25" si="88">IF(BF20="Sem","",IF(AND(BH20&gt;1.5,BH20&lt;=3,BJ20&gt;1.5),2*BH20*AV20,""))</f>
        <v>386.988</v>
      </c>
      <c r="CF20" s="105" t="str">
        <f t="shared" ref="CF20:CF25" si="89">IF(BF20="Sem","",IF(AND(BH20&gt;3,BJ20&lt;=1.5),2*BH20*AV20,""))</f>
        <v/>
      </c>
      <c r="CG20" s="105" t="str">
        <f t="shared" ref="CG20:CG25" si="90">IF(BF20="Sem","",IF(AND(BH20&gt;3,BJ20&gt;1.5),2*BH20*AV20,""))</f>
        <v/>
      </c>
      <c r="CH20" s="105">
        <f t="shared" ref="CH20:CH25" si="91">IF(BD20&lt;&gt;0,"",IF(BI20&lt;1.5,BI20*AV20,""))</f>
        <v>142.79999999999998</v>
      </c>
      <c r="CI20" s="105" t="str">
        <f t="shared" ref="CI20:CI25" si="92">IF(BD20&lt;&gt;0,"",IF(BI20&gt;=1.5,BI20*AV20,""))</f>
        <v/>
      </c>
      <c r="CJ20" s="104"/>
      <c r="CK20" s="105" t="str">
        <f t="shared" ref="CK20:CK25" si="93">IF(BD20=0,"",IF(BI20&lt;1.5,BD20*BI20*AV20,""))</f>
        <v/>
      </c>
      <c r="CL20" s="105" t="str">
        <f t="shared" ref="CL20:CL25" si="94">IF(BD20=0,"",IF(BI20&gt;=1.5,BD20*BI20*AV20,""))</f>
        <v/>
      </c>
      <c r="CM20" s="108">
        <v>0.1</v>
      </c>
      <c r="CN20" s="105">
        <f t="shared" ref="CN20:CN25" si="95">SUM(CK20:CL20)*(1+CM20)</f>
        <v>0</v>
      </c>
      <c r="CO20" s="105" t="str">
        <f t="shared" ref="CO20:CO25" si="96">IF(AND(BH20&lt;=1.5,BJ20&lt;=0.8),SUM(BK20:BV20)-BW20,"")</f>
        <v/>
      </c>
      <c r="CP20" s="105" t="str">
        <f t="shared" ref="CP20:CP25" si="97">IF(AND(BH20&lt;=1.5,BJ20&gt;0.8,BJ20&lt;=1.5),SUM(BK20:BV20)-BW20,"")</f>
        <v/>
      </c>
      <c r="CQ20" s="105" t="str">
        <f t="shared" ref="CQ20:CQ25" si="98">IF(AND(BH20&lt;=1.5,BJ20&gt;1.5),SUM(BK20:BV20)-BW20,"")</f>
        <v/>
      </c>
      <c r="CR20" s="105" t="str">
        <f t="shared" ref="CR20:CR25" si="99">IF(AND(BH20&gt;1.5,BH20&lt;=3,BJ20&lt;=0.8),SUM(BK20:BV20)-BW20,"")</f>
        <v/>
      </c>
      <c r="CS20" s="105" t="str">
        <f t="shared" ref="CS20:CS25" si="100">IF(AND(BH20&gt;1.5,BH20&lt;=3,BJ20&gt;0.8,BJ20&lt;=1.5),SUM(BK20:BV20)-BW20,"")</f>
        <v/>
      </c>
      <c r="CT20" s="105">
        <f t="shared" ref="CT20:CT25" si="101">IF(AND(BH20&gt;1.5,BH20&lt;=3,BJ20&gt;1.5),SUM(BK20:BV20)-BW20,"")</f>
        <v>261.586332837866</v>
      </c>
      <c r="CU20" s="105" t="str">
        <f t="shared" ref="CU20:CU25" si="102">IF(AND(BH20&gt;3,BH20&lt;=4.5,BJ20&lt;=0.8),SUM(BK20:BV20)-BW20,"")</f>
        <v/>
      </c>
      <c r="CV20" s="105" t="str">
        <f t="shared" ref="CV20:CV25" si="103">IF(AND(BH20&gt;3,BH20&lt;=4.5,BJ20&gt;0.8,BJ20&lt;=1.5),SUM(BK20:BV20)-BW20,"")</f>
        <v/>
      </c>
      <c r="CW20" s="105" t="str">
        <f t="shared" ref="CW20:CW25" si="104">IF(AND(BH20&gt;3,BH20&lt;=4.5,BJ20&gt;1.5),SUM(BK20:BV20)-BW20,"")</f>
        <v/>
      </c>
      <c r="CX20" s="105" t="str">
        <f t="shared" ref="CX20:CX25" si="105">IF(AND(BH20&gt;4.5,BJ20&lt;=0.8),SUM(BK20:BV20)-BW20,"")</f>
        <v/>
      </c>
      <c r="CY20" s="105" t="str">
        <f t="shared" ref="CY20:CY25" si="106">IF(AND(BH20&gt;4.5,BJ20&gt;0.8,BJ20&lt;=1.5),SUM(BK20:BV20)-BW20,"")</f>
        <v/>
      </c>
      <c r="CZ20" s="105" t="str">
        <f t="shared" ref="CZ20:CZ25" si="107">IF(AND(BH20&gt;4.5,BJ20&gt;1.5),SUM(BK20:BV20)-BW20,"")</f>
        <v/>
      </c>
      <c r="DA20" s="105">
        <f t="shared" si="56"/>
        <v>41.65</v>
      </c>
      <c r="DB20" s="105">
        <f t="shared" ref="DB20:DB25" si="108">IF(AZ20=400,AV20*AX20,0)</f>
        <v>0</v>
      </c>
      <c r="DC20" s="105">
        <f t="shared" ref="DC20:DC25" si="109">IF($AZ20=600,$AV20*AX20,0)</f>
        <v>119</v>
      </c>
      <c r="DD20" s="105">
        <f t="shared" ref="DD20:DD24" si="110">IF($AZ20=800,$AV20*AX20,0)</f>
        <v>0</v>
      </c>
      <c r="DE20" s="105">
        <f t="shared" ref="DE20:DE25" si="111">IF($AZ20=1000,$AV20*AX20,0)</f>
        <v>0</v>
      </c>
      <c r="DF20" s="105">
        <f t="shared" ref="DF20:DF25" si="112">IF($AZ20=1200,$AV20*AX20,0)</f>
        <v>0</v>
      </c>
      <c r="DG20" s="105"/>
      <c r="DH20" s="105">
        <f t="shared" si="55"/>
        <v>0.3</v>
      </c>
    </row>
    <row r="21" spans="2:112" ht="16.5" customHeight="1" x14ac:dyDescent="0.2">
      <c r="B21" s="110" t="s">
        <v>987</v>
      </c>
      <c r="C21" s="555">
        <v>119</v>
      </c>
      <c r="D21" s="111">
        <v>3.49</v>
      </c>
      <c r="E21" s="111">
        <v>4.43</v>
      </c>
      <c r="F21" s="109">
        <v>0.6</v>
      </c>
      <c r="G21" s="109">
        <v>0.79990689638262014</v>
      </c>
      <c r="H21" s="109">
        <v>0.79990689638262014</v>
      </c>
      <c r="I21" s="109">
        <v>0.49080014148410434</v>
      </c>
      <c r="J21" s="111">
        <v>135.51802129844796</v>
      </c>
      <c r="K21" s="109">
        <v>0.65522384560445945</v>
      </c>
      <c r="L21" s="109">
        <v>0</v>
      </c>
      <c r="M21" s="109">
        <v>10.598617404305408</v>
      </c>
      <c r="N21" s="109">
        <v>0.58186560800939846</v>
      </c>
      <c r="O21" s="109">
        <v>4.2849999999999682</v>
      </c>
      <c r="P21" s="112">
        <v>3.6008403361344268E-2</v>
      </c>
      <c r="Q21" s="109">
        <v>0.51619214924595136</v>
      </c>
      <c r="R21" s="109">
        <v>4.2849999999999682</v>
      </c>
      <c r="S21" s="113">
        <v>3.6008403361344268E-2</v>
      </c>
      <c r="T21" s="337">
        <v>0.51072407559647093</v>
      </c>
      <c r="U21" s="327">
        <v>0</v>
      </c>
      <c r="V21" s="327">
        <v>0</v>
      </c>
      <c r="W21" s="327">
        <v>1</v>
      </c>
      <c r="X21" s="328"/>
      <c r="Y21" s="337">
        <v>0.6</v>
      </c>
      <c r="Z21" s="329">
        <v>3.4085763207735384</v>
      </c>
      <c r="AA21" s="109">
        <v>0.13482934587918072</v>
      </c>
      <c r="AB21" s="109">
        <v>0.2331</v>
      </c>
      <c r="AC21" s="112">
        <v>0.45</v>
      </c>
      <c r="AD21" s="109">
        <v>0.27</v>
      </c>
      <c r="AE21" s="109">
        <v>0.13985999999999998</v>
      </c>
      <c r="AF21" s="109">
        <v>1.0863135601725513</v>
      </c>
      <c r="AG21" s="109">
        <v>0</v>
      </c>
      <c r="AH21" s="329">
        <v>1.0863135601725513</v>
      </c>
      <c r="AI21" s="638">
        <v>315.75799999999998</v>
      </c>
      <c r="AJ21" s="638">
        <v>311.47300000000001</v>
      </c>
      <c r="AK21" s="137"/>
      <c r="AL21" s="111">
        <v>1.5</v>
      </c>
      <c r="AM21" s="111">
        <v>1.5</v>
      </c>
      <c r="AN21" s="334">
        <v>314.25799999999998</v>
      </c>
      <c r="AO21" s="334">
        <v>309.97300000000001</v>
      </c>
      <c r="AP21" s="109">
        <v>314.52799999999996</v>
      </c>
      <c r="AQ21" s="109">
        <v>310.24299999999999</v>
      </c>
      <c r="AR21" s="111">
        <v>0.83699999999998909</v>
      </c>
      <c r="AS21" s="114">
        <v>0.83699999999998909</v>
      </c>
      <c r="AT21" s="101"/>
      <c r="AU21" s="613" t="str">
        <f t="shared" si="57"/>
        <v>TR-08</v>
      </c>
      <c r="AV21" s="102">
        <f t="shared" si="57"/>
        <v>119</v>
      </c>
      <c r="AW21" s="103">
        <f t="shared" si="58"/>
        <v>0</v>
      </c>
      <c r="AX21" s="103">
        <f t="shared" si="59"/>
        <v>1</v>
      </c>
      <c r="AY21" s="103">
        <f t="shared" si="60"/>
        <v>0</v>
      </c>
      <c r="AZ21" s="103">
        <f t="shared" si="61"/>
        <v>600</v>
      </c>
      <c r="BA21" s="104" t="str">
        <f t="shared" si="62"/>
        <v>PS-1</v>
      </c>
      <c r="BB21" s="105">
        <f t="shared" si="63"/>
        <v>1.5</v>
      </c>
      <c r="BC21" s="105">
        <f t="shared" si="63"/>
        <v>1.5</v>
      </c>
      <c r="BD21" s="105">
        <f t="shared" si="64"/>
        <v>0</v>
      </c>
      <c r="BE21" s="106">
        <v>4</v>
      </c>
      <c r="BF21" s="106" t="str">
        <f t="shared" si="65"/>
        <v>Com</v>
      </c>
      <c r="BG21" s="105">
        <f t="shared" si="66"/>
        <v>1.5</v>
      </c>
      <c r="BH21" s="105">
        <f t="shared" si="67"/>
        <v>1.6259999999999999</v>
      </c>
      <c r="BI21" s="105">
        <f t="shared" si="68"/>
        <v>1.2</v>
      </c>
      <c r="BJ21" s="105">
        <f t="shared" si="69"/>
        <v>2.0129999999999999</v>
      </c>
      <c r="BK21" s="105" t="str">
        <f t="shared" si="70"/>
        <v/>
      </c>
      <c r="BL21" s="105" t="str">
        <f t="shared" si="71"/>
        <v/>
      </c>
      <c r="BM21" s="105" t="str">
        <f t="shared" si="72"/>
        <v/>
      </c>
      <c r="BN21" s="105" t="str">
        <f t="shared" si="73"/>
        <v/>
      </c>
      <c r="BO21" s="105" t="str">
        <f t="shared" si="74"/>
        <v/>
      </c>
      <c r="BP21" s="105">
        <f t="shared" si="75"/>
        <v>310.84811099999996</v>
      </c>
      <c r="BQ21" s="105" t="str">
        <f t="shared" si="76"/>
        <v/>
      </c>
      <c r="BR21" s="105" t="str">
        <f t="shared" si="77"/>
        <v/>
      </c>
      <c r="BS21" s="105" t="str">
        <f t="shared" si="78"/>
        <v/>
      </c>
      <c r="BT21" s="105" t="str">
        <f t="shared" si="79"/>
        <v/>
      </c>
      <c r="BU21" s="105" t="str">
        <f t="shared" si="80"/>
        <v/>
      </c>
      <c r="BV21" s="105" t="str">
        <f t="shared" si="81"/>
        <v/>
      </c>
      <c r="BW21" s="105">
        <f t="shared" si="82"/>
        <v>49.261778162133943</v>
      </c>
      <c r="BX21" s="107">
        <v>0</v>
      </c>
      <c r="BY21" s="107">
        <v>0.15</v>
      </c>
      <c r="BZ21" s="105">
        <f t="shared" si="83"/>
        <v>0</v>
      </c>
      <c r="CA21" s="105">
        <f t="shared" si="84"/>
        <v>56.651044886454031</v>
      </c>
      <c r="CB21" s="105" t="str">
        <f t="shared" si="85"/>
        <v/>
      </c>
      <c r="CC21" s="105" t="str">
        <f t="shared" si="86"/>
        <v/>
      </c>
      <c r="CD21" s="105" t="str">
        <f t="shared" si="87"/>
        <v/>
      </c>
      <c r="CE21" s="105">
        <f t="shared" si="88"/>
        <v>386.988</v>
      </c>
      <c r="CF21" s="105" t="str">
        <f t="shared" si="89"/>
        <v/>
      </c>
      <c r="CG21" s="105" t="str">
        <f t="shared" si="90"/>
        <v/>
      </c>
      <c r="CH21" s="105">
        <f t="shared" si="91"/>
        <v>142.79999999999998</v>
      </c>
      <c r="CI21" s="105" t="str">
        <f t="shared" si="92"/>
        <v/>
      </c>
      <c r="CJ21" s="104"/>
      <c r="CK21" s="105" t="str">
        <f t="shared" si="93"/>
        <v/>
      </c>
      <c r="CL21" s="105" t="str">
        <f t="shared" si="94"/>
        <v/>
      </c>
      <c r="CM21" s="108">
        <v>0.1</v>
      </c>
      <c r="CN21" s="105">
        <f t="shared" si="95"/>
        <v>0</v>
      </c>
      <c r="CO21" s="105" t="str">
        <f t="shared" si="96"/>
        <v/>
      </c>
      <c r="CP21" s="105" t="str">
        <f t="shared" si="97"/>
        <v/>
      </c>
      <c r="CQ21" s="105" t="str">
        <f t="shared" si="98"/>
        <v/>
      </c>
      <c r="CR21" s="105" t="str">
        <f t="shared" si="99"/>
        <v/>
      </c>
      <c r="CS21" s="105" t="str">
        <f t="shared" si="100"/>
        <v/>
      </c>
      <c r="CT21" s="105">
        <f t="shared" si="101"/>
        <v>261.586332837866</v>
      </c>
      <c r="CU21" s="105" t="str">
        <f t="shared" si="102"/>
        <v/>
      </c>
      <c r="CV21" s="105" t="str">
        <f t="shared" si="103"/>
        <v/>
      </c>
      <c r="CW21" s="105" t="str">
        <f t="shared" si="104"/>
        <v/>
      </c>
      <c r="CX21" s="105" t="str">
        <f t="shared" si="105"/>
        <v/>
      </c>
      <c r="CY21" s="105" t="str">
        <f t="shared" si="106"/>
        <v/>
      </c>
      <c r="CZ21" s="105" t="str">
        <f t="shared" si="107"/>
        <v/>
      </c>
      <c r="DA21" s="105">
        <f t="shared" si="56"/>
        <v>41.65</v>
      </c>
      <c r="DB21" s="105">
        <f t="shared" si="108"/>
        <v>0</v>
      </c>
      <c r="DC21" s="105">
        <f t="shared" si="109"/>
        <v>119</v>
      </c>
      <c r="DD21" s="105">
        <f t="shared" si="110"/>
        <v>0</v>
      </c>
      <c r="DE21" s="105">
        <f t="shared" si="111"/>
        <v>0</v>
      </c>
      <c r="DF21" s="105">
        <f t="shared" si="112"/>
        <v>0</v>
      </c>
      <c r="DG21" s="105"/>
      <c r="DH21" s="105">
        <f t="shared" si="55"/>
        <v>0.3</v>
      </c>
    </row>
    <row r="22" spans="2:112" ht="16.5" customHeight="1" x14ac:dyDescent="0.2">
      <c r="B22" s="110" t="s">
        <v>988</v>
      </c>
      <c r="C22" s="555">
        <v>94</v>
      </c>
      <c r="D22" s="111">
        <v>1.51</v>
      </c>
      <c r="E22" s="111">
        <v>5.9399999999999995</v>
      </c>
      <c r="F22" s="109">
        <v>0.6</v>
      </c>
      <c r="G22" s="109">
        <v>0.76547680101531146</v>
      </c>
      <c r="H22" s="109">
        <v>0.76547680101531146</v>
      </c>
      <c r="I22" s="109">
        <v>0.49642383068971724</v>
      </c>
      <c r="J22" s="111">
        <v>132.93199654639818</v>
      </c>
      <c r="K22" s="109">
        <v>0.83415243763517311</v>
      </c>
      <c r="L22" s="109">
        <v>0</v>
      </c>
      <c r="M22" s="109">
        <v>11.180483012314806</v>
      </c>
      <c r="N22" s="109">
        <v>0.46108715913409259</v>
      </c>
      <c r="O22" s="109">
        <v>2.7980000000000018</v>
      </c>
      <c r="P22" s="112">
        <v>2.976595744680853E-2</v>
      </c>
      <c r="Q22" s="109">
        <v>0.21204885199143292</v>
      </c>
      <c r="R22" s="109">
        <v>2.2980000000000018</v>
      </c>
      <c r="S22" s="113">
        <v>2.4446808510638317E-2</v>
      </c>
      <c r="T22" s="337">
        <v>0.57944268009372091</v>
      </c>
      <c r="U22" s="327">
        <v>0</v>
      </c>
      <c r="V22" s="327">
        <v>0</v>
      </c>
      <c r="W22" s="327">
        <v>1</v>
      </c>
      <c r="X22" s="328"/>
      <c r="Y22" s="337">
        <v>0.6</v>
      </c>
      <c r="Z22" s="329">
        <v>3.3977668552054627</v>
      </c>
      <c r="AA22" s="109">
        <v>0.18879137983151728</v>
      </c>
      <c r="AB22" s="109">
        <v>0.2676</v>
      </c>
      <c r="AC22" s="112">
        <v>0.56000000000000005</v>
      </c>
      <c r="AD22" s="109">
        <v>0.33600000000000002</v>
      </c>
      <c r="AE22" s="109">
        <v>0.16056000000000001</v>
      </c>
      <c r="AF22" s="109">
        <v>0.98767303404806317</v>
      </c>
      <c r="AG22" s="109">
        <v>0</v>
      </c>
      <c r="AH22" s="329">
        <v>0.98767303404806317</v>
      </c>
      <c r="AI22" s="638">
        <v>311.47300000000001</v>
      </c>
      <c r="AJ22" s="638">
        <v>309.17500000000001</v>
      </c>
      <c r="AK22" s="137"/>
      <c r="AL22" s="111">
        <v>1.5</v>
      </c>
      <c r="AM22" s="111">
        <v>2</v>
      </c>
      <c r="AN22" s="334">
        <v>309.97300000000001</v>
      </c>
      <c r="AO22" s="334">
        <v>307.17500000000001</v>
      </c>
      <c r="AP22" s="109">
        <v>310.30900000000003</v>
      </c>
      <c r="AQ22" s="109">
        <v>307.51100000000002</v>
      </c>
      <c r="AR22" s="111">
        <v>0.83699999999998909</v>
      </c>
      <c r="AS22" s="114">
        <v>1.3369999999999891</v>
      </c>
      <c r="AT22" s="101"/>
      <c r="AU22" s="613" t="str">
        <f t="shared" si="57"/>
        <v>TR-09</v>
      </c>
      <c r="AV22" s="102">
        <f t="shared" si="57"/>
        <v>94</v>
      </c>
      <c r="AW22" s="103">
        <f t="shared" si="58"/>
        <v>0</v>
      </c>
      <c r="AX22" s="103">
        <f t="shared" si="59"/>
        <v>1</v>
      </c>
      <c r="AY22" s="103">
        <f t="shared" si="60"/>
        <v>0</v>
      </c>
      <c r="AZ22" s="103">
        <f t="shared" si="61"/>
        <v>600</v>
      </c>
      <c r="BA22" s="104" t="str">
        <f t="shared" si="62"/>
        <v>PS-1</v>
      </c>
      <c r="BB22" s="105">
        <f t="shared" si="63"/>
        <v>1.5</v>
      </c>
      <c r="BC22" s="105">
        <f t="shared" si="63"/>
        <v>2</v>
      </c>
      <c r="BD22" s="105">
        <f t="shared" si="64"/>
        <v>0</v>
      </c>
      <c r="BE22" s="106">
        <v>4</v>
      </c>
      <c r="BF22" s="106" t="str">
        <f t="shared" si="65"/>
        <v>Com</v>
      </c>
      <c r="BG22" s="105">
        <f t="shared" si="66"/>
        <v>1.75</v>
      </c>
      <c r="BH22" s="105">
        <f t="shared" si="67"/>
        <v>1.8759999999999999</v>
      </c>
      <c r="BI22" s="105">
        <f t="shared" si="68"/>
        <v>1.2</v>
      </c>
      <c r="BJ22" s="105">
        <f t="shared" si="69"/>
        <v>2.1379999999999999</v>
      </c>
      <c r="BK22" s="105" t="str">
        <f t="shared" si="70"/>
        <v/>
      </c>
      <c r="BL22" s="105" t="str">
        <f t="shared" si="71"/>
        <v/>
      </c>
      <c r="BM22" s="105" t="str">
        <f t="shared" si="72"/>
        <v/>
      </c>
      <c r="BN22" s="105" t="str">
        <f t="shared" si="73"/>
        <v/>
      </c>
      <c r="BO22" s="105" t="str">
        <f t="shared" si="74"/>
        <v/>
      </c>
      <c r="BP22" s="105">
        <f t="shared" si="75"/>
        <v>294.31813599999998</v>
      </c>
      <c r="BQ22" s="105" t="str">
        <f t="shared" si="76"/>
        <v/>
      </c>
      <c r="BR22" s="105" t="str">
        <f t="shared" si="77"/>
        <v/>
      </c>
      <c r="BS22" s="105" t="str">
        <f t="shared" si="78"/>
        <v/>
      </c>
      <c r="BT22" s="105" t="str">
        <f t="shared" si="79"/>
        <v/>
      </c>
      <c r="BU22" s="105" t="str">
        <f t="shared" si="80"/>
        <v/>
      </c>
      <c r="BV22" s="105" t="str">
        <f t="shared" si="81"/>
        <v/>
      </c>
      <c r="BW22" s="105">
        <f t="shared" si="82"/>
        <v>38.912665102862107</v>
      </c>
      <c r="BX22" s="107">
        <v>0</v>
      </c>
      <c r="BY22" s="107">
        <v>0.15</v>
      </c>
      <c r="BZ22" s="105">
        <f t="shared" si="83"/>
        <v>0</v>
      </c>
      <c r="CA22" s="105">
        <f t="shared" si="84"/>
        <v>44.749564868291422</v>
      </c>
      <c r="CB22" s="105" t="str">
        <f t="shared" si="85"/>
        <v/>
      </c>
      <c r="CC22" s="105" t="str">
        <f t="shared" si="86"/>
        <v/>
      </c>
      <c r="CD22" s="105" t="str">
        <f t="shared" si="87"/>
        <v/>
      </c>
      <c r="CE22" s="105">
        <f t="shared" si="88"/>
        <v>352.68799999999999</v>
      </c>
      <c r="CF22" s="105" t="str">
        <f t="shared" si="89"/>
        <v/>
      </c>
      <c r="CG22" s="105" t="str">
        <f t="shared" si="90"/>
        <v/>
      </c>
      <c r="CH22" s="105">
        <f t="shared" si="91"/>
        <v>112.8</v>
      </c>
      <c r="CI22" s="105" t="str">
        <f t="shared" si="92"/>
        <v/>
      </c>
      <c r="CJ22" s="104"/>
      <c r="CK22" s="105" t="str">
        <f t="shared" si="93"/>
        <v/>
      </c>
      <c r="CL22" s="105" t="str">
        <f t="shared" si="94"/>
        <v/>
      </c>
      <c r="CM22" s="108">
        <v>0.1</v>
      </c>
      <c r="CN22" s="105">
        <f t="shared" si="95"/>
        <v>0</v>
      </c>
      <c r="CO22" s="105" t="str">
        <f t="shared" si="96"/>
        <v/>
      </c>
      <c r="CP22" s="105" t="str">
        <f t="shared" si="97"/>
        <v/>
      </c>
      <c r="CQ22" s="105" t="str">
        <f t="shared" si="98"/>
        <v/>
      </c>
      <c r="CR22" s="105" t="str">
        <f t="shared" si="99"/>
        <v/>
      </c>
      <c r="CS22" s="105" t="str">
        <f t="shared" si="100"/>
        <v/>
      </c>
      <c r="CT22" s="105">
        <f t="shared" si="101"/>
        <v>255.40547089713789</v>
      </c>
      <c r="CU22" s="105" t="str">
        <f t="shared" si="102"/>
        <v/>
      </c>
      <c r="CV22" s="105" t="str">
        <f t="shared" si="103"/>
        <v/>
      </c>
      <c r="CW22" s="105" t="str">
        <f t="shared" si="104"/>
        <v/>
      </c>
      <c r="CX22" s="105" t="str">
        <f t="shared" si="105"/>
        <v/>
      </c>
      <c r="CY22" s="105" t="str">
        <f t="shared" si="106"/>
        <v/>
      </c>
      <c r="CZ22" s="105" t="str">
        <f t="shared" si="107"/>
        <v/>
      </c>
      <c r="DA22" s="105">
        <f t="shared" si="56"/>
        <v>32.9</v>
      </c>
      <c r="DB22" s="105">
        <f t="shared" si="108"/>
        <v>0</v>
      </c>
      <c r="DC22" s="105">
        <f t="shared" si="109"/>
        <v>94</v>
      </c>
      <c r="DD22" s="105">
        <f t="shared" si="110"/>
        <v>0</v>
      </c>
      <c r="DE22" s="105">
        <f t="shared" si="111"/>
        <v>0</v>
      </c>
      <c r="DF22" s="105">
        <f t="shared" si="112"/>
        <v>0</v>
      </c>
      <c r="DG22" s="105"/>
      <c r="DH22" s="105">
        <f t="shared" si="55"/>
        <v>0.3</v>
      </c>
    </row>
    <row r="23" spans="2:112" ht="16.5" customHeight="1" thickBot="1" x14ac:dyDescent="0.25">
      <c r="B23" s="197" t="s">
        <v>989</v>
      </c>
      <c r="C23" s="556">
        <v>11</v>
      </c>
      <c r="D23" s="115">
        <v>0.47</v>
      </c>
      <c r="E23" s="115">
        <v>6.4099999999999993</v>
      </c>
      <c r="F23" s="116">
        <v>0.6</v>
      </c>
      <c r="G23" s="116">
        <v>0.7567828742673206</v>
      </c>
      <c r="H23" s="116">
        <v>0.7567828742673206</v>
      </c>
      <c r="I23" s="116">
        <v>0.50065664897504003</v>
      </c>
      <c r="J23" s="115">
        <v>130.96059315132447</v>
      </c>
      <c r="K23" s="116">
        <v>0.88420861628810654</v>
      </c>
      <c r="L23" s="116">
        <v>0</v>
      </c>
      <c r="M23" s="116">
        <v>11.641570171448897</v>
      </c>
      <c r="N23" s="116">
        <v>7.1198483687167566E-2</v>
      </c>
      <c r="O23" s="116">
        <v>0.15100000000001046</v>
      </c>
      <c r="P23" s="117">
        <v>1.3727272727273677E-2</v>
      </c>
      <c r="Q23" s="116">
        <v>6.4832769057006259E-2</v>
      </c>
      <c r="R23" s="116">
        <v>0.26699999999999591</v>
      </c>
      <c r="S23" s="118">
        <v>2.4272727272726901E-2</v>
      </c>
      <c r="T23" s="338">
        <v>0.68474189382680051</v>
      </c>
      <c r="U23" s="330">
        <v>0</v>
      </c>
      <c r="V23" s="330">
        <v>0</v>
      </c>
      <c r="W23" s="330">
        <v>1</v>
      </c>
      <c r="X23" s="632"/>
      <c r="Y23" s="338">
        <v>0.8</v>
      </c>
      <c r="Z23" s="332">
        <v>2.5749612047759998</v>
      </c>
      <c r="AA23" s="116">
        <v>0.13683251610057046</v>
      </c>
      <c r="AB23" s="116">
        <v>0.2366</v>
      </c>
      <c r="AC23" s="117">
        <v>0.46</v>
      </c>
      <c r="AD23" s="116">
        <v>0.36800000000000005</v>
      </c>
      <c r="AE23" s="116">
        <v>0.18928</v>
      </c>
      <c r="AF23" s="116">
        <v>1.4444927408377792</v>
      </c>
      <c r="AG23" s="116">
        <v>0</v>
      </c>
      <c r="AH23" s="332">
        <v>1.4444927408377792</v>
      </c>
      <c r="AI23" s="639">
        <v>309.17500000000001</v>
      </c>
      <c r="AJ23" s="639">
        <v>308.90800000000002</v>
      </c>
      <c r="AK23" s="636"/>
      <c r="AL23" s="115">
        <v>2</v>
      </c>
      <c r="AM23" s="115">
        <v>1.8840000000000146</v>
      </c>
      <c r="AN23" s="335">
        <v>307.17500000000001</v>
      </c>
      <c r="AO23" s="335">
        <v>307.024</v>
      </c>
      <c r="AP23" s="116">
        <v>307.54300000000001</v>
      </c>
      <c r="AQ23" s="116">
        <v>307.392</v>
      </c>
      <c r="AR23" s="115">
        <v>1.1159999999999854</v>
      </c>
      <c r="AS23" s="119">
        <v>1</v>
      </c>
      <c r="AT23" s="101"/>
      <c r="AU23" s="613" t="str">
        <f t="shared" si="57"/>
        <v>TR-10</v>
      </c>
      <c r="AV23" s="102">
        <f t="shared" si="57"/>
        <v>11</v>
      </c>
      <c r="AW23" s="103">
        <f t="shared" si="58"/>
        <v>0</v>
      </c>
      <c r="AX23" s="103">
        <f t="shared" si="59"/>
        <v>1</v>
      </c>
      <c r="AY23" s="103">
        <f t="shared" si="60"/>
        <v>0</v>
      </c>
      <c r="AZ23" s="103">
        <f t="shared" si="61"/>
        <v>800</v>
      </c>
      <c r="BA23" s="104" t="str">
        <f t="shared" si="62"/>
        <v>PA-1</v>
      </c>
      <c r="BB23" s="105">
        <f t="shared" si="63"/>
        <v>2</v>
      </c>
      <c r="BC23" s="105">
        <f t="shared" si="63"/>
        <v>1.8840000000000146</v>
      </c>
      <c r="BD23" s="105">
        <f t="shared" si="64"/>
        <v>0</v>
      </c>
      <c r="BE23" s="106">
        <v>4</v>
      </c>
      <c r="BF23" s="106" t="str">
        <f t="shared" si="65"/>
        <v>Com</v>
      </c>
      <c r="BG23" s="105">
        <f t="shared" si="66"/>
        <v>1.9420000000000073</v>
      </c>
      <c r="BH23" s="105">
        <f t="shared" si="67"/>
        <v>2.1100000000000074</v>
      </c>
      <c r="BI23" s="105">
        <f t="shared" si="68"/>
        <v>1.6</v>
      </c>
      <c r="BJ23" s="105">
        <f t="shared" si="69"/>
        <v>2.6550000000000038</v>
      </c>
      <c r="BK23" s="105" t="str">
        <f t="shared" si="70"/>
        <v/>
      </c>
      <c r="BL23" s="105" t="str">
        <f t="shared" si="71"/>
        <v/>
      </c>
      <c r="BM23" s="105" t="str">
        <f t="shared" si="72"/>
        <v/>
      </c>
      <c r="BN23" s="105" t="str">
        <f t="shared" si="73"/>
        <v/>
      </c>
      <c r="BO23" s="105" t="str">
        <f t="shared" si="74"/>
        <v/>
      </c>
      <c r="BP23" s="105">
        <f t="shared" si="75"/>
        <v>49.37927500000022</v>
      </c>
      <c r="BQ23" s="105" t="str">
        <f t="shared" si="76"/>
        <v/>
      </c>
      <c r="BR23" s="105" t="str">
        <f t="shared" si="77"/>
        <v/>
      </c>
      <c r="BS23" s="105" t="str">
        <f t="shared" si="78"/>
        <v/>
      </c>
      <c r="BT23" s="105" t="str">
        <f t="shared" si="79"/>
        <v/>
      </c>
      <c r="BU23" s="105" t="str">
        <f t="shared" si="80"/>
        <v/>
      </c>
      <c r="BV23" s="105" t="str">
        <f t="shared" si="81"/>
        <v/>
      </c>
      <c r="BW23" s="105">
        <f t="shared" si="82"/>
        <v>8.0953062152526361</v>
      </c>
      <c r="BX23" s="107">
        <v>0</v>
      </c>
      <c r="BY23" s="107">
        <v>0.15</v>
      </c>
      <c r="BZ23" s="105">
        <f t="shared" si="83"/>
        <v>0</v>
      </c>
      <c r="CA23" s="105">
        <f t="shared" si="84"/>
        <v>9.3096021475405308</v>
      </c>
      <c r="CB23" s="105" t="str">
        <f t="shared" si="85"/>
        <v/>
      </c>
      <c r="CC23" s="105" t="str">
        <f t="shared" si="86"/>
        <v/>
      </c>
      <c r="CD23" s="105" t="str">
        <f t="shared" si="87"/>
        <v/>
      </c>
      <c r="CE23" s="105">
        <f t="shared" si="88"/>
        <v>46.420000000000165</v>
      </c>
      <c r="CF23" s="105" t="str">
        <f t="shared" si="89"/>
        <v/>
      </c>
      <c r="CG23" s="105" t="str">
        <f t="shared" si="90"/>
        <v/>
      </c>
      <c r="CH23" s="105" t="str">
        <f t="shared" si="91"/>
        <v/>
      </c>
      <c r="CI23" s="105">
        <f t="shared" si="92"/>
        <v>17.600000000000001</v>
      </c>
      <c r="CJ23" s="104"/>
      <c r="CK23" s="105" t="str">
        <f t="shared" si="93"/>
        <v/>
      </c>
      <c r="CL23" s="105" t="str">
        <f t="shared" si="94"/>
        <v/>
      </c>
      <c r="CM23" s="108">
        <v>0.1</v>
      </c>
      <c r="CN23" s="105">
        <f t="shared" si="95"/>
        <v>0</v>
      </c>
      <c r="CO23" s="105" t="str">
        <f t="shared" si="96"/>
        <v/>
      </c>
      <c r="CP23" s="105" t="str">
        <f t="shared" si="97"/>
        <v/>
      </c>
      <c r="CQ23" s="105" t="str">
        <f t="shared" si="98"/>
        <v/>
      </c>
      <c r="CR23" s="105" t="str">
        <f t="shared" si="99"/>
        <v/>
      </c>
      <c r="CS23" s="105" t="str">
        <f t="shared" si="100"/>
        <v/>
      </c>
      <c r="CT23" s="105">
        <f t="shared" si="101"/>
        <v>41.283968784747586</v>
      </c>
      <c r="CU23" s="105" t="str">
        <f t="shared" si="102"/>
        <v/>
      </c>
      <c r="CV23" s="105" t="str">
        <f t="shared" si="103"/>
        <v/>
      </c>
      <c r="CW23" s="105" t="str">
        <f t="shared" si="104"/>
        <v/>
      </c>
      <c r="CX23" s="105" t="str">
        <f t="shared" si="105"/>
        <v/>
      </c>
      <c r="CY23" s="105" t="str">
        <f t="shared" si="106"/>
        <v/>
      </c>
      <c r="CZ23" s="105" t="str">
        <f t="shared" si="107"/>
        <v/>
      </c>
      <c r="DA23" s="105">
        <f t="shared" si="56"/>
        <v>5.83</v>
      </c>
      <c r="DB23" s="105">
        <f t="shared" si="108"/>
        <v>0</v>
      </c>
      <c r="DC23" s="105">
        <f t="shared" si="109"/>
        <v>0</v>
      </c>
      <c r="DD23" s="105">
        <f t="shared" si="110"/>
        <v>11</v>
      </c>
      <c r="DE23" s="105">
        <f t="shared" si="111"/>
        <v>0</v>
      </c>
      <c r="DF23" s="105">
        <f t="shared" si="112"/>
        <v>0</v>
      </c>
      <c r="DG23" s="105"/>
      <c r="DH23" s="105">
        <f t="shared" si="55"/>
        <v>0.5</v>
      </c>
    </row>
    <row r="24" spans="2:112" ht="16.5" customHeight="1" x14ac:dyDescent="0.2">
      <c r="B24" s="110" t="s">
        <v>990</v>
      </c>
      <c r="C24" s="555">
        <v>45</v>
      </c>
      <c r="D24" s="111">
        <v>0.43</v>
      </c>
      <c r="E24" s="111">
        <v>0.43</v>
      </c>
      <c r="F24" s="109">
        <v>0.6</v>
      </c>
      <c r="G24" s="109">
        <v>1</v>
      </c>
      <c r="H24" s="109">
        <v>1.1349578464410779</v>
      </c>
      <c r="I24" s="109">
        <v>0.50129373320674564</v>
      </c>
      <c r="J24" s="111">
        <v>130.6620567160785</v>
      </c>
      <c r="K24" s="109">
        <v>7.8298783916690914E-2</v>
      </c>
      <c r="L24" s="109">
        <v>0</v>
      </c>
      <c r="M24" s="109">
        <v>11.712768655136065</v>
      </c>
      <c r="N24" s="109">
        <v>0.62086193466134088</v>
      </c>
      <c r="O24" s="109">
        <v>0.49000000000006594</v>
      </c>
      <c r="P24" s="112">
        <v>1.0888888888890355E-2</v>
      </c>
      <c r="Q24" s="109">
        <v>7.8298783916690914E-2</v>
      </c>
      <c r="R24" s="109">
        <v>-0.30999999999994543</v>
      </c>
      <c r="S24" s="113">
        <v>-6.8888888888876763E-3</v>
      </c>
      <c r="T24" s="337">
        <v>0.28813076545991373</v>
      </c>
      <c r="U24" s="327">
        <v>0</v>
      </c>
      <c r="V24" s="327">
        <v>0</v>
      </c>
      <c r="W24" s="327">
        <v>1</v>
      </c>
      <c r="X24" s="328"/>
      <c r="Y24" s="337">
        <v>0.6</v>
      </c>
      <c r="Z24" s="329">
        <v>1.2079980397076517</v>
      </c>
      <c r="AA24" s="109">
        <v>2.9299479108881307E-2</v>
      </c>
      <c r="AB24" s="109">
        <v>0.1206</v>
      </c>
      <c r="AC24" s="112">
        <v>0.2</v>
      </c>
      <c r="AD24" s="109">
        <v>0.12</v>
      </c>
      <c r="AE24" s="109">
        <v>7.2359999999999994E-2</v>
      </c>
      <c r="AF24" s="109">
        <v>0.59737225988835541</v>
      </c>
      <c r="AG24" s="109">
        <v>0</v>
      </c>
      <c r="AH24" s="329">
        <v>0.59737225988835541</v>
      </c>
      <c r="AI24" s="638">
        <v>308.59500000000003</v>
      </c>
      <c r="AJ24" s="638">
        <v>308.90499999999997</v>
      </c>
      <c r="AK24" s="137"/>
      <c r="AL24" s="111">
        <v>1.5</v>
      </c>
      <c r="AM24" s="111">
        <v>2.2999999999999998</v>
      </c>
      <c r="AN24" s="334">
        <v>307.09500000000003</v>
      </c>
      <c r="AO24" s="334">
        <v>306.60499999999996</v>
      </c>
      <c r="AP24" s="109">
        <v>307.21500000000003</v>
      </c>
      <c r="AQ24" s="109">
        <v>306.72499999999997</v>
      </c>
      <c r="AR24" s="111">
        <v>0.83699999999998909</v>
      </c>
      <c r="AS24" s="114">
        <v>1.6370000000000005</v>
      </c>
      <c r="AT24" s="101"/>
      <c r="AU24" s="613" t="str">
        <f t="shared" si="57"/>
        <v>TR-11</v>
      </c>
      <c r="AV24" s="102">
        <f t="shared" si="57"/>
        <v>45</v>
      </c>
      <c r="AW24" s="103">
        <f t="shared" si="58"/>
        <v>0</v>
      </c>
      <c r="AX24" s="103">
        <f t="shared" si="59"/>
        <v>1</v>
      </c>
      <c r="AY24" s="103">
        <f t="shared" si="60"/>
        <v>0</v>
      </c>
      <c r="AZ24" s="103">
        <f t="shared" si="61"/>
        <v>600</v>
      </c>
      <c r="BA24" s="339" t="str">
        <f t="shared" si="62"/>
        <v>PS-1</v>
      </c>
      <c r="BB24" s="105">
        <f t="shared" si="63"/>
        <v>1.5</v>
      </c>
      <c r="BC24" s="105">
        <f t="shared" si="63"/>
        <v>2.2999999999999998</v>
      </c>
      <c r="BD24" s="105">
        <f t="shared" si="64"/>
        <v>0</v>
      </c>
      <c r="BE24" s="106">
        <v>4</v>
      </c>
      <c r="BF24" s="106" t="str">
        <f t="shared" si="65"/>
        <v>Com</v>
      </c>
      <c r="BG24" s="105">
        <f t="shared" si="66"/>
        <v>1.9</v>
      </c>
      <c r="BH24" s="105">
        <f t="shared" si="67"/>
        <v>2.0259999999999998</v>
      </c>
      <c r="BI24" s="105">
        <f t="shared" si="68"/>
        <v>1.2</v>
      </c>
      <c r="BJ24" s="105">
        <f t="shared" si="69"/>
        <v>2.2130000000000001</v>
      </c>
      <c r="BK24" s="105" t="str">
        <f t="shared" si="70"/>
        <v/>
      </c>
      <c r="BL24" s="105" t="str">
        <f t="shared" si="71"/>
        <v/>
      </c>
      <c r="BM24" s="105" t="str">
        <f t="shared" si="72"/>
        <v/>
      </c>
      <c r="BN24" s="105" t="str">
        <f t="shared" si="73"/>
        <v/>
      </c>
      <c r="BO24" s="105" t="str">
        <f t="shared" si="74"/>
        <v/>
      </c>
      <c r="BP24" s="105">
        <f t="shared" si="75"/>
        <v>155.581605</v>
      </c>
      <c r="BQ24" s="105" t="str">
        <f t="shared" si="76"/>
        <v/>
      </c>
      <c r="BR24" s="105" t="str">
        <f t="shared" si="77"/>
        <v/>
      </c>
      <c r="BS24" s="105" t="str">
        <f t="shared" si="78"/>
        <v/>
      </c>
      <c r="BT24" s="105" t="str">
        <f t="shared" si="79"/>
        <v/>
      </c>
      <c r="BU24" s="105" t="str">
        <f t="shared" si="80"/>
        <v/>
      </c>
      <c r="BV24" s="105" t="str">
        <f t="shared" si="81"/>
        <v/>
      </c>
      <c r="BW24" s="105">
        <f t="shared" si="82"/>
        <v>18.628403506689306</v>
      </c>
      <c r="BX24" s="107">
        <v>0</v>
      </c>
      <c r="BY24" s="107">
        <v>0.15</v>
      </c>
      <c r="BZ24" s="105">
        <f t="shared" si="83"/>
        <v>0</v>
      </c>
      <c r="CA24" s="105">
        <f t="shared" si="84"/>
        <v>21.422664032692701</v>
      </c>
      <c r="CB24" s="105" t="str">
        <f t="shared" si="85"/>
        <v/>
      </c>
      <c r="CC24" s="105" t="str">
        <f t="shared" si="86"/>
        <v/>
      </c>
      <c r="CD24" s="105" t="str">
        <f t="shared" si="87"/>
        <v/>
      </c>
      <c r="CE24" s="105">
        <f t="shared" si="88"/>
        <v>182.33999999999997</v>
      </c>
      <c r="CF24" s="105" t="str">
        <f t="shared" si="89"/>
        <v/>
      </c>
      <c r="CG24" s="105" t="str">
        <f t="shared" si="90"/>
        <v/>
      </c>
      <c r="CH24" s="105">
        <f t="shared" si="91"/>
        <v>54</v>
      </c>
      <c r="CI24" s="105" t="str">
        <f t="shared" si="92"/>
        <v/>
      </c>
      <c r="CJ24" s="104"/>
      <c r="CK24" s="105" t="str">
        <f t="shared" si="93"/>
        <v/>
      </c>
      <c r="CL24" s="105" t="str">
        <f t="shared" si="94"/>
        <v/>
      </c>
      <c r="CM24" s="108">
        <v>0.1</v>
      </c>
      <c r="CN24" s="105">
        <f t="shared" si="95"/>
        <v>0</v>
      </c>
      <c r="CO24" s="105" t="str">
        <f t="shared" si="96"/>
        <v/>
      </c>
      <c r="CP24" s="105" t="str">
        <f t="shared" si="97"/>
        <v/>
      </c>
      <c r="CQ24" s="105" t="str">
        <f t="shared" si="98"/>
        <v/>
      </c>
      <c r="CR24" s="105" t="str">
        <f t="shared" si="99"/>
        <v/>
      </c>
      <c r="CS24" s="105" t="str">
        <f t="shared" si="100"/>
        <v/>
      </c>
      <c r="CT24" s="105">
        <f t="shared" si="101"/>
        <v>136.9532014933107</v>
      </c>
      <c r="CU24" s="105" t="str">
        <f t="shared" si="102"/>
        <v/>
      </c>
      <c r="CV24" s="105" t="str">
        <f t="shared" si="103"/>
        <v/>
      </c>
      <c r="CW24" s="105" t="str">
        <f t="shared" si="104"/>
        <v/>
      </c>
      <c r="CX24" s="105" t="str">
        <f t="shared" si="105"/>
        <v/>
      </c>
      <c r="CY24" s="105" t="str">
        <f t="shared" si="106"/>
        <v/>
      </c>
      <c r="CZ24" s="105" t="str">
        <f t="shared" si="107"/>
        <v/>
      </c>
      <c r="DA24" s="105">
        <f t="shared" si="56"/>
        <v>15.749999999999998</v>
      </c>
      <c r="DB24" s="105">
        <f t="shared" si="108"/>
        <v>0</v>
      </c>
      <c r="DC24" s="105">
        <f t="shared" si="109"/>
        <v>45</v>
      </c>
      <c r="DD24" s="105">
        <f t="shared" si="110"/>
        <v>0</v>
      </c>
      <c r="DE24" s="105">
        <f t="shared" si="111"/>
        <v>0</v>
      </c>
      <c r="DF24" s="105">
        <f t="shared" si="112"/>
        <v>0</v>
      </c>
      <c r="DG24" s="105"/>
      <c r="DH24" s="105">
        <f t="shared" si="55"/>
        <v>0.3</v>
      </c>
    </row>
    <row r="25" spans="2:112" ht="16.5" customHeight="1" thickBot="1" x14ac:dyDescent="0.25">
      <c r="B25" s="197" t="s">
        <v>991</v>
      </c>
      <c r="C25" s="556">
        <v>66</v>
      </c>
      <c r="D25" s="115">
        <v>2.81</v>
      </c>
      <c r="E25" s="115">
        <v>3.24</v>
      </c>
      <c r="F25" s="116">
        <v>0.6</v>
      </c>
      <c r="G25" s="116">
        <v>0.83833625547146451</v>
      </c>
      <c r="H25" s="116">
        <v>0.83833625547146451</v>
      </c>
      <c r="I25" s="116">
        <v>0.50667341695893564</v>
      </c>
      <c r="J25" s="115">
        <v>128.12257261139283</v>
      </c>
      <c r="K25" s="116">
        <v>0.49018703939602465</v>
      </c>
      <c r="L25" s="116">
        <v>0</v>
      </c>
      <c r="M25" s="116">
        <v>12.333630589797405</v>
      </c>
      <c r="N25" s="116">
        <v>0.59480384569237432</v>
      </c>
      <c r="O25" s="116">
        <v>0.57699999999994134</v>
      </c>
      <c r="P25" s="117">
        <v>8.7424242424233543E-3</v>
      </c>
      <c r="Q25" s="116">
        <v>0.4251313520687745</v>
      </c>
      <c r="R25" s="116">
        <v>0.67099999999999227</v>
      </c>
      <c r="S25" s="118">
        <v>1.016666666666655E-2</v>
      </c>
      <c r="T25" s="338">
        <v>0.59730428090450327</v>
      </c>
      <c r="U25" s="330">
        <v>0</v>
      </c>
      <c r="V25" s="330">
        <v>0</v>
      </c>
      <c r="W25" s="330">
        <v>1</v>
      </c>
      <c r="X25" s="331"/>
      <c r="Y25" s="338">
        <v>0.8</v>
      </c>
      <c r="Z25" s="332">
        <v>1.84934917278411</v>
      </c>
      <c r="AA25" s="116">
        <v>9.5054479224901955E-2</v>
      </c>
      <c r="AB25" s="116">
        <v>0.20200000000000001</v>
      </c>
      <c r="AC25" s="117">
        <v>0.37</v>
      </c>
      <c r="AD25" s="116">
        <v>0.29599999999999999</v>
      </c>
      <c r="AE25" s="116">
        <v>0.16160000000000002</v>
      </c>
      <c r="AF25" s="116">
        <v>1.1527607248425271</v>
      </c>
      <c r="AG25" s="116">
        <v>0</v>
      </c>
      <c r="AH25" s="332">
        <v>1.1527607248425271</v>
      </c>
      <c r="AI25" s="639">
        <v>308.90499999999997</v>
      </c>
      <c r="AJ25" s="639">
        <v>308.23399999999998</v>
      </c>
      <c r="AK25" s="636"/>
      <c r="AL25" s="115">
        <v>2.2999999999999998</v>
      </c>
      <c r="AM25" s="115">
        <v>2.2059999999999604</v>
      </c>
      <c r="AN25" s="335">
        <v>306.60499999999996</v>
      </c>
      <c r="AO25" s="335">
        <v>306.02800000000002</v>
      </c>
      <c r="AP25" s="116">
        <v>306.90099999999995</v>
      </c>
      <c r="AQ25" s="116">
        <v>306.32400000000001</v>
      </c>
      <c r="AR25" s="115">
        <v>1.4159999999999968</v>
      </c>
      <c r="AS25" s="119">
        <v>1.3219999999999459</v>
      </c>
      <c r="AT25" s="101"/>
      <c r="AU25" s="613" t="str">
        <f t="shared" si="57"/>
        <v>TR-12</v>
      </c>
      <c r="AV25" s="102">
        <f t="shared" si="57"/>
        <v>66</v>
      </c>
      <c r="AW25" s="103">
        <f t="shared" si="58"/>
        <v>0</v>
      </c>
      <c r="AX25" s="103">
        <f t="shared" si="59"/>
        <v>1</v>
      </c>
      <c r="AY25" s="103">
        <f t="shared" si="60"/>
        <v>0</v>
      </c>
      <c r="AZ25" s="103">
        <f t="shared" si="61"/>
        <v>800</v>
      </c>
      <c r="BA25" s="104" t="str">
        <f t="shared" si="62"/>
        <v>PA-1</v>
      </c>
      <c r="BB25" s="105">
        <f t="shared" si="63"/>
        <v>2.2999999999999998</v>
      </c>
      <c r="BC25" s="105">
        <f t="shared" si="63"/>
        <v>2.2059999999999604</v>
      </c>
      <c r="BD25" s="105">
        <f t="shared" si="64"/>
        <v>0</v>
      </c>
      <c r="BE25" s="106">
        <v>4</v>
      </c>
      <c r="BF25" s="106" t="str">
        <f t="shared" si="65"/>
        <v>Com</v>
      </c>
      <c r="BG25" s="105">
        <f t="shared" si="66"/>
        <v>2.2529999999999801</v>
      </c>
      <c r="BH25" s="105">
        <f t="shared" si="67"/>
        <v>2.4209999999999803</v>
      </c>
      <c r="BI25" s="105">
        <f t="shared" si="68"/>
        <v>1.6</v>
      </c>
      <c r="BJ25" s="105">
        <f t="shared" si="69"/>
        <v>2.8104999999999905</v>
      </c>
      <c r="BK25" s="105" t="str">
        <f t="shared" si="70"/>
        <v/>
      </c>
      <c r="BL25" s="105" t="str">
        <f t="shared" si="71"/>
        <v/>
      </c>
      <c r="BM25" s="105" t="str">
        <f t="shared" si="72"/>
        <v/>
      </c>
      <c r="BN25" s="105" t="str">
        <f t="shared" si="73"/>
        <v/>
      </c>
      <c r="BO25" s="105" t="str">
        <f t="shared" si="74"/>
        <v/>
      </c>
      <c r="BP25" s="105">
        <f t="shared" si="75"/>
        <v>352.36807649999633</v>
      </c>
      <c r="BQ25" s="105" t="str">
        <f t="shared" si="76"/>
        <v/>
      </c>
      <c r="BR25" s="105" t="str">
        <f t="shared" si="77"/>
        <v/>
      </c>
      <c r="BS25" s="105" t="str">
        <f t="shared" si="78"/>
        <v/>
      </c>
      <c r="BT25" s="105" t="str">
        <f t="shared" si="79"/>
        <v/>
      </c>
      <c r="BU25" s="105" t="str">
        <f t="shared" si="80"/>
        <v/>
      </c>
      <c r="BV25" s="105" t="str">
        <f t="shared" si="81"/>
        <v/>
      </c>
      <c r="BW25" s="105">
        <f t="shared" si="82"/>
        <v>48.57183729151582</v>
      </c>
      <c r="BX25" s="107">
        <v>0</v>
      </c>
      <c r="BY25" s="107">
        <v>0.15</v>
      </c>
      <c r="BZ25" s="105">
        <f t="shared" si="83"/>
        <v>0</v>
      </c>
      <c r="CA25" s="105">
        <f t="shared" si="84"/>
        <v>55.857612885243185</v>
      </c>
      <c r="CB25" s="105" t="str">
        <f t="shared" si="85"/>
        <v/>
      </c>
      <c r="CC25" s="105" t="str">
        <f t="shared" si="86"/>
        <v/>
      </c>
      <c r="CD25" s="105" t="str">
        <f t="shared" si="87"/>
        <v/>
      </c>
      <c r="CE25" s="105">
        <f t="shared" si="88"/>
        <v>319.57199999999739</v>
      </c>
      <c r="CF25" s="105" t="str">
        <f t="shared" si="89"/>
        <v/>
      </c>
      <c r="CG25" s="105" t="str">
        <f t="shared" si="90"/>
        <v/>
      </c>
      <c r="CH25" s="105" t="str">
        <f t="shared" si="91"/>
        <v/>
      </c>
      <c r="CI25" s="105">
        <f t="shared" si="92"/>
        <v>105.60000000000001</v>
      </c>
      <c r="CJ25" s="104"/>
      <c r="CK25" s="105" t="str">
        <f t="shared" si="93"/>
        <v/>
      </c>
      <c r="CL25" s="105" t="str">
        <f t="shared" si="94"/>
        <v/>
      </c>
      <c r="CM25" s="108">
        <v>0.1</v>
      </c>
      <c r="CN25" s="105">
        <f t="shared" si="95"/>
        <v>0</v>
      </c>
      <c r="CO25" s="105" t="str">
        <f t="shared" si="96"/>
        <v/>
      </c>
      <c r="CP25" s="105" t="str">
        <f t="shared" si="97"/>
        <v/>
      </c>
      <c r="CQ25" s="105" t="str">
        <f t="shared" si="98"/>
        <v/>
      </c>
      <c r="CR25" s="105" t="str">
        <f t="shared" si="99"/>
        <v/>
      </c>
      <c r="CS25" s="105" t="str">
        <f t="shared" si="100"/>
        <v/>
      </c>
      <c r="CT25" s="105">
        <f t="shared" si="101"/>
        <v>303.79623920848053</v>
      </c>
      <c r="CU25" s="105" t="str">
        <f t="shared" si="102"/>
        <v/>
      </c>
      <c r="CV25" s="105" t="str">
        <f t="shared" si="103"/>
        <v/>
      </c>
      <c r="CW25" s="105" t="str">
        <f t="shared" si="104"/>
        <v/>
      </c>
      <c r="CX25" s="105" t="str">
        <f t="shared" si="105"/>
        <v/>
      </c>
      <c r="CY25" s="105" t="str">
        <f t="shared" si="106"/>
        <v/>
      </c>
      <c r="CZ25" s="105" t="str">
        <f t="shared" si="107"/>
        <v/>
      </c>
      <c r="DA25" s="105">
        <f t="shared" si="56"/>
        <v>34.980000000000004</v>
      </c>
      <c r="DB25" s="105">
        <f t="shared" si="108"/>
        <v>0</v>
      </c>
      <c r="DC25" s="105">
        <f t="shared" si="109"/>
        <v>0</v>
      </c>
      <c r="DD25" s="105">
        <f>IF($AZ25=800,$AV25*AX25,0)</f>
        <v>66</v>
      </c>
      <c r="DE25" s="105">
        <f t="shared" si="111"/>
        <v>0</v>
      </c>
      <c r="DF25" s="105">
        <f t="shared" si="112"/>
        <v>0</v>
      </c>
      <c r="DG25" s="105"/>
      <c r="DH25" s="105">
        <f>IF(AL25=0,0,(IF(AL25&lt;=1.9,0.3,AL25-1.5)))</f>
        <v>0.79999999999999982</v>
      </c>
    </row>
    <row r="26" spans="2:112" ht="16.5" customHeight="1" x14ac:dyDescent="0.2">
      <c r="B26" s="96" t="s">
        <v>992</v>
      </c>
      <c r="C26" s="554">
        <v>70</v>
      </c>
      <c r="D26" s="63">
        <v>1.78</v>
      </c>
      <c r="E26" s="63">
        <v>1.78</v>
      </c>
      <c r="F26" s="97">
        <v>0.6</v>
      </c>
      <c r="G26" s="97">
        <v>0.91714288163776614</v>
      </c>
      <c r="H26" s="97">
        <v>0.91714288163776614</v>
      </c>
      <c r="I26" s="97">
        <v>0.42387515927999575</v>
      </c>
      <c r="J26" s="63">
        <v>163.08564615793836</v>
      </c>
      <c r="K26" s="97">
        <v>0.31372960487817469</v>
      </c>
      <c r="L26" s="97">
        <v>0</v>
      </c>
      <c r="M26" s="97">
        <v>5.6732299691174815</v>
      </c>
      <c r="N26" s="97">
        <v>0.55449269028183756</v>
      </c>
      <c r="O26" s="97">
        <v>1.1309999999999718</v>
      </c>
      <c r="P26" s="98">
        <v>1.6157142857142454E-2</v>
      </c>
      <c r="Q26" s="97">
        <v>0.31372960487817469</v>
      </c>
      <c r="R26" s="97">
        <v>1.1309999999999718</v>
      </c>
      <c r="S26" s="99">
        <v>1.6157142857142454E-2</v>
      </c>
      <c r="T26" s="336">
        <v>0.45030407576903991</v>
      </c>
      <c r="U26" s="324">
        <v>0</v>
      </c>
      <c r="V26" s="324">
        <v>0</v>
      </c>
      <c r="W26" s="324">
        <v>1</v>
      </c>
      <c r="X26" s="325"/>
      <c r="Y26" s="336">
        <v>0.6</v>
      </c>
      <c r="Z26" s="326">
        <v>2.1040253318284021</v>
      </c>
      <c r="AA26" s="97">
        <v>9.6376219336778784E-2</v>
      </c>
      <c r="AB26" s="97">
        <v>0.20619999999999999</v>
      </c>
      <c r="AC26" s="98">
        <v>0.38</v>
      </c>
      <c r="AD26" s="97">
        <v>0.22799999999999998</v>
      </c>
      <c r="AE26" s="97">
        <v>0.12372</v>
      </c>
      <c r="AF26" s="97">
        <v>0.72767181016144078</v>
      </c>
      <c r="AG26" s="97">
        <v>0</v>
      </c>
      <c r="AH26" s="326">
        <v>0.72767181016144078</v>
      </c>
      <c r="AI26" s="637">
        <v>315.92399999999998</v>
      </c>
      <c r="AJ26" s="637">
        <v>314.79300000000001</v>
      </c>
      <c r="AK26" s="635"/>
      <c r="AL26" s="63">
        <v>1.5</v>
      </c>
      <c r="AM26" s="63">
        <v>1.5</v>
      </c>
      <c r="AN26" s="333">
        <v>314.42399999999998</v>
      </c>
      <c r="AO26" s="333">
        <v>313.29300000000001</v>
      </c>
      <c r="AP26" s="97">
        <v>314.65199999999999</v>
      </c>
      <c r="AQ26" s="97">
        <v>313.52100000000002</v>
      </c>
      <c r="AR26" s="63">
        <v>0.83699999999998909</v>
      </c>
      <c r="AS26" s="100">
        <v>0.83699999999998909</v>
      </c>
      <c r="AT26" s="101"/>
      <c r="AU26" s="613" t="str">
        <f t="shared" ref="AU26:AV28" si="113">B26</f>
        <v>TR-13</v>
      </c>
      <c r="AV26" s="102">
        <f t="shared" si="113"/>
        <v>70</v>
      </c>
      <c r="AW26" s="103">
        <f>U26</f>
        <v>0</v>
      </c>
      <c r="AX26" s="103">
        <f>W26</f>
        <v>1</v>
      </c>
      <c r="AY26" s="103">
        <f>V26</f>
        <v>0</v>
      </c>
      <c r="AZ26" s="103">
        <f>Y26*1000</f>
        <v>600</v>
      </c>
      <c r="BA26" s="104" t="str">
        <f>IF(AZ26=600,"PS-1","PA-1")</f>
        <v>PS-1</v>
      </c>
      <c r="BB26" s="105">
        <f t="shared" ref="BB26:BC28" si="114">AL26</f>
        <v>1.5</v>
      </c>
      <c r="BC26" s="105">
        <f t="shared" si="114"/>
        <v>1.5</v>
      </c>
      <c r="BD26" s="105">
        <f>IF(AZ26&gt;=1000,0.2,0)</f>
        <v>0</v>
      </c>
      <c r="BE26" s="106">
        <v>4</v>
      </c>
      <c r="BF26" s="106" t="str">
        <f>IF(BG26&gt;1.25,"Com","Sem")</f>
        <v>Com</v>
      </c>
      <c r="BG26" s="105">
        <f>AVERAGE(BB26:BC26)</f>
        <v>1.5</v>
      </c>
      <c r="BH26" s="105">
        <f>BG26+BD26+0.21*AZ26/1000</f>
        <v>1.6259999999999999</v>
      </c>
      <c r="BI26" s="105">
        <f>IF(AX26=1,2*AZ26/1000,IF(AX26=2,((1.21*2*(AZ26/1000))+0.4),IF(AX26=3,((3*1.21*(AZ26/1000))+0.6),0)))</f>
        <v>1.2</v>
      </c>
      <c r="BJ26" s="105">
        <f>IF(BE26=0,BI26,BI26+2*(1/BE26)*BH26)</f>
        <v>2.0129999999999999</v>
      </c>
      <c r="BK26" s="105" t="str">
        <f>IF(AND(BH26&lt;=1.5,BJ26&lt;=0.8),(BJ26+BI26)*BH26/2*AV26,"")</f>
        <v/>
      </c>
      <c r="BL26" s="105" t="str">
        <f>IF(AND(BH26&lt;=1.5,BJ26&gt;0.8,BJ26&lt;=1.5),(BJ26+BI26)*BH26/2*AV26,"")</f>
        <v/>
      </c>
      <c r="BM26" s="105" t="str">
        <f>IF(AND(BH26&lt;=1.5,BJ26&gt;1.5),(BJ26+BI26)*BH26/2*AV26,"")</f>
        <v/>
      </c>
      <c r="BN26" s="105" t="str">
        <f>IF(AND(BH26&gt;1.5,BH26&lt;=3,BJ26&lt;=0.8),(BJ26+BI26)*BH26/2*AV26,"")</f>
        <v/>
      </c>
      <c r="BO26" s="105" t="str">
        <f>IF(AND(BH26&gt;1.5,BH26&lt;=3,BJ26&gt;0.8,BJ26&lt;=1.5),(BJ26+BI26)*BH26/2*AV26,"")</f>
        <v/>
      </c>
      <c r="BP26" s="105">
        <f>IF(AND(BH26&gt;1.5,BH26&lt;=3,BJ26&gt;1.5),(BJ26+BI26)*BH26/2*AV26,"")</f>
        <v>182.85182999999998</v>
      </c>
      <c r="BQ26" s="105" t="str">
        <f>IF(AND(BH26&gt;3,BH26&lt;=4.5,BJ26&lt;=0.8),(BJ26+BI26)*BH26/2*AV26,"")</f>
        <v/>
      </c>
      <c r="BR26" s="105" t="str">
        <f>IF(AND(BH26&gt;3,BH26&lt;=4.5,BJ26&gt;0.8,BJ26&lt;=1.5),(BJ26+BI26)*BH26/2*AV26,"")</f>
        <v/>
      </c>
      <c r="BS26" s="105" t="str">
        <f>IF(AND(BH26&gt;3,BH26&lt;=4.5,BJ26&gt;1.5),(BJ26+BI26)*BH26/2*AV26,"")</f>
        <v/>
      </c>
      <c r="BT26" s="105" t="str">
        <f>IF(AND(BH26&gt;4.5,BJ26&lt;=0.8),(BJ26+BI26)*BH26/2*AV26,"")</f>
        <v/>
      </c>
      <c r="BU26" s="105" t="str">
        <f>IF(AND(BH26&gt;4.5,BJ26&gt;0.8,BJ26&lt;=1.5),(BJ26+BI26)*BH26/2*AV26,"")</f>
        <v/>
      </c>
      <c r="BV26" s="105" t="str">
        <f>IF(AND(BH26&gt;4.5,BJ26&gt;1.5),(BJ26+BI26)*BH26/2*AV26,"")</f>
        <v/>
      </c>
      <c r="BW26" s="105">
        <f>(PI()*(AZ26/1000*1.21)^2/4*AV26)*AX26</f>
        <v>28.977516565961142</v>
      </c>
      <c r="BX26" s="107">
        <v>0</v>
      </c>
      <c r="BY26" s="107">
        <v>0.15</v>
      </c>
      <c r="BZ26" s="105">
        <f>BX26*SUM(BK26:BV26)</f>
        <v>0</v>
      </c>
      <c r="CA26" s="105">
        <f>MAX(BZ26,BW26)*(1+BY26)</f>
        <v>33.32414405085531</v>
      </c>
      <c r="CB26" s="105" t="str">
        <f>IF(BF26="Sem","",IF(AND(BH26&lt;=1.5,BJ26&lt;=1.5),2*BH26*AV26,""))</f>
        <v/>
      </c>
      <c r="CC26" s="105" t="str">
        <f>IF(BF26="Sem","",IF(AND(BH26&lt;=1.5,BJ26&gt;1.5),2*BH26*AV26,""))</f>
        <v/>
      </c>
      <c r="CD26" s="105" t="str">
        <f>IF(BF26="Sem","",IF(AND(BH26&gt;1.5,BH26&lt;=3,BJ26&lt;=1.5),2*BH26*AV26,""))</f>
        <v/>
      </c>
      <c r="CE26" s="105">
        <f>IF(BF26="Sem","",IF(AND(BH26&gt;1.5,BH26&lt;=3,BJ26&gt;1.5),2*BH26*AV26,""))</f>
        <v>227.64</v>
      </c>
      <c r="CF26" s="105" t="str">
        <f>IF(BF26="Sem","",IF(AND(BH26&gt;3,BJ26&lt;=1.5),2*BH26*AV26,""))</f>
        <v/>
      </c>
      <c r="CG26" s="105" t="str">
        <f>IF(BF26="Sem","",IF(AND(BH26&gt;3,BJ26&gt;1.5),2*BH26*AV26,""))</f>
        <v/>
      </c>
      <c r="CH26" s="105">
        <f>IF(BD26&lt;&gt;0,"",IF(BI26&lt;1.5,BI26*AV26,""))</f>
        <v>84</v>
      </c>
      <c r="CI26" s="105" t="str">
        <f>IF(BD26&lt;&gt;0,"",IF(BI26&gt;=1.5,BI26*AV26,""))</f>
        <v/>
      </c>
      <c r="CJ26" s="104"/>
      <c r="CK26" s="105" t="str">
        <f>IF(BD26=0,"",IF(BI26&lt;1.5,BD26*BI26*AV26,""))</f>
        <v/>
      </c>
      <c r="CL26" s="105" t="str">
        <f>IF(BD26=0,"",IF(BI26&gt;=1.5,BD26*BI26*AV26,""))</f>
        <v/>
      </c>
      <c r="CM26" s="108">
        <v>0.1</v>
      </c>
      <c r="CN26" s="105">
        <f>SUM(CK26:CL26)*(1+CM26)</f>
        <v>0</v>
      </c>
      <c r="CO26" s="105" t="str">
        <f>IF(AND(BH26&lt;=1.5,BJ26&lt;=0.8),SUM(BK26:BV26)-BW26,"")</f>
        <v/>
      </c>
      <c r="CP26" s="105" t="str">
        <f>IF(AND(BH26&lt;=1.5,BJ26&gt;0.8,BJ26&lt;=1.5),SUM(BK26:BV26)-BW26,"")</f>
        <v/>
      </c>
      <c r="CQ26" s="105" t="str">
        <f>IF(AND(BH26&lt;=1.5,BJ26&gt;1.5),SUM(BK26:BV26)-BW26,"")</f>
        <v/>
      </c>
      <c r="CR26" s="105" t="str">
        <f>IF(AND(BH26&gt;1.5,BH26&lt;=3,BJ26&lt;=0.8),SUM(BK26:BV26)-BW26,"")</f>
        <v/>
      </c>
      <c r="CS26" s="105" t="str">
        <f>IF(AND(BH26&gt;1.5,BH26&lt;=3,BJ26&gt;0.8,BJ26&lt;=1.5),SUM(BK26:BV26)-BW26,"")</f>
        <v/>
      </c>
      <c r="CT26" s="105">
        <f>IF(AND(BH26&gt;1.5,BH26&lt;=3,BJ26&gt;1.5),SUM(BK26:BV26)-BW26,"")</f>
        <v>153.87431343403884</v>
      </c>
      <c r="CU26" s="105" t="str">
        <f>IF(AND(BH26&gt;3,BH26&lt;=4.5,BJ26&lt;=0.8),SUM(BK26:BV26)-BW26,"")</f>
        <v/>
      </c>
      <c r="CV26" s="105" t="str">
        <f>IF(AND(BH26&gt;3,BH26&lt;=4.5,BJ26&gt;0.8,BJ26&lt;=1.5),SUM(BK26:BV26)-BW26,"")</f>
        <v/>
      </c>
      <c r="CW26" s="105" t="str">
        <f>IF(AND(BH26&gt;3,BH26&lt;=4.5,BJ26&gt;1.5),SUM(BK26:BV26)-BW26,"")</f>
        <v/>
      </c>
      <c r="CX26" s="105" t="str">
        <f>IF(AND(BH26&gt;4.5,BJ26&lt;=0.8),SUM(BK26:BV26)-BW26,"")</f>
        <v/>
      </c>
      <c r="CY26" s="105" t="str">
        <f>IF(AND(BH26&gt;4.5,BJ26&gt;0.8,BJ26&lt;=1.5),SUM(BK26:BV26)-BW26,"")</f>
        <v/>
      </c>
      <c r="CZ26" s="105" t="str">
        <f>IF(AND(BH26&gt;4.5,BJ26&gt;1.5),SUM(BK26:BV26)-BW26,"")</f>
        <v/>
      </c>
      <c r="DA26" s="105">
        <f t="shared" si="56"/>
        <v>24.5</v>
      </c>
      <c r="DB26" s="105">
        <f>IF(AZ26=400,AV26*AX26,0)</f>
        <v>0</v>
      </c>
      <c r="DC26" s="105">
        <f>IF($AZ26=600,$AV26*AX26,0)</f>
        <v>70</v>
      </c>
      <c r="DD26" s="105">
        <f>IF($AZ26=800,$AV26*AX26,0)</f>
        <v>0</v>
      </c>
      <c r="DE26" s="105">
        <f>IF($AZ26=1000,$AV26*AX26,0)</f>
        <v>0</v>
      </c>
      <c r="DF26" s="105">
        <f>IF($AZ26=1200,$AV26*AX26,0)</f>
        <v>0</v>
      </c>
      <c r="DG26" s="105"/>
      <c r="DH26" s="105">
        <f>IF(AL26=0,0,(IF(AL26&lt;=1.9,0.3,AL26-1.5)))</f>
        <v>0.3</v>
      </c>
    </row>
    <row r="27" spans="2:112" ht="16.5" customHeight="1" x14ac:dyDescent="0.2">
      <c r="B27" s="110" t="s">
        <v>994</v>
      </c>
      <c r="C27" s="555">
        <v>71</v>
      </c>
      <c r="D27" s="111">
        <v>0.38</v>
      </c>
      <c r="E27" s="111">
        <v>2.16</v>
      </c>
      <c r="F27" s="109">
        <v>0.6</v>
      </c>
      <c r="G27" s="109">
        <v>0.8909061098141553</v>
      </c>
      <c r="H27" s="109">
        <v>0.8909061098141553</v>
      </c>
      <c r="I27" s="109">
        <v>0.43389716118780025</v>
      </c>
      <c r="J27" s="111">
        <v>159.35415491723083</v>
      </c>
      <c r="K27" s="109">
        <v>0.36989689405133641</v>
      </c>
      <c r="L27" s="109">
        <v>0</v>
      </c>
      <c r="M27" s="109">
        <v>6.2277226593993191</v>
      </c>
      <c r="N27" s="109">
        <v>0.45915769680744295</v>
      </c>
      <c r="O27" s="109">
        <v>1.7690000000000055</v>
      </c>
      <c r="P27" s="112">
        <v>2.4915492957746557E-2</v>
      </c>
      <c r="Q27" s="109">
        <v>6.5074453583105471E-2</v>
      </c>
      <c r="R27" s="109">
        <v>1.7690000000000055</v>
      </c>
      <c r="S27" s="113">
        <v>2.4915492957746557E-2</v>
      </c>
      <c r="T27" s="337">
        <v>0.44162957428241895</v>
      </c>
      <c r="U27" s="327">
        <v>0</v>
      </c>
      <c r="V27" s="327">
        <v>0</v>
      </c>
      <c r="W27" s="327">
        <v>1</v>
      </c>
      <c r="X27" s="328"/>
      <c r="Y27" s="337">
        <v>0.6</v>
      </c>
      <c r="Z27" s="329">
        <v>2.5771828318704806</v>
      </c>
      <c r="AA27" s="109">
        <v>9.1504532849902412E-2</v>
      </c>
      <c r="AB27" s="109">
        <v>0.20200000000000001</v>
      </c>
      <c r="AC27" s="112">
        <v>0.37</v>
      </c>
      <c r="AD27" s="109">
        <v>0.222</v>
      </c>
      <c r="AE27" s="109">
        <v>0.1212</v>
      </c>
      <c r="AF27" s="109">
        <v>0.90362452698751139</v>
      </c>
      <c r="AG27" s="109">
        <v>0</v>
      </c>
      <c r="AH27" s="329">
        <v>0.90362452698751139</v>
      </c>
      <c r="AI27" s="638">
        <v>314.79300000000001</v>
      </c>
      <c r="AJ27" s="638">
        <v>313.024</v>
      </c>
      <c r="AK27" s="137"/>
      <c r="AL27" s="111">
        <v>1.5</v>
      </c>
      <c r="AM27" s="111">
        <v>1.5</v>
      </c>
      <c r="AN27" s="334">
        <v>313.29300000000001</v>
      </c>
      <c r="AO27" s="334">
        <v>311.524</v>
      </c>
      <c r="AP27" s="109">
        <v>313.51499999999999</v>
      </c>
      <c r="AQ27" s="109">
        <v>311.74599999999998</v>
      </c>
      <c r="AR27" s="111">
        <v>0.83699999999998909</v>
      </c>
      <c r="AS27" s="114">
        <v>0.83699999999998909</v>
      </c>
      <c r="AT27" s="101"/>
      <c r="AU27" s="613" t="str">
        <f t="shared" si="113"/>
        <v>TR-14</v>
      </c>
      <c r="AV27" s="102">
        <f t="shared" si="113"/>
        <v>71</v>
      </c>
      <c r="AW27" s="103">
        <f>U27</f>
        <v>0</v>
      </c>
      <c r="AX27" s="103">
        <f>W27</f>
        <v>1</v>
      </c>
      <c r="AY27" s="103">
        <f>V27</f>
        <v>0</v>
      </c>
      <c r="AZ27" s="103">
        <f>Y27*1000</f>
        <v>600</v>
      </c>
      <c r="BA27" s="104" t="str">
        <f>IF(AZ27=600,"PS-1","PA-1")</f>
        <v>PS-1</v>
      </c>
      <c r="BB27" s="105">
        <f t="shared" si="114"/>
        <v>1.5</v>
      </c>
      <c r="BC27" s="105">
        <f t="shared" si="114"/>
        <v>1.5</v>
      </c>
      <c r="BD27" s="105">
        <f>IF(AZ27&gt;=1000,0.2,0)</f>
        <v>0</v>
      </c>
      <c r="BE27" s="106">
        <v>4</v>
      </c>
      <c r="BF27" s="106" t="str">
        <f>IF(BG27&gt;1.25,"Com","Sem")</f>
        <v>Com</v>
      </c>
      <c r="BG27" s="105">
        <f>AVERAGE(BB27:BC27)</f>
        <v>1.5</v>
      </c>
      <c r="BH27" s="105">
        <f>BG27+BD27+0.21*AZ27/1000</f>
        <v>1.6259999999999999</v>
      </c>
      <c r="BI27" s="105">
        <f>IF(AX27=1,2*AZ27/1000,IF(AX27=2,((1.21*2*(AZ27/1000))+0.4),IF(AX27=3,((3*1.21*(AZ27/1000))+0.6),0)))</f>
        <v>1.2</v>
      </c>
      <c r="BJ27" s="105">
        <f>IF(BE27=0,BI27,BI27+2*(1/BE27)*BH27)</f>
        <v>2.0129999999999999</v>
      </c>
      <c r="BK27" s="105" t="str">
        <f>IF(AND(BH27&lt;=1.5,BJ27&lt;=0.8),(BJ27+BI27)*BH27/2*AV27,"")</f>
        <v/>
      </c>
      <c r="BL27" s="105" t="str">
        <f>IF(AND(BH27&lt;=1.5,BJ27&gt;0.8,BJ27&lt;=1.5),(BJ27+BI27)*BH27/2*AV27,"")</f>
        <v/>
      </c>
      <c r="BM27" s="105" t="str">
        <f>IF(AND(BH27&lt;=1.5,BJ27&gt;1.5),(BJ27+BI27)*BH27/2*AV27,"")</f>
        <v/>
      </c>
      <c r="BN27" s="105" t="str">
        <f>IF(AND(BH27&gt;1.5,BH27&lt;=3,BJ27&lt;=0.8),(BJ27+BI27)*BH27/2*AV27,"")</f>
        <v/>
      </c>
      <c r="BO27" s="105" t="str">
        <f>IF(AND(BH27&gt;1.5,BH27&lt;=3,BJ27&gt;0.8,BJ27&lt;=1.5),(BJ27+BI27)*BH27/2*AV27,"")</f>
        <v/>
      </c>
      <c r="BP27" s="105">
        <f>IF(AND(BH27&gt;1.5,BH27&lt;=3,BJ27&gt;1.5),(BJ27+BI27)*BH27/2*AV27,"")</f>
        <v>185.46399899999997</v>
      </c>
      <c r="BQ27" s="105" t="str">
        <f>IF(AND(BH27&gt;3,BH27&lt;=4.5,BJ27&lt;=0.8),(BJ27+BI27)*BH27/2*AV27,"")</f>
        <v/>
      </c>
      <c r="BR27" s="105" t="str">
        <f>IF(AND(BH27&gt;3,BH27&lt;=4.5,BJ27&gt;0.8,BJ27&lt;=1.5),(BJ27+BI27)*BH27/2*AV27,"")</f>
        <v/>
      </c>
      <c r="BS27" s="105" t="str">
        <f>IF(AND(BH27&gt;3,BH27&lt;=4.5,BJ27&gt;1.5),(BJ27+BI27)*BH27/2*AV27,"")</f>
        <v/>
      </c>
      <c r="BT27" s="105" t="str">
        <f>IF(AND(BH27&gt;4.5,BJ27&lt;=0.8),(BJ27+BI27)*BH27/2*AV27,"")</f>
        <v/>
      </c>
      <c r="BU27" s="105" t="str">
        <f>IF(AND(BH27&gt;4.5,BJ27&gt;0.8,BJ27&lt;=1.5),(BJ27+BI27)*BH27/2*AV27,"")</f>
        <v/>
      </c>
      <c r="BV27" s="105" t="str">
        <f>IF(AND(BH27&gt;4.5,BJ27&gt;1.5),(BJ27+BI27)*BH27/2*AV27,"")</f>
        <v/>
      </c>
      <c r="BW27" s="105">
        <f>(PI()*(AZ27/1000*1.21)^2/4*AV27)*AX27</f>
        <v>29.391481088332014</v>
      </c>
      <c r="BX27" s="107">
        <v>0</v>
      </c>
      <c r="BY27" s="107">
        <v>0.15</v>
      </c>
      <c r="BZ27" s="105">
        <f>BX27*SUM(BK27:BV27)</f>
        <v>0</v>
      </c>
      <c r="CA27" s="105">
        <f>MAX(BZ27,BW27)*(1+BY27)</f>
        <v>33.800203251581813</v>
      </c>
      <c r="CB27" s="105" t="str">
        <f>IF(BF27="Sem","",IF(AND(BH27&lt;=1.5,BJ27&lt;=1.5),2*BH27*AV27,""))</f>
        <v/>
      </c>
      <c r="CC27" s="105" t="str">
        <f>IF(BF27="Sem","",IF(AND(BH27&lt;=1.5,BJ27&gt;1.5),2*BH27*AV27,""))</f>
        <v/>
      </c>
      <c r="CD27" s="105" t="str">
        <f>IF(BF27="Sem","",IF(AND(BH27&gt;1.5,BH27&lt;=3,BJ27&lt;=1.5),2*BH27*AV27,""))</f>
        <v/>
      </c>
      <c r="CE27" s="105">
        <f>IF(BF27="Sem","",IF(AND(BH27&gt;1.5,BH27&lt;=3,BJ27&gt;1.5),2*BH27*AV27,""))</f>
        <v>230.892</v>
      </c>
      <c r="CF27" s="105" t="str">
        <f>IF(BF27="Sem","",IF(AND(BH27&gt;3,BJ27&lt;=1.5),2*BH27*AV27,""))</f>
        <v/>
      </c>
      <c r="CG27" s="105" t="str">
        <f>IF(BF27="Sem","",IF(AND(BH27&gt;3,BJ27&gt;1.5),2*BH27*AV27,""))</f>
        <v/>
      </c>
      <c r="CH27" s="105">
        <f>IF(BD27&lt;&gt;0,"",IF(BI27&lt;1.5,BI27*AV27,""))</f>
        <v>85.2</v>
      </c>
      <c r="CI27" s="105" t="str">
        <f>IF(BD27&lt;&gt;0,"",IF(BI27&gt;=1.5,BI27*AV27,""))</f>
        <v/>
      </c>
      <c r="CJ27" s="104"/>
      <c r="CK27" s="105" t="str">
        <f>IF(BD27=0,"",IF(BI27&lt;1.5,BD27*BI27*AV27,""))</f>
        <v/>
      </c>
      <c r="CL27" s="105" t="str">
        <f>IF(BD27=0,"",IF(BI27&gt;=1.5,BD27*BI27*AV27,""))</f>
        <v/>
      </c>
      <c r="CM27" s="108">
        <v>0.1</v>
      </c>
      <c r="CN27" s="105">
        <f>SUM(CK27:CL27)*(1+CM27)</f>
        <v>0</v>
      </c>
      <c r="CO27" s="105" t="str">
        <f>IF(AND(BH27&lt;=1.5,BJ27&lt;=0.8),SUM(BK27:BV27)-BW27,"")</f>
        <v/>
      </c>
      <c r="CP27" s="105" t="str">
        <f>IF(AND(BH27&lt;=1.5,BJ27&gt;0.8,BJ27&lt;=1.5),SUM(BK27:BV27)-BW27,"")</f>
        <v/>
      </c>
      <c r="CQ27" s="105" t="str">
        <f>IF(AND(BH27&lt;=1.5,BJ27&gt;1.5),SUM(BK27:BV27)-BW27,"")</f>
        <v/>
      </c>
      <c r="CR27" s="105" t="str">
        <f>IF(AND(BH27&gt;1.5,BH27&lt;=3,BJ27&lt;=0.8),SUM(BK27:BV27)-BW27,"")</f>
        <v/>
      </c>
      <c r="CS27" s="105" t="str">
        <f>IF(AND(BH27&gt;1.5,BH27&lt;=3,BJ27&gt;0.8,BJ27&lt;=1.5),SUM(BK27:BV27)-BW27,"")</f>
        <v/>
      </c>
      <c r="CT27" s="105">
        <f>IF(AND(BH27&gt;1.5,BH27&lt;=3,BJ27&gt;1.5),SUM(BK27:BV27)-BW27,"")</f>
        <v>156.07251791166794</v>
      </c>
      <c r="CU27" s="105" t="str">
        <f>IF(AND(BH27&gt;3,BH27&lt;=4.5,BJ27&lt;=0.8),SUM(BK27:BV27)-BW27,"")</f>
        <v/>
      </c>
      <c r="CV27" s="105" t="str">
        <f>IF(AND(BH27&gt;3,BH27&lt;=4.5,BJ27&gt;0.8,BJ27&lt;=1.5),SUM(BK27:BV27)-BW27,"")</f>
        <v/>
      </c>
      <c r="CW27" s="105" t="str">
        <f>IF(AND(BH27&gt;3,BH27&lt;=4.5,BJ27&gt;1.5),SUM(BK27:BV27)-BW27,"")</f>
        <v/>
      </c>
      <c r="CX27" s="105" t="str">
        <f>IF(AND(BH27&gt;4.5,BJ27&lt;=0.8),SUM(BK27:BV27)-BW27,"")</f>
        <v/>
      </c>
      <c r="CY27" s="105" t="str">
        <f>IF(AND(BH27&gt;4.5,BJ27&gt;0.8,BJ27&lt;=1.5),SUM(BK27:BV27)-BW27,"")</f>
        <v/>
      </c>
      <c r="CZ27" s="105" t="str">
        <f>IF(AND(BH27&gt;4.5,BJ27&gt;1.5),SUM(BK27:BV27)-BW27,"")</f>
        <v/>
      </c>
      <c r="DA27" s="105">
        <f t="shared" si="56"/>
        <v>24.849999999999998</v>
      </c>
      <c r="DB27" s="105">
        <f>IF(AZ27=400,AV27*AX27,0)</f>
        <v>0</v>
      </c>
      <c r="DC27" s="105">
        <f>IF($AZ27=600,$AV27*AX27,0)</f>
        <v>71</v>
      </c>
      <c r="DD27" s="105">
        <f>IF($AZ27=800,$AV27*AX27,0)</f>
        <v>0</v>
      </c>
      <c r="DE27" s="105">
        <f>IF($AZ27=1000,$AV27*AX27,0)</f>
        <v>0</v>
      </c>
      <c r="DF27" s="105">
        <f>IF($AZ27=1200,$AV27*AX27,0)</f>
        <v>0</v>
      </c>
      <c r="DG27" s="105"/>
      <c r="DH27" s="105">
        <f t="shared" ref="DH27:DH29" si="115">IF(AL27=0,0,(IF(AL27&lt;=1.9,0.3,AL27-1.5)))</f>
        <v>0.3</v>
      </c>
    </row>
    <row r="28" spans="2:112" ht="16.5" customHeight="1" x14ac:dyDescent="0.2">
      <c r="B28" s="110" t="s">
        <v>995</v>
      </c>
      <c r="C28" s="555">
        <v>110</v>
      </c>
      <c r="D28" s="111">
        <v>1.19</v>
      </c>
      <c r="E28" s="111">
        <v>3.35</v>
      </c>
      <c r="F28" s="109">
        <v>0.6</v>
      </c>
      <c r="G28" s="109">
        <v>0.83414831902670794</v>
      </c>
      <c r="H28" s="109">
        <v>0.83414831902670794</v>
      </c>
      <c r="I28" s="109">
        <v>0.44155272719703936</v>
      </c>
      <c r="J28" s="111">
        <v>156.40707376136973</v>
      </c>
      <c r="K28" s="109">
        <v>0.53650261633756113</v>
      </c>
      <c r="L28" s="109">
        <v>0</v>
      </c>
      <c r="M28" s="109">
        <v>6.6868803562067622</v>
      </c>
      <c r="N28" s="109">
        <v>0.60725682677409676</v>
      </c>
      <c r="O28" s="109">
        <v>3.2420000000000186</v>
      </c>
      <c r="P28" s="112">
        <v>2.9472727272727442E-2</v>
      </c>
      <c r="Q28" s="109">
        <v>0.19057854132587995</v>
      </c>
      <c r="R28" s="109">
        <v>3.2420000000000186</v>
      </c>
      <c r="S28" s="113">
        <v>2.9472727272727442E-2</v>
      </c>
      <c r="T28" s="337">
        <v>0.49197048744783012</v>
      </c>
      <c r="U28" s="327">
        <v>0</v>
      </c>
      <c r="V28" s="327">
        <v>0</v>
      </c>
      <c r="W28" s="327">
        <v>1</v>
      </c>
      <c r="X28" s="328"/>
      <c r="Y28" s="337">
        <v>0.6</v>
      </c>
      <c r="Z28" s="329">
        <v>3.0190411247782394</v>
      </c>
      <c r="AA28" s="109">
        <v>0.12202767794008364</v>
      </c>
      <c r="AB28" s="109">
        <v>0.2258</v>
      </c>
      <c r="AC28" s="112">
        <v>0.43</v>
      </c>
      <c r="AD28" s="109">
        <v>0.25800000000000001</v>
      </c>
      <c r="AE28" s="109">
        <v>0.13547999999999999</v>
      </c>
      <c r="AF28" s="109">
        <v>0.98279611490554164</v>
      </c>
      <c r="AG28" s="109">
        <v>0</v>
      </c>
      <c r="AH28" s="329">
        <v>0.98279611490554164</v>
      </c>
      <c r="AI28" s="638">
        <v>313.024</v>
      </c>
      <c r="AJ28" s="638">
        <v>309.78199999999998</v>
      </c>
      <c r="AK28" s="137"/>
      <c r="AL28" s="111">
        <v>1.5</v>
      </c>
      <c r="AM28" s="111">
        <v>1.5</v>
      </c>
      <c r="AN28" s="334">
        <v>311.524</v>
      </c>
      <c r="AO28" s="334">
        <v>308.28199999999998</v>
      </c>
      <c r="AP28" s="109">
        <v>311.78199999999998</v>
      </c>
      <c r="AQ28" s="109">
        <v>308.53999999999996</v>
      </c>
      <c r="AR28" s="111">
        <v>0.83699999999998909</v>
      </c>
      <c r="AS28" s="114">
        <v>0.83699999999998909</v>
      </c>
      <c r="AT28" s="101"/>
      <c r="AU28" s="613" t="str">
        <f t="shared" si="113"/>
        <v>TR-15</v>
      </c>
      <c r="AV28" s="102">
        <f t="shared" si="113"/>
        <v>110</v>
      </c>
      <c r="AW28" s="103">
        <f>U28</f>
        <v>0</v>
      </c>
      <c r="AX28" s="103">
        <f>W28</f>
        <v>1</v>
      </c>
      <c r="AY28" s="103">
        <f>V28</f>
        <v>0</v>
      </c>
      <c r="AZ28" s="103">
        <f>Y28*1000</f>
        <v>600</v>
      </c>
      <c r="BA28" s="104" t="str">
        <f>IF(AZ28=600,"PS-1","PA-1")</f>
        <v>PS-1</v>
      </c>
      <c r="BB28" s="105">
        <f t="shared" si="114"/>
        <v>1.5</v>
      </c>
      <c r="BC28" s="105">
        <f t="shared" si="114"/>
        <v>1.5</v>
      </c>
      <c r="BD28" s="105">
        <f>IF(AZ28&gt;=1000,0.2,0)</f>
        <v>0</v>
      </c>
      <c r="BE28" s="106">
        <v>4</v>
      </c>
      <c r="BF28" s="106" t="str">
        <f>IF(BG28&gt;1.25,"Com","Sem")</f>
        <v>Com</v>
      </c>
      <c r="BG28" s="105">
        <f>AVERAGE(BB28:BC28)</f>
        <v>1.5</v>
      </c>
      <c r="BH28" s="105">
        <f>BG28+BD28+0.21*AZ28/1000</f>
        <v>1.6259999999999999</v>
      </c>
      <c r="BI28" s="105">
        <f>IF(AX28=1,2*AZ28/1000,IF(AX28=2,((1.21*2*(AZ28/1000))+0.4),IF(AX28=3,((3*1.21*(AZ28/1000))+0.6),0)))</f>
        <v>1.2</v>
      </c>
      <c r="BJ28" s="105">
        <f>IF(BE28=0,BI28,BI28+2*(1/BE28)*BH28)</f>
        <v>2.0129999999999999</v>
      </c>
      <c r="BK28" s="105" t="str">
        <f>IF(AND(BH28&lt;=1.5,BJ28&lt;=0.8),(BJ28+BI28)*BH28/2*AV28,"")</f>
        <v/>
      </c>
      <c r="BL28" s="105" t="str">
        <f>IF(AND(BH28&lt;=1.5,BJ28&gt;0.8,BJ28&lt;=1.5),(BJ28+BI28)*BH28/2*AV28,"")</f>
        <v/>
      </c>
      <c r="BM28" s="105" t="str">
        <f>IF(AND(BH28&lt;=1.5,BJ28&gt;1.5),(BJ28+BI28)*BH28/2*AV28,"")</f>
        <v/>
      </c>
      <c r="BN28" s="105" t="str">
        <f>IF(AND(BH28&gt;1.5,BH28&lt;=3,BJ28&lt;=0.8),(BJ28+BI28)*BH28/2*AV28,"")</f>
        <v/>
      </c>
      <c r="BO28" s="105" t="str">
        <f>IF(AND(BH28&gt;1.5,BH28&lt;=3,BJ28&gt;0.8,BJ28&lt;=1.5),(BJ28+BI28)*BH28/2*AV28,"")</f>
        <v/>
      </c>
      <c r="BP28" s="105">
        <f>IF(AND(BH28&gt;1.5,BH28&lt;=3,BJ28&gt;1.5),(BJ28+BI28)*BH28/2*AV28,"")</f>
        <v>287.33858999999995</v>
      </c>
      <c r="BQ28" s="105" t="str">
        <f>IF(AND(BH28&gt;3,BH28&lt;=4.5,BJ28&lt;=0.8),(BJ28+BI28)*BH28/2*AV28,"")</f>
        <v/>
      </c>
      <c r="BR28" s="105" t="str">
        <f>IF(AND(BH28&gt;3,BH28&lt;=4.5,BJ28&gt;0.8,BJ28&lt;=1.5),(BJ28+BI28)*BH28/2*AV28,"")</f>
        <v/>
      </c>
      <c r="BS28" s="105" t="str">
        <f>IF(AND(BH28&gt;3,BH28&lt;=4.5,BJ28&gt;1.5),(BJ28+BI28)*BH28/2*AV28,"")</f>
        <v/>
      </c>
      <c r="BT28" s="105" t="str">
        <f>IF(AND(BH28&gt;4.5,BJ28&lt;=0.8),(BJ28+BI28)*BH28/2*AV28,"")</f>
        <v/>
      </c>
      <c r="BU28" s="105" t="str">
        <f>IF(AND(BH28&gt;4.5,BJ28&gt;0.8,BJ28&lt;=1.5),(BJ28+BI28)*BH28/2*AV28,"")</f>
        <v/>
      </c>
      <c r="BV28" s="105" t="str">
        <f>IF(AND(BH28&gt;4.5,BJ28&gt;1.5),(BJ28+BI28)*BH28/2*AV28,"")</f>
        <v/>
      </c>
      <c r="BW28" s="105">
        <f>(PI()*(AZ28/1000*1.21)^2/4*AV28)*AX28</f>
        <v>45.536097460796078</v>
      </c>
      <c r="BX28" s="107">
        <v>0</v>
      </c>
      <c r="BY28" s="107">
        <v>0.15</v>
      </c>
      <c r="BZ28" s="105">
        <f>BX28*SUM(BK28:BV28)</f>
        <v>0</v>
      </c>
      <c r="CA28" s="105">
        <f>MAX(BZ28,BW28)*(1+BY28)</f>
        <v>52.366512079915488</v>
      </c>
      <c r="CB28" s="105" t="str">
        <f>IF(BF28="Sem","",IF(AND(BH28&lt;=1.5,BJ28&lt;=1.5),2*BH28*AV28,""))</f>
        <v/>
      </c>
      <c r="CC28" s="105" t="str">
        <f>IF(BF28="Sem","",IF(AND(BH28&lt;=1.5,BJ28&gt;1.5),2*BH28*AV28,""))</f>
        <v/>
      </c>
      <c r="CD28" s="105" t="str">
        <f>IF(BF28="Sem","",IF(AND(BH28&gt;1.5,BH28&lt;=3,BJ28&lt;=1.5),2*BH28*AV28,""))</f>
        <v/>
      </c>
      <c r="CE28" s="105">
        <f>IF(BF28="Sem","",IF(AND(BH28&gt;1.5,BH28&lt;=3,BJ28&gt;1.5),2*BH28*AV28,""))</f>
        <v>357.71999999999997</v>
      </c>
      <c r="CF28" s="105" t="str">
        <f>IF(BF28="Sem","",IF(AND(BH28&gt;3,BJ28&lt;=1.5),2*BH28*AV28,""))</f>
        <v/>
      </c>
      <c r="CG28" s="105" t="str">
        <f>IF(BF28="Sem","",IF(AND(BH28&gt;3,BJ28&gt;1.5),2*BH28*AV28,""))</f>
        <v/>
      </c>
      <c r="CH28" s="105">
        <f>IF(BD28&lt;&gt;0,"",IF(BI28&lt;1.5,BI28*AV28,""))</f>
        <v>132</v>
      </c>
      <c r="CI28" s="105" t="str">
        <f>IF(BD28&lt;&gt;0,"",IF(BI28&gt;=1.5,BI28*AV28,""))</f>
        <v/>
      </c>
      <c r="CJ28" s="104"/>
      <c r="CK28" s="105" t="str">
        <f>IF(BD28=0,"",IF(BI28&lt;1.5,BD28*BI28*AV28,""))</f>
        <v/>
      </c>
      <c r="CL28" s="105" t="str">
        <f>IF(BD28=0,"",IF(BI28&gt;=1.5,BD28*BI28*AV28,""))</f>
        <v/>
      </c>
      <c r="CM28" s="108">
        <v>0.1</v>
      </c>
      <c r="CN28" s="105">
        <f>SUM(CK28:CL28)*(1+CM28)</f>
        <v>0</v>
      </c>
      <c r="CO28" s="105" t="str">
        <f>IF(AND(BH28&lt;=1.5,BJ28&lt;=0.8),SUM(BK28:BV28)-BW28,"")</f>
        <v/>
      </c>
      <c r="CP28" s="105" t="str">
        <f>IF(AND(BH28&lt;=1.5,BJ28&gt;0.8,BJ28&lt;=1.5),SUM(BK28:BV28)-BW28,"")</f>
        <v/>
      </c>
      <c r="CQ28" s="105" t="str">
        <f>IF(AND(BH28&lt;=1.5,BJ28&gt;1.5),SUM(BK28:BV28)-BW28,"")</f>
        <v/>
      </c>
      <c r="CR28" s="105" t="str">
        <f>IF(AND(BH28&gt;1.5,BH28&lt;=3,BJ28&lt;=0.8),SUM(BK28:BV28)-BW28,"")</f>
        <v/>
      </c>
      <c r="CS28" s="105" t="str">
        <f>IF(AND(BH28&gt;1.5,BH28&lt;=3,BJ28&gt;0.8,BJ28&lt;=1.5),SUM(BK28:BV28)-BW28,"")</f>
        <v/>
      </c>
      <c r="CT28" s="105">
        <f>IF(AND(BH28&gt;1.5,BH28&lt;=3,BJ28&gt;1.5),SUM(BK28:BV28)-BW28,"")</f>
        <v>241.80249253920388</v>
      </c>
      <c r="CU28" s="105" t="str">
        <f>IF(AND(BH28&gt;3,BH28&lt;=4.5,BJ28&lt;=0.8),SUM(BK28:BV28)-BW28,"")</f>
        <v/>
      </c>
      <c r="CV28" s="105" t="str">
        <f>IF(AND(BH28&gt;3,BH28&lt;=4.5,BJ28&gt;0.8,BJ28&lt;=1.5),SUM(BK28:BV28)-BW28,"")</f>
        <v/>
      </c>
      <c r="CW28" s="105" t="str">
        <f>IF(AND(BH28&gt;3,BH28&lt;=4.5,BJ28&gt;1.5),SUM(BK28:BV28)-BW28,"")</f>
        <v/>
      </c>
      <c r="CX28" s="105" t="str">
        <f>IF(AND(BH28&gt;4.5,BJ28&lt;=0.8),SUM(BK28:BV28)-BW28,"")</f>
        <v/>
      </c>
      <c r="CY28" s="105" t="str">
        <f>IF(AND(BH28&gt;4.5,BJ28&gt;0.8,BJ28&lt;=1.5),SUM(BK28:BV28)-BW28,"")</f>
        <v/>
      </c>
      <c r="CZ28" s="105" t="str">
        <f>IF(AND(BH28&gt;4.5,BJ28&gt;1.5),SUM(BK28:BV28)-BW28,"")</f>
        <v/>
      </c>
      <c r="DA28" s="105">
        <f t="shared" si="56"/>
        <v>38.5</v>
      </c>
      <c r="DB28" s="105">
        <f>IF(AZ28=400,AV28*AX28,0)</f>
        <v>0</v>
      </c>
      <c r="DC28" s="105">
        <f>IF($AZ28=600,$AV28*AX28,0)</f>
        <v>110</v>
      </c>
      <c r="DD28" s="105">
        <f>IF($AZ28=800,$AV28*AX28,0)</f>
        <v>0</v>
      </c>
      <c r="DE28" s="105">
        <f>IF($AZ28=1000,$AV28*AX28,0)</f>
        <v>0</v>
      </c>
      <c r="DF28" s="105">
        <f>IF($AZ28=1200,$AV28*AX28,0)</f>
        <v>0</v>
      </c>
      <c r="DG28" s="105"/>
      <c r="DH28" s="105">
        <f t="shared" si="115"/>
        <v>0.3</v>
      </c>
    </row>
    <row r="29" spans="2:112" s="45" customFormat="1" ht="30" customHeight="1" x14ac:dyDescent="0.2">
      <c r="AU29" s="613" t="s">
        <v>194</v>
      </c>
      <c r="AV29" s="105">
        <v>767</v>
      </c>
      <c r="AW29" s="103">
        <f t="shared" ref="AW29" si="116">U29</f>
        <v>0</v>
      </c>
      <c r="AX29" s="103">
        <v>1</v>
      </c>
      <c r="AY29" s="103">
        <f t="shared" ref="AY29" si="117">V29</f>
        <v>0</v>
      </c>
      <c r="AZ29" s="103">
        <v>400</v>
      </c>
      <c r="BA29" s="104" t="s">
        <v>118</v>
      </c>
      <c r="BB29" s="105">
        <v>1</v>
      </c>
      <c r="BC29" s="105">
        <v>1.5</v>
      </c>
      <c r="BD29" s="105">
        <f t="shared" ref="BD29" si="118">IF(AZ29&gt;=1000,0.2,0)</f>
        <v>0</v>
      </c>
      <c r="BE29" s="106">
        <v>4</v>
      </c>
      <c r="BF29" s="106" t="str">
        <f t="shared" ref="BF29" si="119">IF(BG29&gt;1.25,"Com","Sem")</f>
        <v>Sem</v>
      </c>
      <c r="BG29" s="105">
        <f t="shared" ref="BG29" si="120">AVERAGE(BB29:BC29)</f>
        <v>1.25</v>
      </c>
      <c r="BH29" s="105">
        <f t="shared" ref="BH29" si="121">BG29+BD29+0.21*AZ29/1000</f>
        <v>1.3340000000000001</v>
      </c>
      <c r="BI29" s="105">
        <f t="shared" ref="BI29" si="122">IF(AX29=1,2*AZ29/1000,IF(AX29=2,((1.21*2*(AZ29/1000))+0.4),IF(AX29=3,((3*1.21*(AZ29/1000))+0.6),0)))</f>
        <v>0.8</v>
      </c>
      <c r="BJ29" s="105">
        <f t="shared" ref="BJ29" si="123">IF(BE29=0,BI29,BI29+2*(1/BE29)*BH29)</f>
        <v>1.4670000000000001</v>
      </c>
      <c r="BK29" s="105" t="str">
        <f t="shared" ref="BK29" si="124">IF(AND(BH29&lt;=1.5,BJ29&lt;=0.8),(BJ29+BI29)*BH29/2*AV29,"")</f>
        <v/>
      </c>
      <c r="BL29" s="105">
        <f t="shared" ref="BL29" si="125">IF(AND(BH29&lt;=1.5,BJ29&gt;0.8,BJ29&lt;=1.5),(BJ29+BI29)*BH29/2*AV29,"")</f>
        <v>1159.7722630000003</v>
      </c>
      <c r="BM29" s="105" t="str">
        <f t="shared" ref="BM29" si="126">IF(AND(BH29&lt;=1.5,BJ29&gt;1.5),(BJ29+BI29)*BH29/2*AV29,"")</f>
        <v/>
      </c>
      <c r="BN29" s="105" t="str">
        <f t="shared" ref="BN29" si="127">IF(AND(BH29&gt;1.5,BH29&lt;=3,BJ29&lt;=0.8),(BJ29+BI29)*BH29/2*AV29,"")</f>
        <v/>
      </c>
      <c r="BO29" s="105" t="str">
        <f t="shared" ref="BO29" si="128">IF(AND(BH29&gt;1.5,BH29&lt;=3,BJ29&gt;0.8,BJ29&lt;=1.5),(BJ29+BI29)*BH29/2*AV29,"")</f>
        <v/>
      </c>
      <c r="BP29" s="105" t="str">
        <f t="shared" ref="BP29" si="129">IF(AND(BH29&gt;1.5,BH29&lt;=3,BJ29&gt;1.5),(BJ29+BI29)*BH29/2*AV29,"")</f>
        <v/>
      </c>
      <c r="BQ29" s="105" t="str">
        <f t="shared" ref="BQ29" si="130">IF(AND(BH29&gt;3,BH29&lt;=4.5,BJ29&lt;=0.8),(BJ29+BI29)*BH29/2*AV29,"")</f>
        <v/>
      </c>
      <c r="BR29" s="105" t="str">
        <f t="shared" ref="BR29" si="131">IF(AND(BH29&gt;3,BH29&lt;=4.5,BJ29&gt;0.8,BJ29&lt;=1.5),(BJ29+BI29)*BH29/2*AV29,"")</f>
        <v/>
      </c>
      <c r="BS29" s="105" t="str">
        <f t="shared" ref="BS29" si="132">IF(AND(BH29&gt;3,BH29&lt;=4.5,BJ29&gt;1.5),(BJ29+BI29)*BH29/2*AV29,"")</f>
        <v/>
      </c>
      <c r="BT29" s="105" t="str">
        <f t="shared" ref="BT29" si="133">IF(AND(BH29&gt;4.5,BJ29&lt;=0.8),(BJ29+BI29)*BH29/2*AV29,"")</f>
        <v/>
      </c>
      <c r="BU29" s="105" t="str">
        <f t="shared" ref="BU29" si="134">IF(AND(BH29&gt;4.5,BJ29&gt;0.8,BJ29&lt;=1.5),(BJ29+BI29)*BH29/2*AV29,"")</f>
        <v/>
      </c>
      <c r="BV29" s="105" t="str">
        <f t="shared" ref="BV29" si="135">IF(AND(BH29&gt;4.5,BJ29&gt;1.5),(BJ29+BI29)*BH29/2*AV29,"")</f>
        <v/>
      </c>
      <c r="BW29" s="105">
        <f>(PI()*(AZ29/1000*1.21)^2/4*AV29)*AX29</f>
        <v>141.11590607042663</v>
      </c>
      <c r="BX29" s="107">
        <v>0</v>
      </c>
      <c r="BY29" s="107">
        <v>0.15</v>
      </c>
      <c r="BZ29" s="105">
        <f t="shared" ref="BZ29" si="136">BX29*SUM(BK29:BV29)</f>
        <v>0</v>
      </c>
      <c r="CA29" s="105">
        <f t="shared" ref="CA29" si="137">MAX(BZ29,BW29)*(1+BY29)</f>
        <v>162.28329198099061</v>
      </c>
      <c r="CB29" s="105" t="str">
        <f t="shared" ref="CB29" si="138">IF(BF29="Sem","",IF(AND(BH29&lt;=1.5,BJ29&lt;=1.5),2*BH29*AV29,""))</f>
        <v/>
      </c>
      <c r="CC29" s="105" t="str">
        <f t="shared" ref="CC29" si="139">IF(BF29="Sem","",IF(AND(BH29&lt;=1.5,BJ29&gt;1.5),2*BH29*AV29,""))</f>
        <v/>
      </c>
      <c r="CD29" s="105" t="str">
        <f t="shared" ref="CD29" si="140">IF(BF29="Sem","",IF(AND(BH29&gt;1.5,BH29&lt;=3,BJ29&lt;=1.5),2*BH29*AV29,""))</f>
        <v/>
      </c>
      <c r="CE29" s="105" t="str">
        <f t="shared" ref="CE29" si="141">IF(BF29="Sem","",IF(AND(BH29&gt;1.5,BH29&lt;=3,BJ29&gt;1.5),2*BH29*AV29,""))</f>
        <v/>
      </c>
      <c r="CF29" s="105" t="str">
        <f t="shared" ref="CF29" si="142">IF(BF29="Sem","",IF(AND(BH29&gt;3,BJ29&lt;=1.5),2*BH29*AV29,""))</f>
        <v/>
      </c>
      <c r="CG29" s="105" t="str">
        <f t="shared" ref="CG29" si="143">IF(BF29="Sem","",IF(AND(BH29&gt;3,BJ29&gt;1.5),2*BH29*AV29,""))</f>
        <v/>
      </c>
      <c r="CH29" s="105">
        <f t="shared" ref="CH29" si="144">IF(BD29&lt;&gt;0,"",IF(BI29&lt;1.5,BI29*AV29,""))</f>
        <v>613.6</v>
      </c>
      <c r="CI29" s="105" t="str">
        <f t="shared" ref="CI29" si="145">IF(BD29&lt;&gt;0,"",IF(BI29&gt;=1.5,BI29*AV29,""))</f>
        <v/>
      </c>
      <c r="CJ29" s="104"/>
      <c r="CK29" s="105" t="str">
        <f t="shared" ref="CK29" si="146">IF(BD29=0,"",IF(BI29&lt;1.5,BD29*BI29*AV29,""))</f>
        <v/>
      </c>
      <c r="CL29" s="105" t="str">
        <f t="shared" ref="CL29" si="147">IF(BD29=0,"",IF(BI29&gt;=1.5,BD29*BI29*AV29,""))</f>
        <v/>
      </c>
      <c r="CM29" s="108">
        <v>0.1</v>
      </c>
      <c r="CN29" s="105">
        <f t="shared" ref="CN29" si="148">SUM(CK29:CL29)*(1+CM29)</f>
        <v>0</v>
      </c>
      <c r="CO29" s="105" t="str">
        <f t="shared" ref="CO29" si="149">IF(AND(BH29&lt;=1.5,BJ29&lt;=0.8),SUM(BK29:BV29)-BW29,"")</f>
        <v/>
      </c>
      <c r="CP29" s="105">
        <f t="shared" ref="CP29" si="150">IF(AND(BH29&lt;=1.5,BJ29&gt;0.8,BJ29&lt;=1.5),SUM(BK29:BV29)-BW29,"")</f>
        <v>1018.6563569295737</v>
      </c>
      <c r="CQ29" s="105" t="str">
        <f t="shared" ref="CQ29" si="151">IF(AND(BH29&lt;=1.5,BJ29&gt;1.5),SUM(BK29:BV29)-BW29,"")</f>
        <v/>
      </c>
      <c r="CR29" s="105" t="str">
        <f t="shared" ref="CR29" si="152">IF(AND(BH29&gt;1.5,BH29&lt;=3,BJ29&lt;=0.8),SUM(BK29:BV29)-BW29,"")</f>
        <v/>
      </c>
      <c r="CS29" s="105" t="str">
        <f t="shared" ref="CS29" si="153">IF(AND(BH29&gt;1.5,BH29&lt;=3,BJ29&gt;0.8,BJ29&lt;=1.5),SUM(BK29:BV29)-BW29,"")</f>
        <v/>
      </c>
      <c r="CT29" s="105" t="str">
        <f t="shared" ref="CT29" si="154">IF(AND(BH29&gt;1.5,BH29&lt;=3,BJ29&gt;1.5),SUM(BK29:BV29)-BW29,"")</f>
        <v/>
      </c>
      <c r="CU29" s="105" t="str">
        <f t="shared" ref="CU29" si="155">IF(AND(BH29&gt;3,BH29&lt;=4.5,BJ29&lt;=0.8),SUM(BK29:BV29)-BW29,"")</f>
        <v/>
      </c>
      <c r="CV29" s="105" t="str">
        <f t="shared" ref="CV29" si="156">IF(AND(BH29&gt;3,BH29&lt;=4.5,BJ29&gt;0.8,BJ29&lt;=1.5),SUM(BK29:BV29)-BW29,"")</f>
        <v/>
      </c>
      <c r="CW29" s="105" t="str">
        <f t="shared" ref="CW29" si="157">IF(AND(BH29&gt;3,BH29&lt;=4.5,BJ29&gt;1.5),SUM(BK29:BV29)-BW29,"")</f>
        <v/>
      </c>
      <c r="CX29" s="105" t="str">
        <f t="shared" ref="CX29" si="158">IF(AND(BH29&gt;4.5,BJ29&lt;=0.8),SUM(BK29:BV29)-BW29,"")</f>
        <v/>
      </c>
      <c r="CY29" s="105" t="str">
        <f t="shared" ref="CY29" si="159">IF(AND(BH29&gt;4.5,BJ29&gt;0.8,BJ29&lt;=1.5),SUM(BK29:BV29)-BW29,"")</f>
        <v/>
      </c>
      <c r="CZ29" s="105" t="str">
        <f t="shared" ref="CZ29" si="160">IF(AND(BH29&gt;4.5,BJ29&gt;1.5),SUM(BK29:BV29)-BW29,"")</f>
        <v/>
      </c>
      <c r="DA29" s="105">
        <f t="shared" si="56"/>
        <v>138.06</v>
      </c>
      <c r="DB29" s="105">
        <f t="shared" ref="DB29" si="161">IF(AZ29=400,AV29*AX29,0)</f>
        <v>767</v>
      </c>
      <c r="DC29" s="105">
        <f>IF($AZ29=600,$AV29*AX29,0)</f>
        <v>0</v>
      </c>
      <c r="DD29" s="105">
        <f>IF($AZ29=800,$AV29*AX29,0)</f>
        <v>0</v>
      </c>
      <c r="DE29" s="105">
        <f>IF($AZ29=1000,$AV29*AX29,0)</f>
        <v>0</v>
      </c>
      <c r="DF29" s="105">
        <f>IF($AZ29=1200,$AV29*AX29,0)</f>
        <v>0</v>
      </c>
      <c r="DG29" s="105">
        <f>IF($AZ29=1500,$AV29*AX29,0)</f>
        <v>0</v>
      </c>
      <c r="DH29" s="105">
        <f t="shared" si="115"/>
        <v>0</v>
      </c>
    </row>
    <row r="30" spans="2:112" s="45" customFormat="1" ht="21.75" customHeight="1" x14ac:dyDescent="0.2">
      <c r="AU30" s="613" t="s">
        <v>30</v>
      </c>
      <c r="AV30" s="614">
        <f>SUM(DB30:DG30)</f>
        <v>2110</v>
      </c>
      <c r="AW30" s="615" t="s">
        <v>36</v>
      </c>
      <c r="AX30" s="615" t="s">
        <v>36</v>
      </c>
      <c r="AY30" s="615" t="s">
        <v>36</v>
      </c>
      <c r="AZ30" s="615" t="s">
        <v>36</v>
      </c>
      <c r="BA30" s="615" t="s">
        <v>36</v>
      </c>
      <c r="BB30" s="615" t="s">
        <v>36</v>
      </c>
      <c r="BC30" s="615" t="s">
        <v>36</v>
      </c>
      <c r="BD30" s="615" t="s">
        <v>36</v>
      </c>
      <c r="BE30" s="615" t="s">
        <v>36</v>
      </c>
      <c r="BF30" s="615" t="s">
        <v>36</v>
      </c>
      <c r="BG30" s="615" t="s">
        <v>36</v>
      </c>
      <c r="BH30" s="615" t="s">
        <v>36</v>
      </c>
      <c r="BI30" s="615" t="s">
        <v>36</v>
      </c>
      <c r="BJ30" s="615" t="s">
        <v>36</v>
      </c>
      <c r="BK30" s="614">
        <f>SUM(BK14:BK29)</f>
        <v>0</v>
      </c>
      <c r="BL30" s="614">
        <f t="shared" ref="BL30:BW30" si="162">TRUNC(SUM(BL14:BL29),2)</f>
        <v>1159.77</v>
      </c>
      <c r="BM30" s="614">
        <f t="shared" si="162"/>
        <v>0</v>
      </c>
      <c r="BN30" s="614">
        <f t="shared" si="162"/>
        <v>0</v>
      </c>
      <c r="BO30" s="614">
        <f t="shared" si="162"/>
        <v>0</v>
      </c>
      <c r="BP30" s="614">
        <f t="shared" si="162"/>
        <v>3637.07</v>
      </c>
      <c r="BQ30" s="614">
        <f t="shared" si="162"/>
        <v>0</v>
      </c>
      <c r="BR30" s="614">
        <f t="shared" si="162"/>
        <v>0</v>
      </c>
      <c r="BS30" s="614">
        <f t="shared" si="162"/>
        <v>1269.5899999999999</v>
      </c>
      <c r="BT30" s="614">
        <f t="shared" si="162"/>
        <v>0</v>
      </c>
      <c r="BU30" s="614">
        <f t="shared" si="162"/>
        <v>0</v>
      </c>
      <c r="BV30" s="614">
        <f t="shared" si="162"/>
        <v>3577.91</v>
      </c>
      <c r="BW30" s="614">
        <f t="shared" si="162"/>
        <v>1124.05</v>
      </c>
      <c r="BX30" s="614" t="s">
        <v>36</v>
      </c>
      <c r="BY30" s="614" t="s">
        <v>36</v>
      </c>
      <c r="BZ30" s="614" t="s">
        <v>36</v>
      </c>
      <c r="CA30" s="614">
        <f t="shared" ref="CA30:CI30" si="163">TRUNC(SUM(CA14:CA29),2)</f>
        <v>1292.6500000000001</v>
      </c>
      <c r="CB30" s="614">
        <f t="shared" si="163"/>
        <v>0</v>
      </c>
      <c r="CC30" s="614">
        <f t="shared" si="163"/>
        <v>0</v>
      </c>
      <c r="CD30" s="614">
        <f t="shared" si="163"/>
        <v>0</v>
      </c>
      <c r="CE30" s="614">
        <f t="shared" si="163"/>
        <v>3775.65</v>
      </c>
      <c r="CF30" s="614">
        <f t="shared" si="163"/>
        <v>0</v>
      </c>
      <c r="CG30" s="614">
        <f t="shared" si="163"/>
        <v>3122.66</v>
      </c>
      <c r="CH30" s="614">
        <f t="shared" si="163"/>
        <v>1510</v>
      </c>
      <c r="CI30" s="614">
        <f t="shared" si="163"/>
        <v>123.2</v>
      </c>
      <c r="CJ30" s="614" t="s">
        <v>36</v>
      </c>
      <c r="CK30" s="614">
        <f>SUM(CK14:CK29)</f>
        <v>0</v>
      </c>
      <c r="CL30" s="614">
        <f>TRUNC(SUM(CL14:CL29),2)</f>
        <v>210.8</v>
      </c>
      <c r="CM30" s="614" t="s">
        <v>36</v>
      </c>
      <c r="CN30" s="614">
        <f>TRUNC(SUM(CN14:CN29),2)</f>
        <v>231.88</v>
      </c>
      <c r="CO30" s="614">
        <f>SUM(CO14:CO29)</f>
        <v>0</v>
      </c>
      <c r="CP30" s="614">
        <f t="shared" ref="CP30:DE30" si="164">TRUNC(SUM(CP14:CP29),2)</f>
        <v>1018.65</v>
      </c>
      <c r="CQ30" s="614">
        <f t="shared" si="164"/>
        <v>0</v>
      </c>
      <c r="CR30" s="614">
        <f t="shared" si="164"/>
        <v>0</v>
      </c>
      <c r="CS30" s="614">
        <f t="shared" si="164"/>
        <v>0</v>
      </c>
      <c r="CT30" s="614">
        <f t="shared" si="164"/>
        <v>3065.8</v>
      </c>
      <c r="CU30" s="614">
        <f t="shared" si="164"/>
        <v>0</v>
      </c>
      <c r="CV30" s="614">
        <f t="shared" si="164"/>
        <v>0</v>
      </c>
      <c r="CW30" s="614">
        <f t="shared" si="164"/>
        <v>1132.76</v>
      </c>
      <c r="CX30" s="614">
        <f t="shared" si="164"/>
        <v>0</v>
      </c>
      <c r="CY30" s="614">
        <f t="shared" si="164"/>
        <v>0</v>
      </c>
      <c r="CZ30" s="614">
        <f t="shared" si="164"/>
        <v>3303.08</v>
      </c>
      <c r="DA30" s="614">
        <f t="shared" si="164"/>
        <v>564.78</v>
      </c>
      <c r="DB30" s="614">
        <f t="shared" si="164"/>
        <v>767</v>
      </c>
      <c r="DC30" s="614">
        <f t="shared" si="164"/>
        <v>747</v>
      </c>
      <c r="DD30" s="614">
        <f t="shared" si="164"/>
        <v>77</v>
      </c>
      <c r="DE30" s="614">
        <f t="shared" si="164"/>
        <v>479</v>
      </c>
      <c r="DF30" s="614">
        <f>SUM(DF14:DF29)</f>
        <v>40</v>
      </c>
      <c r="DG30" s="614">
        <f>SUM(DG14:DG29)</f>
        <v>0</v>
      </c>
      <c r="DH30" s="614">
        <f>SUM(DH14:DH29)</f>
        <v>13.200000000000003</v>
      </c>
    </row>
    <row r="31" spans="2:112" ht="21" customHeight="1" x14ac:dyDescent="0.2">
      <c r="Z31" s="45"/>
      <c r="AA31" s="45"/>
      <c r="AB31" s="45"/>
      <c r="AC31" s="45"/>
      <c r="AD31" s="45"/>
      <c r="CT31" s="259" t="s">
        <v>294</v>
      </c>
      <c r="CU31" s="259"/>
      <c r="CV31" s="259"/>
      <c r="CW31" s="259"/>
      <c r="CX31" s="259"/>
      <c r="CY31" s="259"/>
      <c r="CZ31" s="259"/>
      <c r="DA31" s="627" t="s">
        <v>1144</v>
      </c>
      <c r="DB31" s="627">
        <f t="shared" ref="DB31:DG31" si="165">SUM(DB14:DB17)</f>
        <v>0</v>
      </c>
      <c r="DC31" s="627">
        <f t="shared" si="165"/>
        <v>119</v>
      </c>
      <c r="DD31" s="627">
        <f t="shared" si="165"/>
        <v>0</v>
      </c>
      <c r="DE31" s="627">
        <f t="shared" si="165"/>
        <v>358</v>
      </c>
      <c r="DF31" s="627">
        <f t="shared" si="165"/>
        <v>0</v>
      </c>
      <c r="DG31" s="627">
        <f t="shared" si="165"/>
        <v>0</v>
      </c>
      <c r="DH31" s="259"/>
    </row>
    <row r="32" spans="2:112" ht="16.5" customHeight="1" x14ac:dyDescent="0.2">
      <c r="Z32" s="45"/>
      <c r="AA32" s="45"/>
      <c r="AB32" s="45"/>
      <c r="AC32" s="45"/>
      <c r="AD32" s="45"/>
      <c r="AU32" s="123" t="s">
        <v>155</v>
      </c>
      <c r="AV32" s="124"/>
      <c r="AW32" s="124"/>
      <c r="AX32" s="124"/>
      <c r="AY32" s="124"/>
      <c r="AZ32" s="124"/>
      <c r="BA32" s="124"/>
      <c r="BB32" s="125"/>
      <c r="BC32" s="125"/>
      <c r="BD32" s="125"/>
      <c r="BE32" s="125"/>
      <c r="BF32" s="125"/>
      <c r="BG32" s="125"/>
      <c r="BH32" s="125"/>
      <c r="BI32" s="125"/>
      <c r="BJ32" s="125"/>
      <c r="BL32" s="35">
        <f>83.67/12</f>
        <v>6.9725000000000001</v>
      </c>
      <c r="BO32" s="125"/>
      <c r="BP32" s="125"/>
      <c r="BQ32" s="125"/>
      <c r="BR32" s="125"/>
      <c r="BS32" s="125"/>
      <c r="BT32" s="125"/>
      <c r="BU32" s="125"/>
      <c r="BV32" s="125"/>
      <c r="BW32" s="125"/>
      <c r="BX32" s="125"/>
      <c r="BY32" s="125"/>
      <c r="BZ32" s="125"/>
      <c r="CA32" s="125"/>
      <c r="CB32" s="125"/>
      <c r="CC32" s="125"/>
      <c r="CD32" s="125"/>
      <c r="CE32" s="125"/>
      <c r="CF32" s="125"/>
      <c r="CG32" s="125"/>
      <c r="CH32" s="125"/>
      <c r="CI32" s="125"/>
      <c r="CJ32" s="125"/>
      <c r="CK32" s="125"/>
      <c r="CL32" s="125"/>
      <c r="CM32" s="126"/>
      <c r="CN32" s="125"/>
      <c r="CO32" s="125"/>
      <c r="CP32" s="125"/>
      <c r="CQ32" s="125"/>
      <c r="CR32" s="125"/>
      <c r="CS32" s="125"/>
      <c r="CT32" s="257" t="s">
        <v>295</v>
      </c>
      <c r="CU32" s="257"/>
      <c r="CV32" s="257"/>
      <c r="CW32" s="257"/>
      <c r="CX32" s="257"/>
      <c r="CY32" s="257"/>
      <c r="CZ32" s="257"/>
      <c r="DA32" s="257" t="s">
        <v>1145</v>
      </c>
      <c r="DB32" s="257">
        <f>SUM(DB18:DB29)</f>
        <v>767</v>
      </c>
      <c r="DC32" s="257">
        <f t="shared" ref="DC32:DG32" si="166">SUM(DC18:DC29)</f>
        <v>628</v>
      </c>
      <c r="DD32" s="257">
        <f t="shared" si="166"/>
        <v>77</v>
      </c>
      <c r="DE32" s="257">
        <f t="shared" si="166"/>
        <v>121</v>
      </c>
      <c r="DF32" s="257">
        <f t="shared" si="166"/>
        <v>40</v>
      </c>
      <c r="DG32" s="257">
        <f t="shared" si="166"/>
        <v>0</v>
      </c>
      <c r="DH32" s="259"/>
    </row>
    <row r="33" spans="26:112" s="127" customFormat="1" ht="16.5" customHeight="1" x14ac:dyDescent="0.2">
      <c r="Z33" s="45"/>
      <c r="AA33" s="45"/>
      <c r="AB33" s="45"/>
      <c r="AC33" s="45"/>
      <c r="AD33" s="45"/>
      <c r="AU33" s="123" t="s">
        <v>156</v>
      </c>
      <c r="AV33" s="124"/>
      <c r="AW33" s="124"/>
      <c r="AX33" s="124"/>
      <c r="AY33" s="124"/>
      <c r="AZ33" s="124"/>
      <c r="BA33" s="124"/>
      <c r="BB33" s="125"/>
      <c r="BC33" s="125"/>
      <c r="BD33" s="125"/>
      <c r="BE33" s="125"/>
      <c r="BF33" s="125"/>
      <c r="BG33" s="125"/>
      <c r="BH33" s="125"/>
      <c r="BI33" s="125"/>
      <c r="BJ33" s="125"/>
      <c r="BL33" s="35"/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  <c r="BZ33" s="125"/>
      <c r="CA33" s="125"/>
      <c r="CB33" s="125"/>
      <c r="CC33" s="125"/>
      <c r="CD33" s="125"/>
      <c r="CE33" s="125"/>
      <c r="CF33" s="125"/>
      <c r="CG33" s="125"/>
      <c r="CH33" s="125"/>
      <c r="CI33" s="125"/>
      <c r="CJ33" s="125"/>
      <c r="CK33" s="125"/>
      <c r="CL33" s="125"/>
      <c r="CM33" s="126"/>
      <c r="CN33" s="125"/>
      <c r="CO33" s="125"/>
      <c r="CP33" s="125"/>
      <c r="CQ33" s="125"/>
      <c r="CR33" s="125"/>
      <c r="CS33" s="125"/>
      <c r="CT33" s="125"/>
      <c r="CU33" s="125"/>
      <c r="CV33" s="125"/>
      <c r="CW33" s="125"/>
      <c r="CX33" s="125"/>
      <c r="CY33" s="125"/>
      <c r="CZ33" s="257"/>
      <c r="DA33" s="257"/>
      <c r="DB33" s="698"/>
      <c r="DC33" s="698"/>
      <c r="DD33" s="698"/>
      <c r="DE33" s="698"/>
      <c r="DF33" s="698"/>
      <c r="DG33" s="698"/>
      <c r="DH33" s="259"/>
    </row>
    <row r="34" spans="26:112" s="127" customFormat="1" ht="16.5" customHeight="1" x14ac:dyDescent="0.2">
      <c r="Z34" s="45"/>
      <c r="AA34" s="45"/>
      <c r="AB34" s="45"/>
      <c r="AC34" s="45"/>
      <c r="AD34" s="45"/>
      <c r="AU34" s="123"/>
      <c r="AV34" s="124"/>
      <c r="AW34" s="124"/>
      <c r="AX34" s="124"/>
      <c r="AY34" s="124"/>
      <c r="AZ34" s="124"/>
      <c r="BA34" s="124"/>
      <c r="BB34" s="125"/>
      <c r="BC34" s="125"/>
      <c r="BD34" s="125"/>
      <c r="BE34" s="125"/>
      <c r="BF34" s="125"/>
      <c r="BG34" s="125"/>
      <c r="BH34" s="125"/>
      <c r="BI34" s="125"/>
      <c r="BJ34" s="125"/>
      <c r="BL34" s="260"/>
      <c r="BM34" s="260"/>
      <c r="BN34" s="260"/>
      <c r="BO34" s="260"/>
      <c r="BP34" s="260"/>
      <c r="BQ34" s="260"/>
      <c r="BR34" s="260"/>
      <c r="BS34" s="260"/>
      <c r="BT34" s="260"/>
      <c r="BU34" s="260"/>
      <c r="BV34" s="260"/>
      <c r="BW34" s="260"/>
      <c r="BX34" s="260"/>
      <c r="BY34" s="260"/>
      <c r="BZ34" s="260"/>
      <c r="CA34" s="260"/>
      <c r="CB34" s="260"/>
      <c r="CC34" s="260"/>
      <c r="CD34" s="260"/>
      <c r="CE34" s="260"/>
      <c r="CF34" s="260"/>
      <c r="CG34" s="260"/>
      <c r="CH34" s="260"/>
      <c r="CI34" s="260"/>
      <c r="CJ34" s="260"/>
      <c r="CK34" s="260"/>
      <c r="CL34" s="260"/>
      <c r="CM34" s="260"/>
      <c r="CN34" s="260"/>
      <c r="CO34" s="260"/>
      <c r="CP34" s="260"/>
      <c r="CQ34" s="260"/>
      <c r="CR34" s="260"/>
      <c r="CS34" s="260"/>
      <c r="CT34" s="260"/>
      <c r="CU34" s="260"/>
      <c r="CV34" s="260"/>
      <c r="CW34" s="260"/>
      <c r="CX34" s="260"/>
      <c r="CY34" s="260"/>
      <c r="CZ34" s="699"/>
      <c r="DA34" s="699"/>
      <c r="DB34" s="699"/>
      <c r="DC34" s="699"/>
      <c r="DD34" s="699"/>
      <c r="DE34" s="699"/>
      <c r="DF34" s="699"/>
      <c r="DG34" s="699"/>
      <c r="DH34" s="259"/>
    </row>
    <row r="35" spans="26:112" ht="16.5" customHeight="1" x14ac:dyDescent="0.2">
      <c r="AU35" s="123"/>
      <c r="AV35" s="124"/>
      <c r="AW35" s="1160" t="s">
        <v>295</v>
      </c>
      <c r="AX35" s="1160"/>
      <c r="AY35" s="1160"/>
      <c r="AZ35" s="1160"/>
      <c r="BA35" s="1160"/>
      <c r="BB35" s="1160"/>
      <c r="BC35" s="1159" t="s">
        <v>294</v>
      </c>
      <c r="BD35" s="1159"/>
      <c r="BE35" s="1159"/>
      <c r="BF35" s="125"/>
      <c r="BG35" s="125"/>
      <c r="BH35" s="125"/>
      <c r="BI35" s="125"/>
      <c r="BJ35" s="125"/>
      <c r="BO35" s="125"/>
      <c r="BP35" s="125"/>
      <c r="BQ35" s="125"/>
      <c r="BR35" s="125"/>
      <c r="BS35" s="125"/>
      <c r="BT35" s="125"/>
      <c r="BU35" s="125"/>
      <c r="BV35" s="125"/>
      <c r="BW35" s="125"/>
      <c r="BX35" s="125"/>
      <c r="BY35" s="125"/>
      <c r="BZ35" s="125"/>
      <c r="CA35" s="125"/>
      <c r="CB35" s="125"/>
      <c r="CC35" s="125"/>
      <c r="CD35" s="125"/>
      <c r="CE35" s="125"/>
      <c r="CF35" s="125"/>
      <c r="CG35" s="125"/>
      <c r="CH35" s="125"/>
      <c r="CI35" s="125"/>
      <c r="CJ35" s="125"/>
      <c r="CK35" s="125"/>
      <c r="CL35" s="125"/>
      <c r="CM35" s="126"/>
      <c r="CN35" s="125"/>
      <c r="CO35" s="125"/>
      <c r="CP35" s="125"/>
      <c r="CQ35" s="125"/>
      <c r="CR35" s="125"/>
      <c r="CS35" s="125"/>
      <c r="CT35" s="125"/>
      <c r="CU35" s="125"/>
      <c r="CV35" s="125"/>
      <c r="CW35" s="125"/>
      <c r="CX35" s="125"/>
      <c r="CY35" s="125"/>
      <c r="CZ35" s="257"/>
      <c r="DA35" s="257"/>
      <c r="DB35" s="259"/>
      <c r="DC35" s="259"/>
      <c r="DD35" s="259"/>
      <c r="DE35" s="259"/>
      <c r="DF35" s="259"/>
      <c r="DG35" s="259"/>
      <c r="DH35" s="259"/>
    </row>
    <row r="36" spans="26:112" ht="16.5" customHeight="1" x14ac:dyDescent="0.2">
      <c r="AU36" s="124"/>
      <c r="AV36" s="124"/>
      <c r="AW36" s="129" t="s">
        <v>118</v>
      </c>
      <c r="AX36" s="129" t="s">
        <v>118</v>
      </c>
      <c r="AY36" s="129" t="s">
        <v>215</v>
      </c>
      <c r="AZ36" s="129" t="s">
        <v>215</v>
      </c>
      <c r="BA36" s="129" t="s">
        <v>215</v>
      </c>
      <c r="BB36" s="129" t="s">
        <v>215</v>
      </c>
      <c r="BC36" s="196" t="s">
        <v>294</v>
      </c>
      <c r="BD36" s="196" t="s">
        <v>294</v>
      </c>
      <c r="BE36" s="196" t="s">
        <v>294</v>
      </c>
      <c r="BG36" s="130"/>
      <c r="BI36" s="130"/>
      <c r="BJ36" s="130"/>
      <c r="BO36" s="125"/>
      <c r="BP36" s="125"/>
      <c r="BQ36" s="125"/>
      <c r="BR36" s="125"/>
      <c r="BS36" s="125"/>
      <c r="BT36" s="125"/>
      <c r="BU36" s="125"/>
      <c r="BV36" s="125"/>
      <c r="BW36" s="125"/>
      <c r="BX36" s="125"/>
      <c r="BY36" s="125"/>
      <c r="BZ36" s="125"/>
      <c r="CA36" s="125"/>
      <c r="CB36" s="125"/>
      <c r="CC36" s="125"/>
      <c r="CD36" s="125"/>
      <c r="CE36" s="131"/>
      <c r="CF36" s="125"/>
      <c r="CG36" s="125"/>
      <c r="CH36" s="125"/>
      <c r="CI36" s="125"/>
      <c r="CJ36" s="125"/>
      <c r="CK36" s="125"/>
      <c r="CL36" s="125"/>
      <c r="CM36" s="126"/>
      <c r="CN36" s="125"/>
      <c r="CO36" s="125"/>
      <c r="CP36" s="125"/>
      <c r="CQ36" s="125"/>
      <c r="CR36" s="125"/>
      <c r="CS36" s="125"/>
      <c r="CT36" s="125"/>
      <c r="CU36" s="125"/>
      <c r="CV36" s="125"/>
      <c r="CW36" s="125"/>
      <c r="CX36" s="125"/>
      <c r="CY36" s="125"/>
      <c r="CZ36" s="125"/>
      <c r="DA36" s="125"/>
    </row>
    <row r="37" spans="26:112" ht="16.5" customHeight="1" x14ac:dyDescent="0.2">
      <c r="AU37" s="1144" t="s">
        <v>123</v>
      </c>
      <c r="AV37" s="1144"/>
      <c r="AW37" s="207">
        <v>400</v>
      </c>
      <c r="AX37" s="207">
        <v>600</v>
      </c>
      <c r="AY37" s="207">
        <v>800</v>
      </c>
      <c r="AZ37" s="207">
        <v>1000</v>
      </c>
      <c r="BA37" s="207">
        <v>1200</v>
      </c>
      <c r="BB37" s="207">
        <v>1500</v>
      </c>
      <c r="BC37" s="205">
        <v>600</v>
      </c>
      <c r="BD37" s="205">
        <v>800</v>
      </c>
      <c r="BE37" s="205">
        <v>1000</v>
      </c>
      <c r="BG37" s="132"/>
      <c r="BI37" s="132"/>
      <c r="BO37" s="125"/>
      <c r="BP37" s="125"/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6"/>
      <c r="CN37" s="125"/>
      <c r="CO37" s="125"/>
      <c r="CP37" s="125"/>
      <c r="CQ37" s="125"/>
      <c r="CR37" s="125"/>
      <c r="CS37" s="125"/>
      <c r="CT37" s="125"/>
      <c r="CU37" s="125"/>
      <c r="CV37" s="125"/>
      <c r="CW37" s="125"/>
      <c r="CX37" s="125"/>
      <c r="CY37" s="125"/>
      <c r="CZ37" s="125"/>
      <c r="DA37" s="125"/>
    </row>
    <row r="38" spans="26:112" ht="16.5" customHeight="1" x14ac:dyDescent="0.2">
      <c r="AU38" s="1144" t="s">
        <v>124</v>
      </c>
      <c r="AV38" s="1144"/>
      <c r="AW38" s="208">
        <v>0.18</v>
      </c>
      <c r="AX38" s="208">
        <v>0.35</v>
      </c>
      <c r="AY38" s="208">
        <v>0.53</v>
      </c>
      <c r="AZ38" s="208">
        <v>0.8</v>
      </c>
      <c r="BA38" s="208">
        <v>1.36</v>
      </c>
      <c r="BB38" s="208">
        <v>1.93</v>
      </c>
      <c r="BC38" s="206">
        <v>0.02</v>
      </c>
      <c r="BD38" s="206">
        <v>2.9000000000000001E-2</v>
      </c>
      <c r="BE38" s="206">
        <v>3.5000000000000003E-2</v>
      </c>
      <c r="BG38" s="133"/>
      <c r="BI38" s="133"/>
      <c r="BO38" s="134"/>
      <c r="BP38" s="134"/>
      <c r="BQ38" s="134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6"/>
      <c r="CN38" s="125"/>
      <c r="CO38" s="125"/>
      <c r="CP38" s="125"/>
      <c r="CQ38" s="125"/>
      <c r="CR38" s="125"/>
      <c r="CS38" s="125"/>
      <c r="CT38" s="125"/>
      <c r="CU38" s="125"/>
      <c r="CV38" s="125"/>
      <c r="CW38" s="125"/>
      <c r="CX38" s="125"/>
      <c r="CY38" s="125"/>
      <c r="CZ38" s="125"/>
      <c r="DA38" s="125"/>
    </row>
    <row r="39" spans="26:112" ht="16.5" customHeight="1" x14ac:dyDescent="0.2">
      <c r="BH39" s="125"/>
      <c r="BI39" s="125"/>
      <c r="BJ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6"/>
      <c r="CN39" s="125"/>
      <c r="CO39" s="125"/>
      <c r="CP39" s="125"/>
      <c r="CQ39" s="125"/>
      <c r="CR39" s="125"/>
      <c r="CS39" s="125"/>
      <c r="CT39" s="125"/>
      <c r="CU39" s="125"/>
      <c r="CV39" s="125"/>
      <c r="CW39" s="125"/>
      <c r="CX39" s="125"/>
      <c r="CY39" s="125"/>
      <c r="CZ39" s="125"/>
      <c r="DA39" s="125"/>
    </row>
    <row r="40" spans="26:112" ht="16.5" customHeight="1" x14ac:dyDescent="0.2">
      <c r="AU40" s="1136" t="s">
        <v>272</v>
      </c>
      <c r="AV40" s="1137"/>
      <c r="AW40" s="1137"/>
      <c r="AX40" s="1137"/>
      <c r="AY40" s="1137"/>
      <c r="AZ40" s="1137"/>
      <c r="BA40" s="1137"/>
      <c r="BB40" s="1137"/>
      <c r="BC40" s="1137"/>
      <c r="BD40" s="1137"/>
      <c r="BE40" s="1137"/>
      <c r="BF40" s="1137"/>
      <c r="BG40" s="1137"/>
      <c r="BH40" s="1138"/>
      <c r="BI40" s="135"/>
      <c r="BJ40" s="135"/>
    </row>
    <row r="41" spans="26:112" ht="25.5" customHeight="1" x14ac:dyDescent="0.2">
      <c r="AU41" s="1139" t="s">
        <v>273</v>
      </c>
      <c r="AV41" s="1140"/>
      <c r="AW41" s="136" t="s">
        <v>274</v>
      </c>
      <c r="AX41" s="136" t="s">
        <v>274</v>
      </c>
      <c r="AY41" s="136" t="s">
        <v>275</v>
      </c>
      <c r="AZ41" s="136" t="s">
        <v>275</v>
      </c>
      <c r="BA41" s="136" t="s">
        <v>276</v>
      </c>
      <c r="BB41" s="136" t="s">
        <v>277</v>
      </c>
      <c r="BC41" s="136" t="s">
        <v>278</v>
      </c>
      <c r="BD41" s="136" t="s">
        <v>279</v>
      </c>
      <c r="BE41" s="136" t="s">
        <v>280</v>
      </c>
      <c r="BF41" s="136" t="s">
        <v>281</v>
      </c>
      <c r="BG41" s="136" t="s">
        <v>282</v>
      </c>
      <c r="BH41" s="136" t="s">
        <v>283</v>
      </c>
      <c r="BJ41" s="133"/>
    </row>
    <row r="42" spans="26:112" ht="18.75" customHeight="1" x14ac:dyDescent="0.2">
      <c r="AU42" s="1141"/>
      <c r="AV42" s="1142"/>
      <c r="AW42" s="137">
        <v>1</v>
      </c>
      <c r="AX42" s="137">
        <v>1</v>
      </c>
      <c r="AY42" s="137">
        <v>0</v>
      </c>
      <c r="AZ42" s="137">
        <v>0</v>
      </c>
      <c r="BA42" s="138">
        <v>0.5</v>
      </c>
      <c r="BB42" s="138">
        <v>1</v>
      </c>
      <c r="BC42" s="139">
        <f>(((BB42+BA42)*$AX42)/2)*$AZ42</f>
        <v>0</v>
      </c>
      <c r="BD42" s="139">
        <f>BC42-BE42/1.3</f>
        <v>0</v>
      </c>
      <c r="BE42" s="139">
        <f>0.2799*AZ42*1.3</f>
        <v>0</v>
      </c>
      <c r="BF42" s="140">
        <f>AZ42</f>
        <v>0</v>
      </c>
      <c r="BG42" s="140">
        <f>0.2323*AZ42</f>
        <v>0</v>
      </c>
      <c r="BH42" s="140">
        <f>2.1*AZ42</f>
        <v>0</v>
      </c>
    </row>
    <row r="43" spans="26:112" ht="16.5" customHeight="1" x14ac:dyDescent="0.2">
      <c r="AU43" s="631"/>
      <c r="AV43" s="631"/>
      <c r="AW43" s="628"/>
      <c r="AX43" s="628"/>
      <c r="AY43" s="628"/>
      <c r="AZ43" s="628"/>
      <c r="BA43" s="143"/>
      <c r="BB43" s="143"/>
      <c r="BC43" s="629"/>
      <c r="BD43" s="629"/>
      <c r="BE43" s="629"/>
      <c r="BF43" s="630"/>
      <c r="BG43" s="630"/>
      <c r="BH43" s="630"/>
    </row>
    <row r="44" spans="26:112" ht="16.5" customHeight="1" x14ac:dyDescent="0.2">
      <c r="AU44" s="141"/>
      <c r="AV44" s="142"/>
      <c r="AW44" s="143"/>
      <c r="AX44" s="143"/>
      <c r="AY44" s="143"/>
      <c r="AZ44" s="143"/>
      <c r="BA44" s="143"/>
      <c r="BB44" s="143"/>
      <c r="BC44" s="143"/>
      <c r="BD44" s="143"/>
      <c r="BE44" s="144"/>
      <c r="BF44" s="145"/>
      <c r="BG44" s="146"/>
      <c r="BH44" s="144"/>
      <c r="BI44" s="145"/>
      <c r="BJ44" s="147"/>
    </row>
    <row r="45" spans="26:112" ht="24.75" customHeight="1" thickBot="1" x14ac:dyDescent="0.25">
      <c r="AU45" s="141"/>
      <c r="AV45" s="142"/>
      <c r="AW45" s="143"/>
      <c r="AX45" s="143"/>
      <c r="AY45" s="143"/>
      <c r="AZ45" s="143"/>
      <c r="BA45" s="143"/>
      <c r="BB45" s="143"/>
      <c r="BC45" s="143"/>
      <c r="BD45" s="143"/>
      <c r="BE45" s="148"/>
      <c r="BF45" s="149"/>
      <c r="BG45" s="37"/>
      <c r="BH45" s="150"/>
      <c r="BI45" s="149"/>
      <c r="BJ45" s="147"/>
      <c r="CL45" s="151"/>
      <c r="CM45" s="149"/>
      <c r="CN45" s="134"/>
    </row>
    <row r="46" spans="26:112" ht="16.5" customHeight="1" x14ac:dyDescent="0.2">
      <c r="AV46" s="148" t="s">
        <v>195</v>
      </c>
      <c r="AW46" s="918">
        <f>TRUNC((DA28+DA27+DA26+DA25+DA24+DA23+DA22+DA21+DA20+DA19+DA18+DA29)*30,2)</f>
        <v>16496.099999999999</v>
      </c>
      <c r="AX46" s="134" t="s">
        <v>35</v>
      </c>
      <c r="AZ46" s="134"/>
      <c r="BC46" s="1154"/>
      <c r="BD46" s="1154"/>
      <c r="BE46" s="1154"/>
      <c r="BF46" s="152"/>
      <c r="BG46" s="153"/>
      <c r="BH46" s="19"/>
      <c r="CL46" s="151"/>
      <c r="CM46" s="149"/>
      <c r="CN46" s="134"/>
    </row>
    <row r="47" spans="26:112" ht="16.5" customHeight="1" x14ac:dyDescent="0.2">
      <c r="AV47" s="148" t="s">
        <v>196</v>
      </c>
      <c r="AW47" s="641">
        <f>TRUNC((DA28+DA27+DA26+DA25+DA24+DA23+DA22+DA21+DA20+DA19+DA18+DA29)*(AW54-30),2)</f>
        <v>165510.87</v>
      </c>
      <c r="AX47" s="134" t="s">
        <v>35</v>
      </c>
      <c r="AZ47" s="134"/>
      <c r="BB47" s="101"/>
      <c r="BC47" s="1143"/>
      <c r="BD47" s="1143"/>
      <c r="BE47" s="1143"/>
      <c r="BF47" s="155"/>
      <c r="BG47" s="156"/>
      <c r="BH47" s="157"/>
    </row>
    <row r="48" spans="26:112" ht="16.5" customHeight="1" x14ac:dyDescent="0.2">
      <c r="AV48" s="148" t="s">
        <v>359</v>
      </c>
      <c r="AW48" s="641">
        <f>TRUNC((DA14+DA15+DA16+DA17)*30,2)</f>
        <v>447.3</v>
      </c>
      <c r="AX48" s="134" t="s">
        <v>35</v>
      </c>
      <c r="AZ48" s="134"/>
      <c r="BB48" s="101"/>
      <c r="BC48" s="1154"/>
      <c r="BD48" s="1154"/>
      <c r="BE48" s="1154"/>
      <c r="BF48" s="152"/>
      <c r="BG48" s="153"/>
      <c r="BH48" s="19"/>
      <c r="CL48" s="151"/>
      <c r="CM48" s="149"/>
      <c r="CN48" s="134"/>
    </row>
    <row r="49" spans="48:105" ht="16.5" customHeight="1" x14ac:dyDescent="0.2">
      <c r="AV49" s="148" t="s">
        <v>360</v>
      </c>
      <c r="AW49" s="641">
        <f>TRUNC((DA14+DA15+DA16+DA17)*(AW55-30),2)</f>
        <v>4443.18</v>
      </c>
      <c r="AX49" s="134" t="s">
        <v>35</v>
      </c>
      <c r="AZ49" s="134"/>
      <c r="BC49" s="1143"/>
      <c r="BD49" s="1143"/>
      <c r="BE49" s="1143"/>
      <c r="BF49" s="155"/>
      <c r="BG49" s="156"/>
      <c r="BH49" s="157"/>
    </row>
    <row r="50" spans="48:105" ht="16.5" customHeight="1" x14ac:dyDescent="0.2">
      <c r="AV50" s="151" t="s">
        <v>284</v>
      </c>
      <c r="AW50" s="641">
        <f>TRUNC(CA30*AW56,2)</f>
        <v>5946.19</v>
      </c>
      <c r="AX50" s="134" t="s">
        <v>5</v>
      </c>
      <c r="AZ50" s="134"/>
      <c r="BC50" s="1143"/>
      <c r="BD50" s="1143"/>
      <c r="BE50" s="1143"/>
      <c r="BF50" s="155"/>
      <c r="BG50" s="156"/>
      <c r="BH50" s="157"/>
    </row>
    <row r="51" spans="48:105" ht="16.5" customHeight="1" x14ac:dyDescent="0.2">
      <c r="AV51" s="151" t="s">
        <v>285</v>
      </c>
      <c r="AW51" s="641">
        <f>TRUNC(CN30*AW57,2)</f>
        <v>4220.21</v>
      </c>
      <c r="AX51" s="134" t="s">
        <v>5</v>
      </c>
      <c r="AZ51" s="134"/>
      <c r="BC51" s="1143"/>
      <c r="BD51" s="1143"/>
      <c r="BE51" s="1143"/>
      <c r="BF51" s="155"/>
      <c r="BG51" s="156"/>
      <c r="BH51" s="157"/>
      <c r="BK51" s="158"/>
      <c r="BL51" s="158"/>
      <c r="BM51" s="158"/>
      <c r="BN51" s="158"/>
      <c r="BO51" s="158"/>
      <c r="BP51" s="158"/>
      <c r="BQ51" s="158"/>
      <c r="BR51" s="158"/>
      <c r="BS51" s="158"/>
      <c r="BT51" s="158"/>
      <c r="BU51" s="158"/>
      <c r="BV51" s="158"/>
      <c r="BW51" s="158"/>
      <c r="BX51" s="158"/>
      <c r="BY51" s="158"/>
      <c r="BZ51" s="158"/>
      <c r="CA51" s="158"/>
      <c r="CB51" s="158"/>
      <c r="CC51" s="158"/>
      <c r="CD51" s="158"/>
      <c r="CE51" s="158"/>
      <c r="CF51" s="158"/>
      <c r="CG51" s="158"/>
      <c r="CH51" s="158"/>
      <c r="CI51" s="158"/>
      <c r="CJ51" s="158"/>
      <c r="CK51" s="158"/>
      <c r="CL51" s="158"/>
      <c r="CM51" s="159"/>
      <c r="CN51" s="158"/>
      <c r="CO51" s="158"/>
      <c r="CP51" s="158"/>
      <c r="CQ51" s="158"/>
      <c r="CR51" s="158"/>
      <c r="CS51" s="158"/>
      <c r="CT51" s="158"/>
      <c r="CU51" s="158"/>
      <c r="CV51" s="158"/>
      <c r="CW51" s="158"/>
      <c r="CX51" s="158"/>
      <c r="CY51" s="158"/>
      <c r="CZ51" s="158"/>
      <c r="DA51" s="158"/>
    </row>
    <row r="52" spans="48:105" ht="16.5" hidden="1" customHeight="1" x14ac:dyDescent="0.2">
      <c r="AV52" s="151" t="s">
        <v>286</v>
      </c>
      <c r="AW52" s="641">
        <v>0</v>
      </c>
      <c r="AX52" s="134" t="s">
        <v>5</v>
      </c>
      <c r="AZ52" s="134"/>
      <c r="BC52" s="1153"/>
      <c r="BD52" s="1153"/>
      <c r="BE52" s="1153"/>
      <c r="BF52" s="161"/>
      <c r="BG52" s="161"/>
      <c r="BH52" s="162"/>
    </row>
    <row r="53" spans="48:105" ht="16.5" customHeight="1" x14ac:dyDescent="0.2">
      <c r="AV53" s="151" t="s">
        <v>197</v>
      </c>
      <c r="AW53" s="641">
        <f>TRUNC(CN30*AW57,2)</f>
        <v>4220.21</v>
      </c>
      <c r="AX53" s="134" t="s">
        <v>5</v>
      </c>
      <c r="AZ53" s="134"/>
      <c r="BC53" s="160"/>
      <c r="BD53" s="160"/>
      <c r="BE53" s="160"/>
      <c r="BF53" s="163"/>
      <c r="BG53" s="163"/>
      <c r="BH53" s="162"/>
    </row>
    <row r="54" spans="48:105" ht="16.5" customHeight="1" x14ac:dyDescent="0.2">
      <c r="AV54" s="148" t="s">
        <v>362</v>
      </c>
      <c r="AW54" s="641">
        <f>DMT!F10</f>
        <v>331</v>
      </c>
      <c r="AX54" s="134" t="s">
        <v>34</v>
      </c>
      <c r="AZ54" s="134"/>
      <c r="BC54" s="1143"/>
      <c r="BD54" s="1143"/>
      <c r="BE54" s="1143"/>
      <c r="BF54" s="155"/>
      <c r="BG54" s="153"/>
      <c r="BH54" s="164"/>
    </row>
    <row r="55" spans="48:105" ht="16.5" customHeight="1" x14ac:dyDescent="0.2">
      <c r="AV55" s="148" t="s">
        <v>361</v>
      </c>
      <c r="AW55" s="641">
        <f>DMT!F11</f>
        <v>328</v>
      </c>
      <c r="AX55" s="134" t="s">
        <v>34</v>
      </c>
      <c r="AZ55" s="134"/>
      <c r="BC55" s="154"/>
      <c r="BD55" s="154"/>
      <c r="BE55" s="154"/>
      <c r="BF55" s="155"/>
      <c r="BG55" s="153"/>
      <c r="BH55" s="164"/>
    </row>
    <row r="56" spans="48:105" ht="16.5" customHeight="1" x14ac:dyDescent="0.2">
      <c r="AV56" s="148" t="s">
        <v>125</v>
      </c>
      <c r="AW56" s="641">
        <f>DMT!F13</f>
        <v>4.5999999999999996</v>
      </c>
      <c r="AX56" s="134" t="s">
        <v>34</v>
      </c>
      <c r="AZ56" s="134"/>
      <c r="BC56" s="154"/>
      <c r="BD56" s="154"/>
      <c r="BE56" s="154"/>
      <c r="BF56" s="155"/>
      <c r="BG56" s="157"/>
      <c r="BH56" s="157"/>
    </row>
    <row r="57" spans="48:105" ht="17.25" customHeight="1" thickBot="1" x14ac:dyDescent="0.25">
      <c r="AV57" s="148" t="s">
        <v>126</v>
      </c>
      <c r="AW57" s="642">
        <f>DMT!F9</f>
        <v>18.2</v>
      </c>
      <c r="AX57" s="134" t="s">
        <v>34</v>
      </c>
      <c r="AZ57" s="134"/>
      <c r="BC57" s="1143"/>
      <c r="BD57" s="1143"/>
      <c r="BE57" s="1143"/>
      <c r="BF57" s="165"/>
      <c r="BG57" s="157"/>
      <c r="BH57" s="157"/>
    </row>
    <row r="58" spans="48:105" ht="16.5" customHeight="1" x14ac:dyDescent="0.2">
      <c r="AZ58" s="134"/>
      <c r="BC58" s="1143"/>
      <c r="BD58" s="1143"/>
      <c r="BE58" s="1143"/>
      <c r="BF58" s="165"/>
      <c r="BG58" s="157"/>
      <c r="BH58" s="157"/>
    </row>
    <row r="59" spans="48:105" ht="28.5" customHeight="1" x14ac:dyDescent="0.2">
      <c r="AV59" s="1122"/>
      <c r="AW59" s="1122"/>
      <c r="BC59" s="154"/>
      <c r="BD59" s="154"/>
      <c r="BE59" s="154"/>
      <c r="BF59" s="165"/>
      <c r="BG59" s="166"/>
      <c r="BH59" s="157"/>
    </row>
    <row r="61" spans="48:105" ht="16.5" customHeight="1" x14ac:dyDescent="0.2">
      <c r="AX61" s="101"/>
    </row>
    <row r="62" spans="48:105" ht="16.5" customHeight="1" x14ac:dyDescent="0.2">
      <c r="AX62" s="101"/>
    </row>
    <row r="63" spans="48:105" ht="16.5" customHeight="1" x14ac:dyDescent="0.2">
      <c r="BC63" s="1145"/>
      <c r="BD63" s="1145"/>
      <c r="BE63" s="1145"/>
    </row>
    <row r="64" spans="48:105" ht="16.5" customHeight="1" x14ac:dyDescent="0.2">
      <c r="BC64" s="1145"/>
      <c r="BD64" s="1145"/>
      <c r="BE64" s="1145"/>
    </row>
    <row r="89" spans="1:112" ht="16.5" customHeight="1" x14ac:dyDescent="0.2">
      <c r="DH89" s="37"/>
    </row>
    <row r="90" spans="1:112" ht="16.5" customHeight="1" x14ac:dyDescent="0.2">
      <c r="DH90" s="37"/>
    </row>
    <row r="91" spans="1:112" ht="16.5" customHeight="1" x14ac:dyDescent="0.2">
      <c r="DH91" s="37"/>
    </row>
    <row r="92" spans="1:112" ht="16.5" customHeight="1" x14ac:dyDescent="0.2">
      <c r="DH92" s="37"/>
    </row>
    <row r="93" spans="1:112" ht="16.5" customHeight="1" x14ac:dyDescent="0.2">
      <c r="DH93" s="37"/>
    </row>
    <row r="94" spans="1:112" s="37" customFormat="1" ht="16.5" customHeight="1" x14ac:dyDescent="0.2">
      <c r="A94" s="167" t="s">
        <v>127</v>
      </c>
      <c r="B94" s="168"/>
      <c r="C94" s="168"/>
      <c r="D94" s="168"/>
    </row>
    <row r="95" spans="1:112" s="37" customFormat="1" ht="16.5" customHeight="1" x14ac:dyDescent="0.2">
      <c r="A95" s="33"/>
      <c r="B95" s="35"/>
      <c r="C95" s="35"/>
      <c r="D95" s="35"/>
    </row>
    <row r="96" spans="1:112" s="37" customFormat="1" ht="16.5" customHeight="1" x14ac:dyDescent="0.2">
      <c r="A96" s="169" t="s">
        <v>128</v>
      </c>
      <c r="B96" s="170" t="s">
        <v>129</v>
      </c>
      <c r="C96" s="170" t="s">
        <v>130</v>
      </c>
      <c r="D96" s="170" t="s">
        <v>131</v>
      </c>
    </row>
    <row r="97" spans="1:112" s="37" customFormat="1" ht="16.5" customHeight="1" x14ac:dyDescent="0.2">
      <c r="A97" s="171">
        <v>1</v>
      </c>
      <c r="B97" s="172" t="s">
        <v>132</v>
      </c>
      <c r="C97" s="173">
        <v>0.8</v>
      </c>
      <c r="D97" s="173">
        <v>5.8000000000000003E-2</v>
      </c>
    </row>
    <row r="98" spans="1:112" s="37" customFormat="1" ht="16.5" customHeight="1" x14ac:dyDescent="0.2">
      <c r="A98" s="171">
        <v>2</v>
      </c>
      <c r="B98" s="172" t="s">
        <v>133</v>
      </c>
      <c r="C98" s="173">
        <v>0.6</v>
      </c>
      <c r="D98" s="173">
        <v>4.2999999999999997E-2</v>
      </c>
    </row>
    <row r="99" spans="1:112" s="37" customFormat="1" ht="16.5" customHeight="1" x14ac:dyDescent="0.2">
      <c r="A99" s="171">
        <v>3</v>
      </c>
      <c r="B99" s="173" t="s">
        <v>134</v>
      </c>
      <c r="C99" s="173">
        <v>0.4</v>
      </c>
      <c r="D99" s="173">
        <v>2.9000000000000001E-2</v>
      </c>
    </row>
    <row r="100" spans="1:112" s="37" customFormat="1" ht="16.5" customHeight="1" x14ac:dyDescent="0.2">
      <c r="A100" s="171">
        <v>4</v>
      </c>
      <c r="B100" s="173" t="s">
        <v>135</v>
      </c>
      <c r="C100" s="173">
        <v>0.25</v>
      </c>
      <c r="D100" s="173">
        <v>1.7999999999999999E-2</v>
      </c>
    </row>
    <row r="101" spans="1:112" s="37" customFormat="1" ht="16.5" customHeight="1" x14ac:dyDescent="0.2">
      <c r="A101" s="33"/>
      <c r="B101" s="35"/>
      <c r="C101" s="35"/>
      <c r="D101" s="35"/>
    </row>
    <row r="102" spans="1:112" s="37" customFormat="1" ht="16.5" customHeight="1" x14ac:dyDescent="0.2">
      <c r="A102" s="33"/>
      <c r="B102" s="35"/>
      <c r="C102" s="35"/>
      <c r="D102" s="35"/>
    </row>
    <row r="103" spans="1:112" s="37" customFormat="1" ht="16.5" customHeight="1" x14ac:dyDescent="0.2">
      <c r="A103" s="167" t="s">
        <v>136</v>
      </c>
      <c r="B103" s="168"/>
      <c r="C103" s="168"/>
      <c r="D103" s="168"/>
    </row>
    <row r="104" spans="1:112" s="37" customFormat="1" ht="16.5" customHeight="1" x14ac:dyDescent="0.2">
      <c r="A104" s="33"/>
      <c r="B104" s="35"/>
      <c r="C104" s="35"/>
      <c r="D104" s="35"/>
    </row>
    <row r="105" spans="1:112" s="37" customFormat="1" ht="16.5" customHeight="1" x14ac:dyDescent="0.2">
      <c r="A105" s="1146" t="s">
        <v>137</v>
      </c>
      <c r="B105" s="1147" t="s">
        <v>138</v>
      </c>
      <c r="C105" s="1147"/>
      <c r="D105" s="174"/>
      <c r="DH105" s="35"/>
    </row>
    <row r="106" spans="1:112" s="37" customFormat="1" ht="16.5" customHeight="1" x14ac:dyDescent="0.2">
      <c r="A106" s="1146"/>
      <c r="B106" s="173" t="s">
        <v>139</v>
      </c>
      <c r="C106" s="173" t="s">
        <v>140</v>
      </c>
      <c r="D106" s="168"/>
      <c r="DH106" s="35"/>
    </row>
    <row r="107" spans="1:112" s="37" customFormat="1" ht="16.5" customHeight="1" x14ac:dyDescent="0.2">
      <c r="A107" s="175" t="s">
        <v>141</v>
      </c>
      <c r="B107" s="173" t="s">
        <v>142</v>
      </c>
      <c r="C107" s="173" t="s">
        <v>143</v>
      </c>
      <c r="D107" s="168"/>
    </row>
    <row r="108" spans="1:112" s="37" customFormat="1" ht="16.5" customHeight="1" x14ac:dyDescent="0.2">
      <c r="A108" s="176" t="s">
        <v>144</v>
      </c>
      <c r="B108" s="173" t="s">
        <v>145</v>
      </c>
      <c r="C108" s="173" t="s">
        <v>142</v>
      </c>
      <c r="D108" s="168"/>
    </row>
    <row r="109" spans="1:112" s="37" customFormat="1" ht="16.5" customHeight="1" x14ac:dyDescent="0.2">
      <c r="A109" s="176" t="s">
        <v>146</v>
      </c>
      <c r="B109" s="173" t="s">
        <v>147</v>
      </c>
      <c r="C109" s="173" t="s">
        <v>145</v>
      </c>
      <c r="D109" s="177"/>
    </row>
    <row r="110" spans="1:112" ht="16.5" customHeight="1" x14ac:dyDescent="0.2">
      <c r="DH110" s="37"/>
    </row>
    <row r="111" spans="1:112" ht="16.5" customHeight="1" x14ac:dyDescent="0.2">
      <c r="DH111" s="37"/>
    </row>
    <row r="112" spans="1:112" s="37" customFormat="1" ht="16.5" customHeight="1" x14ac:dyDescent="0.2">
      <c r="A112" s="1148" t="s">
        <v>148</v>
      </c>
      <c r="B112" s="1148"/>
      <c r="C112" s="1148"/>
      <c r="D112" s="178"/>
      <c r="E112" s="178"/>
      <c r="F112" s="178"/>
      <c r="G112" s="178"/>
      <c r="H112" s="178"/>
      <c r="I112" s="178"/>
      <c r="J112" s="35"/>
      <c r="K112" s="35"/>
      <c r="L112" s="35"/>
      <c r="M112" s="35"/>
      <c r="N112" s="179" t="s">
        <v>198</v>
      </c>
      <c r="O112" s="179" t="s">
        <v>199</v>
      </c>
      <c r="P112" s="180" t="s">
        <v>200</v>
      </c>
      <c r="Q112" s="179" t="s">
        <v>201</v>
      </c>
    </row>
    <row r="113" spans="1:17" s="37" customFormat="1" ht="16.5" customHeight="1" x14ac:dyDescent="0.2">
      <c r="A113" s="181" t="s">
        <v>53</v>
      </c>
      <c r="B113" s="182" t="s">
        <v>54</v>
      </c>
      <c r="C113" s="182" t="s">
        <v>55</v>
      </c>
      <c r="D113" s="128"/>
      <c r="E113" s="183"/>
      <c r="F113" s="183"/>
      <c r="G113" s="128"/>
      <c r="H113" s="183"/>
      <c r="I113" s="183"/>
      <c r="J113" s="35"/>
      <c r="K113" s="35"/>
      <c r="L113" s="35"/>
      <c r="M113" s="35"/>
      <c r="N113" s="184">
        <v>1.52E-2</v>
      </c>
      <c r="O113" s="184">
        <v>2.3699999999999999E-2</v>
      </c>
      <c r="P113" s="185">
        <v>0.15</v>
      </c>
      <c r="Q113" s="184">
        <v>7.3899999999999993E-2</v>
      </c>
    </row>
    <row r="114" spans="1:17" s="37" customFormat="1" ht="16.5" customHeight="1" x14ac:dyDescent="0.2">
      <c r="A114" s="186">
        <v>1E-4</v>
      </c>
      <c r="B114" s="187">
        <v>6.6E-3</v>
      </c>
      <c r="C114" s="188">
        <v>0.01</v>
      </c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189">
        <v>1.7399999999999999E-2</v>
      </c>
      <c r="O114" s="189">
        <v>2.69E-2</v>
      </c>
      <c r="P114" s="190">
        <v>0.16</v>
      </c>
      <c r="Q114" s="189">
        <v>8.1100000000000005E-2</v>
      </c>
    </row>
    <row r="115" spans="1:17" s="37" customFormat="1" ht="16.5" customHeight="1" x14ac:dyDescent="0.2">
      <c r="A115" s="186">
        <v>2.0000000000000001E-4</v>
      </c>
      <c r="B115" s="187">
        <v>1.32E-2</v>
      </c>
      <c r="C115" s="188">
        <v>0.02</v>
      </c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189">
        <v>1.9699999999999999E-2</v>
      </c>
      <c r="O115" s="189">
        <v>3.04E-2</v>
      </c>
      <c r="P115" s="190">
        <v>0.17</v>
      </c>
      <c r="Q115" s="189">
        <v>8.0500000000000002E-2</v>
      </c>
    </row>
    <row r="116" spans="1:17" s="37" customFormat="1" ht="16.5" customHeight="1" x14ac:dyDescent="0.2">
      <c r="A116" s="186">
        <v>5.0000000000000001E-4</v>
      </c>
      <c r="B116" s="187">
        <v>1.9699999999999999E-2</v>
      </c>
      <c r="C116" s="188">
        <v>0.03</v>
      </c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189">
        <v>2.2100000000000002E-2</v>
      </c>
      <c r="O116" s="189">
        <v>3.4000000000000002E-2</v>
      </c>
      <c r="P116" s="190">
        <v>0.18</v>
      </c>
      <c r="Q116" s="189">
        <v>9.6100000000000005E-2</v>
      </c>
    </row>
    <row r="117" spans="1:17" s="37" customFormat="1" ht="16.5" customHeight="1" x14ac:dyDescent="0.2">
      <c r="A117" s="186">
        <v>8.9999999999999998E-4</v>
      </c>
      <c r="B117" s="187">
        <v>2.6200000000000001E-2</v>
      </c>
      <c r="C117" s="188">
        <v>0.04</v>
      </c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189">
        <v>2.46E-2</v>
      </c>
      <c r="O117" s="189">
        <v>3.7699999999999997E-2</v>
      </c>
      <c r="P117" s="190">
        <v>0.19</v>
      </c>
      <c r="Q117" s="189">
        <v>0.10299999999999999</v>
      </c>
    </row>
    <row r="118" spans="1:17" s="37" customFormat="1" ht="16.5" customHeight="1" x14ac:dyDescent="0.2">
      <c r="A118" s="186">
        <v>1.5E-3</v>
      </c>
      <c r="B118" s="187">
        <v>3.2599999999999997E-2</v>
      </c>
      <c r="C118" s="188">
        <v>0.05</v>
      </c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189">
        <v>2.7300000000000001E-2</v>
      </c>
      <c r="O118" s="189">
        <v>4.1799999999999997E-2</v>
      </c>
      <c r="P118" s="190">
        <v>0.2</v>
      </c>
      <c r="Q118" s="189">
        <v>0.111</v>
      </c>
    </row>
    <row r="119" spans="1:17" s="37" customFormat="1" ht="16.5" customHeight="1" x14ac:dyDescent="0.2">
      <c r="A119" s="186">
        <v>2.2000000000000001E-3</v>
      </c>
      <c r="B119" s="187">
        <v>3.8899999999999997E-2</v>
      </c>
      <c r="C119" s="188">
        <v>0.06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189">
        <v>3.0200000000000001E-2</v>
      </c>
      <c r="O119" s="189">
        <v>4.6100000000000002E-2</v>
      </c>
      <c r="P119" s="190">
        <v>0.21</v>
      </c>
      <c r="Q119" s="189">
        <v>0.11990000000000001</v>
      </c>
    </row>
    <row r="120" spans="1:17" s="37" customFormat="1" ht="16.5" customHeight="1" x14ac:dyDescent="0.2">
      <c r="A120" s="186">
        <v>3.0999999999999999E-3</v>
      </c>
      <c r="B120" s="187">
        <v>4.5100000000000001E-2</v>
      </c>
      <c r="C120" s="188">
        <v>7.0000000000000007E-2</v>
      </c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189">
        <v>3.3099999999999997E-2</v>
      </c>
      <c r="O120" s="189">
        <v>3.04E-2</v>
      </c>
      <c r="P120" s="190">
        <v>0.22</v>
      </c>
      <c r="Q120" s="189">
        <v>0.12609999999999999</v>
      </c>
    </row>
    <row r="121" spans="1:17" s="37" customFormat="1" ht="16.5" customHeight="1" x14ac:dyDescent="0.2">
      <c r="A121" s="186">
        <v>4.1000000000000003E-3</v>
      </c>
      <c r="B121" s="187">
        <v>5.1299999999999998E-2</v>
      </c>
      <c r="C121" s="188">
        <v>0.08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189">
        <v>3.61E-2</v>
      </c>
      <c r="O121" s="189">
        <v>5.4899999999999997E-2</v>
      </c>
      <c r="P121" s="190">
        <v>0.23</v>
      </c>
      <c r="Q121" s="189">
        <v>0.1366</v>
      </c>
    </row>
    <row r="122" spans="1:17" s="37" customFormat="1" ht="16.5" customHeight="1" x14ac:dyDescent="0.2">
      <c r="A122" s="186">
        <v>5.1999999999999998E-3</v>
      </c>
      <c r="B122" s="187">
        <v>5.7500000000000002E-2</v>
      </c>
      <c r="C122" s="188">
        <v>0.09</v>
      </c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189">
        <v>3.9399999999999998E-2</v>
      </c>
      <c r="O122" s="189">
        <v>5.9700000000000003E-2</v>
      </c>
      <c r="P122" s="190">
        <v>0.24</v>
      </c>
      <c r="Q122" s="189">
        <v>0.1449</v>
      </c>
    </row>
    <row r="123" spans="1:17" s="37" customFormat="1" ht="16.5" customHeight="1" x14ac:dyDescent="0.2">
      <c r="A123" s="186">
        <v>6.4999999999999997E-3</v>
      </c>
      <c r="B123" s="187">
        <v>6.3500000000000001E-2</v>
      </c>
      <c r="C123" s="188">
        <v>0.1</v>
      </c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189">
        <v>4.2700000000000002E-2</v>
      </c>
      <c r="O123" s="189">
        <v>6.4600000000000005E-2</v>
      </c>
      <c r="P123" s="190">
        <v>0.25</v>
      </c>
      <c r="Q123" s="189">
        <v>0.1535</v>
      </c>
    </row>
    <row r="124" spans="1:17" s="37" customFormat="1" ht="16.5" customHeight="1" x14ac:dyDescent="0.2">
      <c r="A124" s="186">
        <v>8.0000000000000002E-3</v>
      </c>
      <c r="B124" s="187">
        <v>6.9500000000000006E-2</v>
      </c>
      <c r="C124" s="188">
        <v>0.11</v>
      </c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189">
        <v>4.3200000000000002E-2</v>
      </c>
      <c r="O124" s="189">
        <v>6.9800000000000001E-2</v>
      </c>
      <c r="P124" s="190">
        <v>0.26</v>
      </c>
      <c r="Q124" s="189">
        <v>0.1623</v>
      </c>
    </row>
    <row r="125" spans="1:17" s="37" customFormat="1" ht="16.5" customHeight="1" x14ac:dyDescent="0.2">
      <c r="A125" s="186">
        <v>9.4999999999999998E-3</v>
      </c>
      <c r="B125" s="187">
        <v>7.5499999999999998E-2</v>
      </c>
      <c r="C125" s="188">
        <v>0.12</v>
      </c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189">
        <v>4.9799999999999997E-2</v>
      </c>
      <c r="O125" s="189">
        <v>7.5200000000000003E-2</v>
      </c>
      <c r="P125" s="190">
        <v>0.27</v>
      </c>
      <c r="Q125" s="189">
        <v>0.1711</v>
      </c>
    </row>
    <row r="126" spans="1:17" s="37" customFormat="1" ht="16.5" customHeight="1" x14ac:dyDescent="0.2">
      <c r="A126" s="186">
        <v>1.1299999999999999E-2</v>
      </c>
      <c r="B126" s="187">
        <v>8.1299999999999997E-2</v>
      </c>
      <c r="C126" s="188">
        <v>0.13</v>
      </c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189">
        <v>5.3499999999999999E-2</v>
      </c>
      <c r="O126" s="189">
        <v>8.0500000000000002E-2</v>
      </c>
      <c r="P126" s="190">
        <v>0.28000000000000003</v>
      </c>
      <c r="Q126" s="189">
        <v>0.18</v>
      </c>
    </row>
    <row r="127" spans="1:17" s="37" customFormat="1" ht="16.5" customHeight="1" x14ac:dyDescent="0.2">
      <c r="A127" s="186">
        <v>1.3100000000000001E-2</v>
      </c>
      <c r="B127" s="187">
        <v>8.7099999999999997E-2</v>
      </c>
      <c r="C127" s="188">
        <v>0.14000000000000001</v>
      </c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189">
        <v>5.7299999999999997E-2</v>
      </c>
      <c r="O127" s="189">
        <v>8.6199999999999999E-2</v>
      </c>
      <c r="P127" s="190">
        <v>0.28999999999999998</v>
      </c>
      <c r="Q127" s="189">
        <v>0.189</v>
      </c>
    </row>
    <row r="128" spans="1:17" s="37" customFormat="1" ht="16.5" customHeight="1" x14ac:dyDescent="0.2">
      <c r="A128" s="186">
        <v>1.52E-2</v>
      </c>
      <c r="B128" s="187">
        <v>9.2899999999999996E-2</v>
      </c>
      <c r="C128" s="188">
        <v>0.15</v>
      </c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189">
        <v>6.13E-2</v>
      </c>
      <c r="O128" s="189">
        <v>9.2100000000000001E-2</v>
      </c>
      <c r="P128" s="190">
        <v>0.3</v>
      </c>
      <c r="Q128" s="189">
        <v>0.19819999999999999</v>
      </c>
    </row>
    <row r="129" spans="1:17" s="37" customFormat="1" ht="16.5" customHeight="1" x14ac:dyDescent="0.2">
      <c r="A129" s="186">
        <v>1.7299999999999999E-2</v>
      </c>
      <c r="B129" s="187">
        <v>9.8599999999999993E-2</v>
      </c>
      <c r="C129" s="188">
        <v>0.16</v>
      </c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189">
        <v>6.5299999999999997E-2</v>
      </c>
      <c r="O129" s="189">
        <v>9.8100000000000007E-2</v>
      </c>
      <c r="P129" s="190">
        <v>0.31</v>
      </c>
      <c r="Q129" s="189">
        <v>0.2074</v>
      </c>
    </row>
    <row r="130" spans="1:17" s="37" customFormat="1" ht="16.5" customHeight="1" x14ac:dyDescent="0.2">
      <c r="A130" s="186">
        <v>1.9599999999999999E-2</v>
      </c>
      <c r="B130" s="187">
        <v>0.1042</v>
      </c>
      <c r="C130" s="188">
        <v>0.17</v>
      </c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189">
        <v>6.9400000000000003E-2</v>
      </c>
      <c r="O130" s="189">
        <v>0.10440000000000001</v>
      </c>
      <c r="P130" s="190">
        <v>0.32</v>
      </c>
      <c r="Q130" s="189">
        <v>0.2167</v>
      </c>
    </row>
    <row r="131" spans="1:17" s="37" customFormat="1" ht="16.5" customHeight="1" x14ac:dyDescent="0.2">
      <c r="A131" s="186">
        <v>2.1999999999999999E-2</v>
      </c>
      <c r="B131" s="187">
        <v>0.10970000000000001</v>
      </c>
      <c r="C131" s="188">
        <v>0.18</v>
      </c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189">
        <v>7.3499999999999996E-2</v>
      </c>
      <c r="O131" s="189">
        <v>0.11070000000000001</v>
      </c>
      <c r="P131" s="190">
        <v>0.33</v>
      </c>
      <c r="Q131" s="189">
        <v>0.22600000000000001</v>
      </c>
    </row>
    <row r="132" spans="1:17" s="37" customFormat="1" ht="16.5" customHeight="1" x14ac:dyDescent="0.2">
      <c r="A132" s="186">
        <v>2.46E-2</v>
      </c>
      <c r="B132" s="187">
        <v>0.1152</v>
      </c>
      <c r="C132" s="188">
        <v>0.19</v>
      </c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189">
        <v>7.7700000000000005E-2</v>
      </c>
      <c r="O132" s="189">
        <v>0.1174</v>
      </c>
      <c r="P132" s="190">
        <v>0.34</v>
      </c>
      <c r="Q132" s="189">
        <v>0.23549999999999999</v>
      </c>
    </row>
    <row r="133" spans="1:17" s="37" customFormat="1" ht="16.5" customHeight="1" x14ac:dyDescent="0.2">
      <c r="A133" s="186">
        <v>2.7300000000000001E-2</v>
      </c>
      <c r="B133" s="187">
        <v>0.1206</v>
      </c>
      <c r="C133" s="188">
        <v>0.2</v>
      </c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189">
        <v>8.1799999999999998E-2</v>
      </c>
      <c r="O133" s="189">
        <v>0.1242</v>
      </c>
      <c r="P133" s="190">
        <v>0.35</v>
      </c>
      <c r="Q133" s="189">
        <v>0.245</v>
      </c>
    </row>
    <row r="134" spans="1:17" s="37" customFormat="1" ht="16.5" customHeight="1" x14ac:dyDescent="0.2">
      <c r="A134" s="186">
        <v>3.0099999999999998E-2</v>
      </c>
      <c r="B134" s="187">
        <v>0.12590000000000001</v>
      </c>
      <c r="C134" s="188">
        <v>0.21</v>
      </c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189">
        <v>8.6400000000000005E-2</v>
      </c>
      <c r="O134" s="189">
        <v>0.13120000000000001</v>
      </c>
      <c r="P134" s="190">
        <v>0.36</v>
      </c>
      <c r="Q134" s="189">
        <v>0.25459999999999999</v>
      </c>
    </row>
    <row r="135" spans="1:17" s="37" customFormat="1" ht="16.5" customHeight="1" x14ac:dyDescent="0.2">
      <c r="A135" s="186">
        <v>3.3099999999999997E-2</v>
      </c>
      <c r="B135" s="187">
        <v>0.13120000000000001</v>
      </c>
      <c r="C135" s="188">
        <v>0.22</v>
      </c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189">
        <v>9.0999999999999998E-2</v>
      </c>
      <c r="O135" s="189">
        <v>0.13830000000000001</v>
      </c>
      <c r="P135" s="190">
        <v>0.37</v>
      </c>
      <c r="Q135" s="189">
        <v>0.26419999999999999</v>
      </c>
    </row>
    <row r="136" spans="1:17" s="37" customFormat="1" ht="16.5" customHeight="1" x14ac:dyDescent="0.2">
      <c r="A136" s="186">
        <v>3.6200000000000003E-2</v>
      </c>
      <c r="B136" s="187">
        <v>0.13639999999999999</v>
      </c>
      <c r="C136" s="188">
        <v>0.23</v>
      </c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189">
        <v>9.5500000000000002E-2</v>
      </c>
      <c r="O136" s="189">
        <v>0.14549999999999999</v>
      </c>
      <c r="P136" s="190">
        <v>0.38</v>
      </c>
      <c r="Q136" s="189">
        <v>0.27389999999999998</v>
      </c>
    </row>
    <row r="137" spans="1:17" s="37" customFormat="1" ht="16.5" customHeight="1" x14ac:dyDescent="0.2">
      <c r="A137" s="186">
        <v>3.9399999999999998E-2</v>
      </c>
      <c r="B137" s="187">
        <v>0.1416</v>
      </c>
      <c r="C137" s="188">
        <v>0.24</v>
      </c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189">
        <v>0.1002</v>
      </c>
      <c r="O137" s="189">
        <v>0.153</v>
      </c>
      <c r="P137" s="190">
        <v>0.39</v>
      </c>
      <c r="Q137" s="189">
        <v>0.28360000000000002</v>
      </c>
    </row>
    <row r="138" spans="1:17" s="37" customFormat="1" ht="16.5" customHeight="1" x14ac:dyDescent="0.2">
      <c r="A138" s="186">
        <v>4.2700000000000002E-2</v>
      </c>
      <c r="B138" s="187">
        <v>0.14660000000000001</v>
      </c>
      <c r="C138" s="188">
        <v>0.25</v>
      </c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189">
        <v>0.105</v>
      </c>
      <c r="O138" s="189">
        <v>0.16039999999999999</v>
      </c>
      <c r="P138" s="190">
        <v>0.4</v>
      </c>
      <c r="Q138" s="189">
        <v>0.29339999999999999</v>
      </c>
    </row>
    <row r="139" spans="1:17" s="37" customFormat="1" ht="16.5" customHeight="1" x14ac:dyDescent="0.2">
      <c r="A139" s="186">
        <v>4.6100000000000002E-2</v>
      </c>
      <c r="B139" s="187">
        <v>0.15160000000000001</v>
      </c>
      <c r="C139" s="188">
        <v>0.26</v>
      </c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189">
        <v>0.20899999999999999</v>
      </c>
      <c r="O139" s="189">
        <v>0.16830000000000001</v>
      </c>
      <c r="P139" s="190">
        <v>0.41</v>
      </c>
      <c r="Q139" s="189">
        <v>0.30320000000000003</v>
      </c>
    </row>
    <row r="140" spans="1:17" s="37" customFormat="1" ht="16.5" customHeight="1" x14ac:dyDescent="0.2">
      <c r="A140" s="186">
        <v>4.9700000000000001E-2</v>
      </c>
      <c r="B140" s="187">
        <v>0.15659999999999999</v>
      </c>
      <c r="C140" s="188">
        <v>0.27</v>
      </c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189">
        <v>0.1148</v>
      </c>
      <c r="O140" s="189">
        <v>0.1762</v>
      </c>
      <c r="P140" s="190">
        <v>0.42</v>
      </c>
      <c r="Q140" s="189">
        <v>0.313</v>
      </c>
    </row>
    <row r="141" spans="1:17" s="37" customFormat="1" ht="16.5" customHeight="1" x14ac:dyDescent="0.2">
      <c r="A141" s="186">
        <v>5.3400000000000003E-2</v>
      </c>
      <c r="B141" s="187">
        <v>0.16139999999999999</v>
      </c>
      <c r="C141" s="188">
        <v>0.28000000000000003</v>
      </c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189">
        <v>0.1198</v>
      </c>
      <c r="O141" s="189">
        <v>0.18440000000000001</v>
      </c>
      <c r="P141" s="190">
        <v>0.43</v>
      </c>
      <c r="Q141" s="189">
        <v>0.32290000000000002</v>
      </c>
    </row>
    <row r="142" spans="1:17" s="37" customFormat="1" ht="16.5" customHeight="1" x14ac:dyDescent="0.2">
      <c r="A142" s="186">
        <v>5.7200000000000001E-2</v>
      </c>
      <c r="B142" s="187">
        <v>0.16619999999999999</v>
      </c>
      <c r="C142" s="188">
        <v>0.28999999999999998</v>
      </c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189">
        <v>0.12479999999999999</v>
      </c>
      <c r="O142" s="189">
        <v>0.19259999999999999</v>
      </c>
      <c r="P142" s="190">
        <v>0.44</v>
      </c>
      <c r="Q142" s="189">
        <v>0.33279999999999998</v>
      </c>
    </row>
    <row r="143" spans="1:17" s="37" customFormat="1" ht="16.5" customHeight="1" x14ac:dyDescent="0.2">
      <c r="A143" s="186">
        <v>6.0999999999999999E-2</v>
      </c>
      <c r="B143" s="187">
        <v>0.1709</v>
      </c>
      <c r="C143" s="188">
        <v>0.3</v>
      </c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189">
        <v>0.1298</v>
      </c>
      <c r="O143" s="189">
        <v>0.2014</v>
      </c>
      <c r="P143" s="190">
        <v>0.45</v>
      </c>
      <c r="Q143" s="189">
        <v>0.34200000000000003</v>
      </c>
    </row>
    <row r="144" spans="1:17" s="37" customFormat="1" ht="16.5" customHeight="1" x14ac:dyDescent="0.2">
      <c r="A144" s="186">
        <v>6.5000000000000002E-2</v>
      </c>
      <c r="B144" s="187">
        <v>0.17560000000000001</v>
      </c>
      <c r="C144" s="188">
        <v>0.31</v>
      </c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189">
        <v>0.13469999999999999</v>
      </c>
      <c r="O144" s="189">
        <v>0.20979999999999999</v>
      </c>
      <c r="P144" s="190">
        <v>0.46</v>
      </c>
      <c r="Q144" s="189">
        <v>0.35270000000000001</v>
      </c>
    </row>
    <row r="145" spans="1:17" s="37" customFormat="1" ht="16.5" customHeight="1" x14ac:dyDescent="0.2">
      <c r="A145" s="186">
        <v>6.9099999999999995E-2</v>
      </c>
      <c r="B145" s="187">
        <v>0.1802</v>
      </c>
      <c r="C145" s="188">
        <v>0.32</v>
      </c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189">
        <v>0.1401</v>
      </c>
      <c r="O145" s="189">
        <v>0.2185</v>
      </c>
      <c r="P145" s="190">
        <v>0.47</v>
      </c>
      <c r="Q145" s="189">
        <v>0.36270000000000002</v>
      </c>
    </row>
    <row r="146" spans="1:17" s="37" customFormat="1" ht="16.5" customHeight="1" x14ac:dyDescent="0.2">
      <c r="A146" s="186">
        <v>7.3300000000000004E-2</v>
      </c>
      <c r="B146" s="187">
        <v>0.1847</v>
      </c>
      <c r="C146" s="188">
        <v>0.33</v>
      </c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189">
        <v>0.14510000000000001</v>
      </c>
      <c r="O146" s="189">
        <v>0.2276</v>
      </c>
      <c r="P146" s="190">
        <v>0.48</v>
      </c>
      <c r="Q146" s="189">
        <v>0.37269999999999998</v>
      </c>
    </row>
    <row r="147" spans="1:17" s="37" customFormat="1" ht="16.5" customHeight="1" x14ac:dyDescent="0.2">
      <c r="A147" s="186">
        <v>7.7600000000000002E-2</v>
      </c>
      <c r="B147" s="187">
        <v>0.18909999999999999</v>
      </c>
      <c r="C147" s="188">
        <v>0.34</v>
      </c>
      <c r="D147" s="191"/>
      <c r="E147" s="191"/>
      <c r="F147" s="192"/>
      <c r="G147" s="191"/>
      <c r="H147" s="191"/>
      <c r="I147" s="192"/>
      <c r="J147" s="35"/>
      <c r="K147" s="35"/>
      <c r="L147" s="35"/>
      <c r="M147" s="35"/>
      <c r="N147" s="189">
        <v>0.15079999999999999</v>
      </c>
      <c r="O147" s="189">
        <v>0.23680000000000001</v>
      </c>
      <c r="P147" s="190">
        <v>0.49</v>
      </c>
      <c r="Q147" s="189">
        <v>0.38269999999999998</v>
      </c>
    </row>
    <row r="148" spans="1:17" s="37" customFormat="1" ht="16.5" customHeight="1" x14ac:dyDescent="0.2">
      <c r="A148" s="186">
        <v>8.2000000000000003E-2</v>
      </c>
      <c r="B148" s="187">
        <v>0.19350000000000001</v>
      </c>
      <c r="C148" s="188">
        <v>0.35</v>
      </c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189">
        <v>0.15590000000000001</v>
      </c>
      <c r="O148" s="189">
        <v>0.24640000000000001</v>
      </c>
      <c r="P148" s="190">
        <v>0.5</v>
      </c>
      <c r="Q148" s="189">
        <v>0.39300000000000002</v>
      </c>
    </row>
    <row r="149" spans="1:17" s="37" customFormat="1" ht="16.5" customHeight="1" x14ac:dyDescent="0.2">
      <c r="A149" s="186">
        <v>8.6400000000000005E-2</v>
      </c>
      <c r="B149" s="187">
        <v>0.1978</v>
      </c>
      <c r="C149" s="188">
        <v>0.36</v>
      </c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189">
        <v>0.16120000000000001</v>
      </c>
      <c r="O149" s="189">
        <v>0.255</v>
      </c>
      <c r="P149" s="190">
        <v>0.51</v>
      </c>
      <c r="Q149" s="189">
        <v>0.40300000000000002</v>
      </c>
    </row>
    <row r="150" spans="1:17" s="37" customFormat="1" ht="16.5" customHeight="1" x14ac:dyDescent="0.2">
      <c r="A150" s="186">
        <v>9.0999999999999998E-2</v>
      </c>
      <c r="B150" s="187">
        <v>0.20200000000000001</v>
      </c>
      <c r="C150" s="188">
        <v>0.37</v>
      </c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189">
        <v>0.1668</v>
      </c>
      <c r="O150" s="189">
        <v>0.2651</v>
      </c>
      <c r="P150" s="190">
        <v>0.52</v>
      </c>
      <c r="Q150" s="189">
        <v>0.41299999999999998</v>
      </c>
    </row>
    <row r="151" spans="1:17" s="37" customFormat="1" ht="16.5" customHeight="1" x14ac:dyDescent="0.2">
      <c r="A151" s="186">
        <v>9.5600000000000004E-2</v>
      </c>
      <c r="B151" s="187">
        <v>0.20619999999999999</v>
      </c>
      <c r="C151" s="188">
        <v>0.38</v>
      </c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189">
        <v>0.1719</v>
      </c>
      <c r="O151" s="189">
        <v>0.27510000000000001</v>
      </c>
      <c r="P151" s="190">
        <v>0.53</v>
      </c>
      <c r="Q151" s="189">
        <v>0.42299999999999999</v>
      </c>
    </row>
    <row r="152" spans="1:17" s="37" customFormat="1" ht="16.5" customHeight="1" x14ac:dyDescent="0.2">
      <c r="A152" s="186">
        <v>0.1003</v>
      </c>
      <c r="B152" s="187">
        <v>0.2102</v>
      </c>
      <c r="C152" s="188">
        <v>0.39</v>
      </c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189">
        <v>0.17730000000000001</v>
      </c>
      <c r="O152" s="189">
        <v>0.2853</v>
      </c>
      <c r="P152" s="190">
        <v>0.54</v>
      </c>
      <c r="Q152" s="189">
        <v>0.433</v>
      </c>
    </row>
    <row r="153" spans="1:17" s="37" customFormat="1" ht="16.5" customHeight="1" x14ac:dyDescent="0.2">
      <c r="A153" s="186">
        <v>0.105</v>
      </c>
      <c r="B153" s="187">
        <v>0.2142</v>
      </c>
      <c r="C153" s="188">
        <v>0.4</v>
      </c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189">
        <v>0.18279999999999999</v>
      </c>
      <c r="O153" s="189">
        <v>0.29559999999999997</v>
      </c>
      <c r="P153" s="190">
        <v>0.55000000000000004</v>
      </c>
      <c r="Q153" s="189">
        <v>0.443</v>
      </c>
    </row>
    <row r="154" spans="1:17" s="37" customFormat="1" ht="16.5" customHeight="1" x14ac:dyDescent="0.2">
      <c r="A154" s="186">
        <v>0.1099</v>
      </c>
      <c r="B154" s="187">
        <v>0.21820000000000001</v>
      </c>
      <c r="C154" s="188">
        <v>0.41</v>
      </c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189">
        <v>0.1883</v>
      </c>
      <c r="O154" s="189">
        <v>0.30690000000000001</v>
      </c>
      <c r="P154" s="190">
        <v>0.56000000000000005</v>
      </c>
      <c r="Q154" s="189">
        <v>0.45300000000000001</v>
      </c>
    </row>
    <row r="155" spans="1:17" s="37" customFormat="1" ht="16.5" customHeight="1" x14ac:dyDescent="0.2">
      <c r="A155" s="186">
        <v>0.1148</v>
      </c>
      <c r="B155" s="187">
        <v>0.222</v>
      </c>
      <c r="C155" s="188">
        <v>0.42</v>
      </c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189">
        <v>0.183</v>
      </c>
      <c r="O155" s="189">
        <v>0.31569999999999998</v>
      </c>
      <c r="P155" s="190">
        <v>0.56999999999999995</v>
      </c>
      <c r="Q155" s="189">
        <v>0.46200000000000002</v>
      </c>
    </row>
    <row r="156" spans="1:17" s="37" customFormat="1" ht="16.5" customHeight="1" x14ac:dyDescent="0.2">
      <c r="A156" s="186">
        <v>0.1197</v>
      </c>
      <c r="B156" s="187">
        <v>0.2258</v>
      </c>
      <c r="C156" s="188">
        <v>0.43</v>
      </c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189">
        <v>0.1988</v>
      </c>
      <c r="O156" s="189">
        <v>0.32629999999999998</v>
      </c>
      <c r="P156" s="190">
        <v>0.57999999999999996</v>
      </c>
      <c r="Q156" s="189">
        <v>0.47199999999999998</v>
      </c>
    </row>
    <row r="157" spans="1:17" s="37" customFormat="1" ht="16.5" customHeight="1" x14ac:dyDescent="0.2">
      <c r="A157" s="186">
        <v>0.12479999999999999</v>
      </c>
      <c r="B157" s="187">
        <v>0.22950000000000001</v>
      </c>
      <c r="C157" s="188">
        <v>0.44</v>
      </c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189">
        <v>0.20380000000000001</v>
      </c>
      <c r="O157" s="189">
        <v>0.33739999999999998</v>
      </c>
      <c r="P157" s="190">
        <v>0.59</v>
      </c>
      <c r="Q157" s="189">
        <v>0.48199999999999998</v>
      </c>
    </row>
    <row r="158" spans="1:17" s="37" customFormat="1" ht="16.5" customHeight="1" x14ac:dyDescent="0.2">
      <c r="A158" s="186">
        <v>0.1298</v>
      </c>
      <c r="B158" s="187">
        <v>0.2331</v>
      </c>
      <c r="C158" s="188">
        <v>0.45</v>
      </c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189">
        <v>0.20979999999999999</v>
      </c>
      <c r="O158" s="189">
        <v>0.34660000000000002</v>
      </c>
      <c r="P158" s="190">
        <v>0.6</v>
      </c>
      <c r="Q158" s="189">
        <v>0.49199999999999999</v>
      </c>
    </row>
    <row r="159" spans="1:17" s="37" customFormat="1" ht="16.5" customHeight="1" x14ac:dyDescent="0.2">
      <c r="A159" s="186">
        <v>0.13500000000000001</v>
      </c>
      <c r="B159" s="187">
        <v>0.2366</v>
      </c>
      <c r="C159" s="188">
        <v>0.46</v>
      </c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189">
        <v>0.21490000000000001</v>
      </c>
      <c r="O159" s="189">
        <v>0.3599</v>
      </c>
      <c r="P159" s="190">
        <v>0.61</v>
      </c>
      <c r="Q159" s="189">
        <v>0.502</v>
      </c>
    </row>
    <row r="160" spans="1:17" s="37" customFormat="1" ht="16.5" customHeight="1" x14ac:dyDescent="0.2">
      <c r="A160" s="186">
        <v>0.1401</v>
      </c>
      <c r="B160" s="187">
        <v>0.24010000000000001</v>
      </c>
      <c r="C160" s="188">
        <v>0.47</v>
      </c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189">
        <v>0.22020000000000001</v>
      </c>
      <c r="O160" s="189">
        <v>0.37169999999999997</v>
      </c>
      <c r="P160" s="190">
        <v>0.62</v>
      </c>
      <c r="Q160" s="189">
        <v>0.51200000000000001</v>
      </c>
    </row>
    <row r="161" spans="1:17" s="37" customFormat="1" ht="16.5" customHeight="1" x14ac:dyDescent="0.2">
      <c r="A161" s="186">
        <v>0.14530000000000001</v>
      </c>
      <c r="B161" s="187">
        <v>0.24349999999999999</v>
      </c>
      <c r="C161" s="188">
        <v>0.48</v>
      </c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189">
        <v>0.22509999999999999</v>
      </c>
      <c r="O161" s="189">
        <v>0.38279999999999997</v>
      </c>
      <c r="P161" s="190">
        <v>0.63</v>
      </c>
      <c r="Q161" s="189">
        <v>0.52200000000000002</v>
      </c>
    </row>
    <row r="162" spans="1:17" s="37" customFormat="1" ht="16.5" customHeight="1" x14ac:dyDescent="0.2">
      <c r="A162" s="186">
        <v>0.15060000000000001</v>
      </c>
      <c r="B162" s="187">
        <v>0.24679999999999999</v>
      </c>
      <c r="C162" s="188">
        <v>0.49</v>
      </c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189">
        <v>0.23050000000000001</v>
      </c>
      <c r="O162" s="189">
        <v>0.39489999999999997</v>
      </c>
      <c r="P162" s="190">
        <v>0.64</v>
      </c>
      <c r="Q162" s="193" t="s">
        <v>202</v>
      </c>
    </row>
    <row r="163" spans="1:17" s="37" customFormat="1" ht="16.5" customHeight="1" x14ac:dyDescent="0.2">
      <c r="A163" s="186">
        <v>0.15579999999999999</v>
      </c>
      <c r="B163" s="187">
        <v>0.25</v>
      </c>
      <c r="C163" s="188">
        <v>0.5</v>
      </c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189">
        <v>0.2354</v>
      </c>
      <c r="O163" s="189">
        <v>0.40620000000000001</v>
      </c>
      <c r="P163" s="190">
        <v>0.65</v>
      </c>
      <c r="Q163" s="189">
        <v>0.54</v>
      </c>
    </row>
    <row r="164" spans="1:17" s="37" customFormat="1" ht="16.5" customHeight="1" x14ac:dyDescent="0.2">
      <c r="A164" s="186">
        <v>0.16120000000000001</v>
      </c>
      <c r="B164" s="187">
        <v>0.25309999999999999</v>
      </c>
      <c r="C164" s="188">
        <v>0.51</v>
      </c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189">
        <v>0.24099999999999999</v>
      </c>
      <c r="O164" s="189">
        <v>0.41620000000000001</v>
      </c>
      <c r="P164" s="190">
        <v>0.66</v>
      </c>
      <c r="Q164" s="189">
        <v>0.55000000000000004</v>
      </c>
    </row>
    <row r="165" spans="1:17" s="37" customFormat="1" ht="16.5" customHeight="1" x14ac:dyDescent="0.2">
      <c r="A165" s="186">
        <v>0.16650000000000001</v>
      </c>
      <c r="B165" s="187">
        <v>0.25619999999999998</v>
      </c>
      <c r="C165" s="188">
        <v>0.52</v>
      </c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189">
        <v>0.24610000000000001</v>
      </c>
      <c r="O165" s="189">
        <v>0.43120000000000003</v>
      </c>
      <c r="P165" s="190">
        <v>0.67</v>
      </c>
      <c r="Q165" s="189">
        <v>0.55900000000000005</v>
      </c>
    </row>
    <row r="166" spans="1:17" s="37" customFormat="1" ht="16.5" customHeight="1" x14ac:dyDescent="0.2">
      <c r="A166" s="186">
        <v>0.17180000000000001</v>
      </c>
      <c r="B166" s="187">
        <v>0.25919999999999999</v>
      </c>
      <c r="C166" s="188">
        <v>0.53</v>
      </c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194">
        <v>0.251</v>
      </c>
      <c r="O166" s="194">
        <v>0.44440000000000002</v>
      </c>
      <c r="P166" s="195">
        <v>0.68</v>
      </c>
      <c r="Q166" s="194">
        <v>0.56899999999999995</v>
      </c>
    </row>
    <row r="167" spans="1:17" s="37" customFormat="1" ht="16.5" customHeight="1" x14ac:dyDescent="0.2">
      <c r="A167" s="186">
        <v>0.1772</v>
      </c>
      <c r="B167" s="187">
        <v>0.2621</v>
      </c>
      <c r="C167" s="188">
        <v>0.54</v>
      </c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184">
        <v>0.25609999999999999</v>
      </c>
      <c r="O167" s="184">
        <v>0.45700000000000002</v>
      </c>
      <c r="P167" s="185">
        <v>0.69</v>
      </c>
      <c r="Q167" s="184">
        <v>0.57799999999999996</v>
      </c>
    </row>
    <row r="168" spans="1:17" s="37" customFormat="1" ht="16.5" customHeight="1" x14ac:dyDescent="0.2">
      <c r="A168" s="186">
        <v>0.18260000000000001</v>
      </c>
      <c r="B168" s="187">
        <v>0.26490000000000002</v>
      </c>
      <c r="C168" s="188">
        <v>0.55000000000000004</v>
      </c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189">
        <v>0.26069999999999999</v>
      </c>
      <c r="O168" s="189">
        <v>0.47</v>
      </c>
      <c r="P168" s="190">
        <v>0.7</v>
      </c>
      <c r="Q168" s="189">
        <v>0.58699999999999997</v>
      </c>
    </row>
    <row r="169" spans="1:17" s="37" customFormat="1" ht="16.5" customHeight="1" x14ac:dyDescent="0.2">
      <c r="A169" s="186">
        <v>0.18790000000000001</v>
      </c>
      <c r="B169" s="187">
        <v>0.2676</v>
      </c>
      <c r="C169" s="188">
        <v>0.56000000000000005</v>
      </c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189">
        <v>0.26590000000000003</v>
      </c>
      <c r="O169" s="189">
        <v>0.48309999999999997</v>
      </c>
      <c r="P169" s="190">
        <v>0.71</v>
      </c>
      <c r="Q169" s="189">
        <v>0.69599999999999995</v>
      </c>
    </row>
    <row r="170" spans="1:17" s="37" customFormat="1" ht="16.5" customHeight="1" x14ac:dyDescent="0.2">
      <c r="A170" s="186">
        <v>0.1933</v>
      </c>
      <c r="B170" s="187">
        <v>0.27029999999999998</v>
      </c>
      <c r="C170" s="188">
        <v>0.56999999999999995</v>
      </c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189">
        <v>0.27050000000000002</v>
      </c>
      <c r="O170" s="189">
        <v>0.49869999999999998</v>
      </c>
      <c r="P170" s="190">
        <v>0.72</v>
      </c>
      <c r="Q170" s="189">
        <v>0.60499999999999998</v>
      </c>
    </row>
    <row r="171" spans="1:17" s="37" customFormat="1" ht="16.5" customHeight="1" x14ac:dyDescent="0.2">
      <c r="A171" s="186">
        <v>0.19869999999999999</v>
      </c>
      <c r="B171" s="187">
        <v>0.27279999999999999</v>
      </c>
      <c r="C171" s="188">
        <v>0.57999999999999996</v>
      </c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189">
        <v>0.27510000000000001</v>
      </c>
      <c r="O171" s="189">
        <v>0.51080000000000003</v>
      </c>
      <c r="P171" s="190">
        <v>0.73</v>
      </c>
      <c r="Q171" s="189">
        <v>0.61399999999999999</v>
      </c>
    </row>
    <row r="172" spans="1:17" s="37" customFormat="1" ht="16.5" customHeight="1" x14ac:dyDescent="0.2">
      <c r="A172" s="186">
        <v>0.2041</v>
      </c>
      <c r="B172" s="187">
        <v>0.27529999999999999</v>
      </c>
      <c r="C172" s="188">
        <v>0.59</v>
      </c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189">
        <v>0.27979999999999999</v>
      </c>
      <c r="O172" s="189">
        <v>0.52400000000000002</v>
      </c>
      <c r="P172" s="190">
        <v>0.74</v>
      </c>
      <c r="Q172" s="189">
        <v>0.623</v>
      </c>
    </row>
    <row r="173" spans="1:17" s="37" customFormat="1" ht="16.5" customHeight="1" x14ac:dyDescent="0.2">
      <c r="A173" s="186">
        <v>0.2094</v>
      </c>
      <c r="B173" s="187">
        <v>0.27760000000000001</v>
      </c>
      <c r="C173" s="188">
        <v>0.6</v>
      </c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189">
        <v>0.28449999999999998</v>
      </c>
      <c r="O173" s="189">
        <v>0.54</v>
      </c>
      <c r="P173" s="190">
        <v>0.75</v>
      </c>
      <c r="Q173" s="189">
        <v>0.63200000000000001</v>
      </c>
    </row>
    <row r="174" spans="1:17" s="37" customFormat="1" ht="16.5" customHeight="1" x14ac:dyDescent="0.2">
      <c r="A174" s="186">
        <v>0.2147</v>
      </c>
      <c r="B174" s="187">
        <v>0.27989999999999998</v>
      </c>
      <c r="C174" s="188">
        <v>0.61</v>
      </c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189">
        <v>0.28810000000000002</v>
      </c>
      <c r="O174" s="189">
        <v>0.55430000000000001</v>
      </c>
      <c r="P174" s="190">
        <v>0.76</v>
      </c>
      <c r="Q174" s="189">
        <v>0.64</v>
      </c>
    </row>
    <row r="175" spans="1:17" s="37" customFormat="1" ht="16.5" customHeight="1" x14ac:dyDescent="0.2">
      <c r="A175" s="186">
        <v>0.22</v>
      </c>
      <c r="B175" s="187">
        <v>0.28210000000000002</v>
      </c>
      <c r="C175" s="188">
        <v>0.62</v>
      </c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189">
        <v>0.2928</v>
      </c>
      <c r="O175" s="189">
        <v>0.55989999999999995</v>
      </c>
      <c r="P175" s="190">
        <v>0.77</v>
      </c>
      <c r="Q175" s="189">
        <v>0.64900000000000002</v>
      </c>
    </row>
    <row r="176" spans="1:17" s="37" customFormat="1" ht="16.5" customHeight="1" x14ac:dyDescent="0.2">
      <c r="A176" s="186">
        <v>0.2253</v>
      </c>
      <c r="B176" s="187">
        <v>0.28420000000000001</v>
      </c>
      <c r="C176" s="188">
        <v>0.63</v>
      </c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189">
        <v>0.29699999999999999</v>
      </c>
      <c r="O176" s="189">
        <v>0.60509999999999997</v>
      </c>
      <c r="P176" s="190">
        <v>0.78</v>
      </c>
      <c r="Q176" s="189">
        <v>0.65700000000000003</v>
      </c>
    </row>
    <row r="177" spans="1:17" s="37" customFormat="1" ht="16.5" customHeight="1" x14ac:dyDescent="0.2">
      <c r="A177" s="186">
        <v>0.2306</v>
      </c>
      <c r="B177" s="187">
        <v>0.28620000000000001</v>
      </c>
      <c r="C177" s="188">
        <v>0.64</v>
      </c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189">
        <v>0.30109999999999998</v>
      </c>
      <c r="O177" s="189">
        <v>0.60199999999999998</v>
      </c>
      <c r="P177" s="190">
        <v>0.79</v>
      </c>
      <c r="Q177" s="189">
        <v>0.66600000000000004</v>
      </c>
    </row>
    <row r="178" spans="1:17" s="37" customFormat="1" ht="16.5" customHeight="1" x14ac:dyDescent="0.2">
      <c r="A178" s="186">
        <v>0.23880000000000001</v>
      </c>
      <c r="B178" s="187">
        <v>0.28820000000000001</v>
      </c>
      <c r="C178" s="188">
        <v>0.65</v>
      </c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189">
        <v>0.30470000000000003</v>
      </c>
      <c r="O178" s="189">
        <v>0.61850000000000005</v>
      </c>
      <c r="P178" s="190">
        <v>0.8</v>
      </c>
      <c r="Q178" s="189">
        <v>0.67400000000000004</v>
      </c>
    </row>
    <row r="179" spans="1:17" s="37" customFormat="1" ht="16.5" customHeight="1" x14ac:dyDescent="0.2">
      <c r="A179" s="186">
        <v>0.2409</v>
      </c>
      <c r="B179" s="187">
        <v>0.28989999999999999</v>
      </c>
      <c r="C179" s="188">
        <v>0.66</v>
      </c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189">
        <v>0.30790000000000001</v>
      </c>
      <c r="O179" s="189">
        <v>0.63480000000000003</v>
      </c>
      <c r="P179" s="190">
        <v>0.81</v>
      </c>
      <c r="Q179" s="189">
        <v>0.68100000000000005</v>
      </c>
    </row>
    <row r="180" spans="1:17" s="37" customFormat="1" ht="16.5" customHeight="1" x14ac:dyDescent="0.2">
      <c r="A180" s="186">
        <v>0.246</v>
      </c>
      <c r="B180" s="187">
        <v>0.29170000000000001</v>
      </c>
      <c r="C180" s="188">
        <v>0.67</v>
      </c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189">
        <v>0.3115</v>
      </c>
      <c r="O180" s="189">
        <v>0.65259999999999996</v>
      </c>
      <c r="P180" s="190">
        <v>0.82</v>
      </c>
      <c r="Q180" s="189">
        <v>0.68899999999999995</v>
      </c>
    </row>
    <row r="181" spans="1:17" s="37" customFormat="1" ht="16.5" customHeight="1" x14ac:dyDescent="0.2">
      <c r="A181" s="186">
        <v>0.25109999999999999</v>
      </c>
      <c r="B181" s="187">
        <v>0.29330000000000001</v>
      </c>
      <c r="C181" s="188">
        <v>0.68</v>
      </c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189">
        <v>0.31509999999999999</v>
      </c>
      <c r="O181" s="189">
        <v>0.6714</v>
      </c>
      <c r="P181" s="190">
        <v>0.83</v>
      </c>
      <c r="Q181" s="189">
        <v>0.69699999999999995</v>
      </c>
    </row>
    <row r="182" spans="1:17" s="37" customFormat="1" ht="16.5" customHeight="1" x14ac:dyDescent="0.2">
      <c r="A182" s="186">
        <v>0.25600000000000001</v>
      </c>
      <c r="B182" s="187">
        <v>0.29480000000000001</v>
      </c>
      <c r="C182" s="188">
        <v>0.69</v>
      </c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189">
        <v>0.31830000000000003</v>
      </c>
      <c r="O182" s="189">
        <v>0.68979999999999997</v>
      </c>
      <c r="P182" s="190">
        <v>0.84</v>
      </c>
      <c r="Q182" s="189">
        <v>0.70399999999999996</v>
      </c>
    </row>
    <row r="183" spans="1:17" s="37" customFormat="1" ht="16.5" customHeight="1" x14ac:dyDescent="0.2">
      <c r="A183" s="186">
        <v>0.26100000000000001</v>
      </c>
      <c r="B183" s="187">
        <v>0.29620000000000002</v>
      </c>
      <c r="C183" s="188">
        <v>0.7</v>
      </c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189">
        <v>0.32119999999999999</v>
      </c>
      <c r="O183" s="189">
        <v>0.71060000000000001</v>
      </c>
      <c r="P183" s="190">
        <v>0.85</v>
      </c>
      <c r="Q183" s="189">
        <v>0.71199999999999997</v>
      </c>
    </row>
    <row r="184" spans="1:17" s="37" customFormat="1" ht="16.5" customHeight="1" x14ac:dyDescent="0.2">
      <c r="A184" s="186">
        <v>0.26579999999999998</v>
      </c>
      <c r="B184" s="187">
        <v>0.29749999999999999</v>
      </c>
      <c r="C184" s="188">
        <v>0.71</v>
      </c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189">
        <v>0.32429999999999998</v>
      </c>
      <c r="O184" s="189">
        <v>0.72699999999999998</v>
      </c>
      <c r="P184" s="190">
        <v>0.86</v>
      </c>
      <c r="Q184" s="189">
        <v>0.71899999999999997</v>
      </c>
    </row>
    <row r="185" spans="1:17" s="37" customFormat="1" ht="16.5" customHeight="1" x14ac:dyDescent="0.2">
      <c r="A185" s="186">
        <v>0.27050000000000002</v>
      </c>
      <c r="B185" s="187">
        <v>0.29880000000000001</v>
      </c>
      <c r="C185" s="188">
        <v>0.72</v>
      </c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189">
        <v>0.32629999999999998</v>
      </c>
      <c r="O185" s="189">
        <v>0.75270000000000004</v>
      </c>
      <c r="P185" s="190">
        <v>0.87</v>
      </c>
      <c r="Q185" s="189">
        <v>0.72499999999999998</v>
      </c>
    </row>
    <row r="186" spans="1:17" s="37" customFormat="1" ht="16.5" customHeight="1" x14ac:dyDescent="0.2">
      <c r="A186" s="186">
        <v>0.2752</v>
      </c>
      <c r="B186" s="187">
        <v>0.29980000000000001</v>
      </c>
      <c r="C186" s="188">
        <v>0.73</v>
      </c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189">
        <v>0.32669999999999999</v>
      </c>
      <c r="O186" s="189">
        <v>0.77669999999999995</v>
      </c>
      <c r="P186" s="190">
        <v>0.88</v>
      </c>
      <c r="Q186" s="189">
        <v>0.73199999999999998</v>
      </c>
    </row>
    <row r="187" spans="1:17" s="37" customFormat="1" ht="16.5" customHeight="1" x14ac:dyDescent="0.2">
      <c r="A187" s="186">
        <v>0.27979999999999999</v>
      </c>
      <c r="B187" s="187">
        <v>0.30080000000000001</v>
      </c>
      <c r="C187" s="188">
        <v>0.74</v>
      </c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194">
        <v>0.33</v>
      </c>
      <c r="O187" s="194">
        <v>0.80169999999999997</v>
      </c>
      <c r="P187" s="195">
        <v>0.89</v>
      </c>
      <c r="Q187" s="194">
        <v>0.73799999999999999</v>
      </c>
    </row>
    <row r="188" spans="1:17" s="37" customFormat="1" ht="16.5" customHeight="1" x14ac:dyDescent="0.2">
      <c r="A188" s="186">
        <v>0.28420000000000001</v>
      </c>
      <c r="B188" s="187">
        <v>0.30170000000000002</v>
      </c>
      <c r="C188" s="188">
        <v>0.75</v>
      </c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6"/>
      <c r="Q188" s="35"/>
    </row>
    <row r="189" spans="1:17" s="37" customFormat="1" ht="16.5" customHeight="1" x14ac:dyDescent="0.2">
      <c r="A189" s="186">
        <v>0.28860000000000002</v>
      </c>
      <c r="B189" s="187">
        <v>0.3024</v>
      </c>
      <c r="C189" s="188">
        <v>0.76</v>
      </c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6"/>
      <c r="Q189" s="35"/>
    </row>
    <row r="190" spans="1:17" s="37" customFormat="1" ht="16.5" customHeight="1" x14ac:dyDescent="0.2">
      <c r="A190" s="186">
        <v>0.2928</v>
      </c>
      <c r="B190" s="187">
        <v>0.30309999999999998</v>
      </c>
      <c r="C190" s="188">
        <v>0.77</v>
      </c>
    </row>
    <row r="191" spans="1:17" s="37" customFormat="1" ht="16.5" customHeight="1" x14ac:dyDescent="0.2">
      <c r="A191" s="186">
        <v>0.2969</v>
      </c>
      <c r="B191" s="187">
        <v>0.30359999999999998</v>
      </c>
      <c r="C191" s="188">
        <v>0.78</v>
      </c>
    </row>
    <row r="192" spans="1:17" s="37" customFormat="1" ht="16.5" customHeight="1" x14ac:dyDescent="0.2">
      <c r="A192" s="186">
        <v>0.3009</v>
      </c>
      <c r="B192" s="187">
        <v>0.30399999999999999</v>
      </c>
      <c r="C192" s="188">
        <v>0.79</v>
      </c>
    </row>
    <row r="193" spans="1:3" s="37" customFormat="1" ht="16.5" customHeight="1" x14ac:dyDescent="0.2">
      <c r="A193" s="186">
        <v>0.30470000000000003</v>
      </c>
      <c r="B193" s="187">
        <v>0.30420000000000003</v>
      </c>
      <c r="C193" s="188">
        <v>0.8</v>
      </c>
    </row>
    <row r="194" spans="1:3" s="37" customFormat="1" ht="16.5" customHeight="1" x14ac:dyDescent="0.2">
      <c r="A194" s="186">
        <v>0.30830000000000002</v>
      </c>
      <c r="B194" s="187">
        <v>0.30430000000000001</v>
      </c>
      <c r="C194" s="188">
        <v>0.81</v>
      </c>
    </row>
    <row r="195" spans="1:3" s="37" customFormat="1" ht="16.5" customHeight="1" x14ac:dyDescent="0.2">
      <c r="A195" s="186">
        <v>0.31180000000000002</v>
      </c>
      <c r="B195" s="187">
        <v>0.30430000000000001</v>
      </c>
      <c r="C195" s="188">
        <v>0.82</v>
      </c>
    </row>
    <row r="196" spans="1:3" s="37" customFormat="1" ht="16.5" customHeight="1" x14ac:dyDescent="0.2">
      <c r="A196" s="186">
        <v>0.31509999999999999</v>
      </c>
      <c r="B196" s="187">
        <v>0.30409999999999998</v>
      </c>
      <c r="C196" s="188">
        <v>0.83</v>
      </c>
    </row>
    <row r="197" spans="1:3" s="37" customFormat="1" ht="16.5" customHeight="1" x14ac:dyDescent="0.2">
      <c r="A197" s="186">
        <v>0.31830000000000003</v>
      </c>
      <c r="B197" s="187">
        <v>0.30380000000000001</v>
      </c>
      <c r="C197" s="188">
        <v>0.84</v>
      </c>
    </row>
    <row r="198" spans="1:3" s="37" customFormat="1" ht="16.5" customHeight="1" x14ac:dyDescent="0.2">
      <c r="A198" s="186">
        <v>0.32119999999999999</v>
      </c>
      <c r="B198" s="187">
        <v>0.30330000000000001</v>
      </c>
      <c r="C198" s="188">
        <v>0.85</v>
      </c>
    </row>
    <row r="199" spans="1:3" s="37" customFormat="1" ht="16.5" customHeight="1" x14ac:dyDescent="0.2">
      <c r="A199" s="186">
        <v>0.32390000000000002</v>
      </c>
      <c r="B199" s="187">
        <v>0.30259999999999998</v>
      </c>
      <c r="C199" s="188">
        <v>0.86</v>
      </c>
    </row>
    <row r="200" spans="1:3" s="37" customFormat="1" ht="16.5" customHeight="1" x14ac:dyDescent="0.2">
      <c r="A200" s="186">
        <v>0.32640000000000002</v>
      </c>
      <c r="B200" s="187">
        <v>0.30180000000000001</v>
      </c>
      <c r="C200" s="188">
        <v>0.87</v>
      </c>
    </row>
    <row r="201" spans="1:3" s="37" customFormat="1" ht="16.5" customHeight="1" x14ac:dyDescent="0.2">
      <c r="A201" s="186">
        <v>0.3286</v>
      </c>
      <c r="B201" s="187">
        <v>0.30070000000000002</v>
      </c>
      <c r="C201" s="188">
        <v>0.88</v>
      </c>
    </row>
    <row r="202" spans="1:3" s="37" customFormat="1" ht="16.5" customHeight="1" x14ac:dyDescent="0.2">
      <c r="A202" s="186">
        <v>0.33050000000000002</v>
      </c>
      <c r="B202" s="187">
        <v>0.29949999999999999</v>
      </c>
      <c r="C202" s="188">
        <v>0.89</v>
      </c>
    </row>
    <row r="203" spans="1:3" s="37" customFormat="1" ht="16.5" customHeight="1" x14ac:dyDescent="0.2">
      <c r="A203" s="186">
        <v>0.3322</v>
      </c>
      <c r="B203" s="187">
        <v>0.29799999999999999</v>
      </c>
      <c r="C203" s="188">
        <v>0.9</v>
      </c>
    </row>
    <row r="204" spans="1:3" s="37" customFormat="1" ht="16.5" customHeight="1" x14ac:dyDescent="0.2">
      <c r="A204" s="186">
        <v>0.33350000000000002</v>
      </c>
      <c r="B204" s="187">
        <v>0.29630000000000001</v>
      </c>
      <c r="C204" s="188">
        <v>0.91</v>
      </c>
    </row>
    <row r="205" spans="1:3" s="37" customFormat="1" ht="16.5" customHeight="1" x14ac:dyDescent="0.2">
      <c r="A205" s="186">
        <v>0.33450000000000002</v>
      </c>
      <c r="B205" s="187">
        <v>0.2944</v>
      </c>
      <c r="C205" s="188">
        <v>0.92</v>
      </c>
    </row>
    <row r="206" spans="1:3" s="37" customFormat="1" ht="16.5" customHeight="1" x14ac:dyDescent="0.2">
      <c r="A206" s="186">
        <v>0.33510000000000001</v>
      </c>
      <c r="B206" s="187">
        <v>0.29210000000000003</v>
      </c>
      <c r="C206" s="188">
        <v>0.93</v>
      </c>
    </row>
    <row r="207" spans="1:3" s="37" customFormat="1" ht="16.5" customHeight="1" x14ac:dyDescent="0.2">
      <c r="A207" s="186">
        <v>0.33529999999999999</v>
      </c>
      <c r="B207" s="187">
        <v>0.28949999999999998</v>
      </c>
      <c r="C207" s="188">
        <v>0.94</v>
      </c>
    </row>
    <row r="208" spans="1:3" s="37" customFormat="1" ht="16.5" customHeight="1" x14ac:dyDescent="0.2">
      <c r="A208" s="186">
        <v>0.33489999999999998</v>
      </c>
      <c r="B208" s="187">
        <v>0.28649999999999998</v>
      </c>
      <c r="C208" s="188">
        <v>0.95</v>
      </c>
    </row>
    <row r="209" spans="1:112" s="37" customFormat="1" ht="16.5" customHeight="1" x14ac:dyDescent="0.2">
      <c r="A209" s="186">
        <v>0.33389999999999997</v>
      </c>
      <c r="B209" s="187">
        <v>0.28289999999999998</v>
      </c>
      <c r="C209" s="188">
        <v>0.96</v>
      </c>
      <c r="DH209" s="35"/>
    </row>
    <row r="210" spans="1:112" s="37" customFormat="1" ht="16.5" customHeight="1" x14ac:dyDescent="0.2">
      <c r="A210" s="186">
        <v>0.32219999999999999</v>
      </c>
      <c r="B210" s="187">
        <v>0.2787</v>
      </c>
      <c r="C210" s="188">
        <v>0.97</v>
      </c>
      <c r="DH210" s="35"/>
    </row>
    <row r="211" spans="1:112" s="37" customFormat="1" ht="16.5" customHeight="1" x14ac:dyDescent="0.2">
      <c r="A211" s="186">
        <v>0.32940000000000003</v>
      </c>
      <c r="B211" s="187">
        <v>0.27350000000000002</v>
      </c>
      <c r="C211" s="188">
        <v>0.98</v>
      </c>
      <c r="DH211" s="35"/>
    </row>
    <row r="212" spans="1:112" s="37" customFormat="1" ht="16.5" customHeight="1" x14ac:dyDescent="0.2">
      <c r="A212" s="186">
        <v>0.32479999999999998</v>
      </c>
      <c r="B212" s="187">
        <v>0.2666</v>
      </c>
      <c r="C212" s="188">
        <v>0.99</v>
      </c>
      <c r="DH212" s="35"/>
    </row>
    <row r="213" spans="1:112" s="37" customFormat="1" ht="16.5" customHeight="1" x14ac:dyDescent="0.2">
      <c r="A213" s="186">
        <v>0.31169999999999998</v>
      </c>
      <c r="B213" s="187">
        <v>0.25</v>
      </c>
      <c r="C213" s="188">
        <v>1</v>
      </c>
      <c r="DH213" s="35"/>
    </row>
  </sheetData>
  <mergeCells count="88">
    <mergeCell ref="AN11:AO11"/>
    <mergeCell ref="AE11:AE12"/>
    <mergeCell ref="T11:T12"/>
    <mergeCell ref="U11:U12"/>
    <mergeCell ref="V11:V12"/>
    <mergeCell ref="W11:W12"/>
    <mergeCell ref="X11:X12"/>
    <mergeCell ref="C11:C12"/>
    <mergeCell ref="D11:E11"/>
    <mergeCell ref="F11:F12"/>
    <mergeCell ref="G11:G12"/>
    <mergeCell ref="M11:M12"/>
    <mergeCell ref="B4:E4"/>
    <mergeCell ref="B5:E5"/>
    <mergeCell ref="G5:I5"/>
    <mergeCell ref="B10:AS10"/>
    <mergeCell ref="H11:H12"/>
    <mergeCell ref="I11:I12"/>
    <mergeCell ref="J11:J12"/>
    <mergeCell ref="K11:K12"/>
    <mergeCell ref="L11:L12"/>
    <mergeCell ref="Y11:Y12"/>
    <mergeCell ref="N11:N12"/>
    <mergeCell ref="O11:O12"/>
    <mergeCell ref="P11:P12"/>
    <mergeCell ref="Q11:Q12"/>
    <mergeCell ref="R11:R12"/>
    <mergeCell ref="S11:S12"/>
    <mergeCell ref="DG11:DG12"/>
    <mergeCell ref="AU37:AV37"/>
    <mergeCell ref="DA11:DA12"/>
    <mergeCell ref="CJ11:CN11"/>
    <mergeCell ref="CO11:CZ11"/>
    <mergeCell ref="AV11:AV12"/>
    <mergeCell ref="DF11:DF12"/>
    <mergeCell ref="BI11:BJ11"/>
    <mergeCell ref="AX11:BA11"/>
    <mergeCell ref="DB11:DB12"/>
    <mergeCell ref="DC11:DC12"/>
    <mergeCell ref="DD11:DD12"/>
    <mergeCell ref="BK11:BV11"/>
    <mergeCell ref="DE11:DE12"/>
    <mergeCell ref="BC35:BE35"/>
    <mergeCell ref="AW35:BB35"/>
    <mergeCell ref="CH11:CI11"/>
    <mergeCell ref="BB11:BC11"/>
    <mergeCell ref="BD11:BD12"/>
    <mergeCell ref="BE11:BE12"/>
    <mergeCell ref="BF11:BF12"/>
    <mergeCell ref="BG11:BH11"/>
    <mergeCell ref="A112:C112"/>
    <mergeCell ref="AT11:AT12"/>
    <mergeCell ref="AU11:AU13"/>
    <mergeCell ref="BW11:CA11"/>
    <mergeCell ref="CB11:CG11"/>
    <mergeCell ref="BC57:BE57"/>
    <mergeCell ref="BC51:BE51"/>
    <mergeCell ref="BC52:BE52"/>
    <mergeCell ref="BC46:BE46"/>
    <mergeCell ref="BC47:BE47"/>
    <mergeCell ref="BC50:BE50"/>
    <mergeCell ref="BC48:BE48"/>
    <mergeCell ref="BC49:BE49"/>
    <mergeCell ref="AF11:AF12"/>
    <mergeCell ref="AG11:AG12"/>
    <mergeCell ref="Z11:Z12"/>
    <mergeCell ref="AU38:AV38"/>
    <mergeCell ref="BC54:BE54"/>
    <mergeCell ref="BC63:BE63"/>
    <mergeCell ref="BC64:BE64"/>
    <mergeCell ref="A105:A106"/>
    <mergeCell ref="B105:C105"/>
    <mergeCell ref="DH11:DH12"/>
    <mergeCell ref="AU10:DH10"/>
    <mergeCell ref="B11:B12"/>
    <mergeCell ref="AV59:AW59"/>
    <mergeCell ref="AH11:AH12"/>
    <mergeCell ref="AI11:AJ11"/>
    <mergeCell ref="AK11:AM11"/>
    <mergeCell ref="AP11:AQ11"/>
    <mergeCell ref="AR11:AS11"/>
    <mergeCell ref="AC11:AC12"/>
    <mergeCell ref="AD11:AD12"/>
    <mergeCell ref="AU40:BH40"/>
    <mergeCell ref="AU41:AV42"/>
    <mergeCell ref="AA11:AA12"/>
    <mergeCell ref="AB11:AB12"/>
    <mergeCell ref="BC58:BE58"/>
  </mergeCells>
  <phoneticPr fontId="92" type="noConversion"/>
  <conditionalFormatting sqref="P14:P28">
    <cfRule type="cellIs" dxfId="6" priority="27" operator="greaterThan">
      <formula>0.05</formula>
    </cfRule>
    <cfRule type="cellIs" dxfId="5" priority="28" operator="lessThan">
      <formula>0.001</formula>
    </cfRule>
  </conditionalFormatting>
  <conditionalFormatting sqref="Z14:Z28">
    <cfRule type="cellIs" dxfId="4" priority="25" operator="lessThan">
      <formula>1</formula>
    </cfRule>
    <cfRule type="cellIs" dxfId="3" priority="26" operator="greaterThan">
      <formula>5</formula>
    </cfRule>
  </conditionalFormatting>
  <conditionalFormatting sqref="AH14:AH28">
    <cfRule type="cellIs" dxfId="2" priority="24" operator="lessThan">
      <formula>K14</formula>
    </cfRule>
    <cfRule type="cellIs" dxfId="1" priority="29" operator="lessThan">
      <formula>$K14</formula>
    </cfRule>
  </conditionalFormatting>
  <conditionalFormatting sqref="AR14:AS28">
    <cfRule type="cellIs" dxfId="0" priority="1" operator="lessThan">
      <formula>0.5</formula>
    </cfRule>
  </conditionalFormatting>
  <printOptions horizontalCentered="1"/>
  <pageMargins left="0.51181102362204722" right="0.51181102362204722" top="3.5433070866141736" bottom="0.78740157480314965" header="0.31496062992125984" footer="0.31496062992125984"/>
  <pageSetup paperSize="8" scale="47" fitToHeight="0" orientation="landscape" r:id="rId1"/>
  <headerFooter>
    <oddHeader>&amp;L&amp;G&amp;R&amp;G</oddHeader>
  </headerFooter>
  <drawing r:id="rId2"/>
  <legacyDrawing r:id="rId3"/>
  <legacyDrawingHF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2:I23"/>
  <sheetViews>
    <sheetView showGridLines="0" zoomScaleNormal="100" zoomScaleSheetLayoutView="115" workbookViewId="0">
      <selection activeCell="D19" sqref="D19"/>
    </sheetView>
  </sheetViews>
  <sheetFormatPr defaultColWidth="10.6640625" defaultRowHeight="15" x14ac:dyDescent="0.25"/>
  <cols>
    <col min="1" max="1" width="10.6640625" style="645"/>
    <col min="2" max="2" width="26" style="645" customWidth="1"/>
    <col min="3" max="3" width="17.6640625" style="645" customWidth="1"/>
    <col min="4" max="4" width="16.5" style="645" bestFit="1" customWidth="1"/>
    <col min="5" max="5" width="17.5" style="645" bestFit="1" customWidth="1"/>
    <col min="6" max="6" width="15.83203125" style="645" bestFit="1" customWidth="1"/>
    <col min="7" max="7" width="14.5" style="645" hidden="1" customWidth="1"/>
    <col min="8" max="8" width="5.83203125" style="645" bestFit="1" customWidth="1"/>
    <col min="9" max="9" width="7" style="645" hidden="1" customWidth="1"/>
    <col min="10" max="11" width="0" style="645" hidden="1" customWidth="1"/>
    <col min="12" max="13" width="10.6640625" style="645"/>
    <col min="14" max="14" width="40.5" style="645" customWidth="1"/>
    <col min="15" max="15" width="29.1640625" style="645" customWidth="1"/>
    <col min="16" max="16" width="11.5" style="645" bestFit="1" customWidth="1"/>
    <col min="17" max="16384" width="10.6640625" style="645"/>
  </cols>
  <sheetData>
    <row r="2" spans="2:9" x14ac:dyDescent="0.25">
      <c r="B2" s="1178" t="s">
        <v>1379</v>
      </c>
      <c r="C2" s="1178"/>
      <c r="D2" s="644"/>
    </row>
    <row r="3" spans="2:9" ht="28.5" customHeight="1" x14ac:dyDescent="0.25">
      <c r="B3" s="1179" t="s">
        <v>1367</v>
      </c>
      <c r="C3" s="1180"/>
      <c r="D3" s="644"/>
    </row>
    <row r="4" spans="2:9" x14ac:dyDescent="0.25">
      <c r="B4" s="1181">
        <f>13*11.2</f>
        <v>145.6</v>
      </c>
      <c r="C4" s="1181"/>
      <c r="D4" s="644"/>
      <c r="I4" s="645" t="s">
        <v>1368</v>
      </c>
    </row>
    <row r="5" spans="2:9" hidden="1" x14ac:dyDescent="0.25">
      <c r="B5" s="644"/>
      <c r="C5" s="644"/>
      <c r="D5" s="644"/>
    </row>
    <row r="6" spans="2:9" hidden="1" x14ac:dyDescent="0.25">
      <c r="B6" s="1178" t="s">
        <v>1369</v>
      </c>
      <c r="C6" s="1178"/>
      <c r="D6" s="644"/>
    </row>
    <row r="7" spans="2:9" ht="28.5" hidden="1" customHeight="1" x14ac:dyDescent="0.25">
      <c r="B7" s="1179" t="s">
        <v>1367</v>
      </c>
      <c r="C7" s="1180"/>
      <c r="D7" s="644"/>
    </row>
    <row r="8" spans="2:9" hidden="1" x14ac:dyDescent="0.25">
      <c r="B8" s="1181"/>
      <c r="C8" s="1181"/>
      <c r="D8" s="644"/>
      <c r="I8" s="645" t="s">
        <v>1368</v>
      </c>
    </row>
    <row r="9" spans="2:9" hidden="1" x14ac:dyDescent="0.25">
      <c r="B9" s="644"/>
      <c r="C9" s="644"/>
      <c r="D9" s="644"/>
    </row>
    <row r="10" spans="2:9" hidden="1" x14ac:dyDescent="0.25">
      <c r="B10" s="1182" t="s">
        <v>1370</v>
      </c>
      <c r="C10" s="1182"/>
      <c r="D10" s="1182"/>
    </row>
    <row r="11" spans="2:9" ht="15.75" hidden="1" customHeight="1" x14ac:dyDescent="0.25">
      <c r="B11" s="1183"/>
      <c r="C11" s="1183"/>
      <c r="D11" s="1183"/>
    </row>
    <row r="12" spans="2:9" hidden="1" x14ac:dyDescent="0.25">
      <c r="B12" s="646"/>
      <c r="C12" s="646"/>
      <c r="D12" s="644"/>
    </row>
    <row r="13" spans="2:9" hidden="1" x14ac:dyDescent="0.25">
      <c r="B13" s="1184" t="s">
        <v>1371</v>
      </c>
      <c r="C13" s="1184"/>
      <c r="D13" s="1184"/>
    </row>
    <row r="14" spans="2:9" hidden="1" x14ac:dyDescent="0.25">
      <c r="B14" s="1177"/>
      <c r="C14" s="1177"/>
      <c r="D14" s="1177"/>
    </row>
    <row r="15" spans="2:9" hidden="1" x14ac:dyDescent="0.25">
      <c r="B15" s="1184" t="s">
        <v>1372</v>
      </c>
      <c r="C15" s="1184"/>
      <c r="D15" s="1184"/>
    </row>
    <row r="16" spans="2:9" hidden="1" x14ac:dyDescent="0.25">
      <c r="B16" s="1177"/>
      <c r="C16" s="1177"/>
      <c r="D16" s="1177"/>
    </row>
    <row r="18" spans="2:5" x14ac:dyDescent="0.25">
      <c r="B18" s="647" t="s">
        <v>1373</v>
      </c>
      <c r="C18" s="648"/>
      <c r="D18" s="891">
        <f>TRUNC((B4*0.23),2)</f>
        <v>33.479999999999997</v>
      </c>
      <c r="E18" s="649" t="s">
        <v>2</v>
      </c>
    </row>
    <row r="19" spans="2:5" x14ac:dyDescent="0.25">
      <c r="B19" s="650" t="s">
        <v>1374</v>
      </c>
      <c r="C19" s="644"/>
      <c r="D19" s="892">
        <f>TRUNC((D18*D22*1.2),2)</f>
        <v>731.2</v>
      </c>
      <c r="E19" s="651" t="s">
        <v>5</v>
      </c>
    </row>
    <row r="20" spans="2:5" ht="16.5" hidden="1" customHeight="1" x14ac:dyDescent="0.25">
      <c r="B20" s="650" t="s">
        <v>1375</v>
      </c>
      <c r="C20" s="644"/>
      <c r="D20" s="892"/>
      <c r="E20" s="651" t="s">
        <v>35</v>
      </c>
    </row>
    <row r="21" spans="2:5" hidden="1" x14ac:dyDescent="0.25">
      <c r="B21" s="650" t="s">
        <v>1376</v>
      </c>
      <c r="C21" s="644"/>
      <c r="D21" s="892"/>
      <c r="E21" s="651" t="s">
        <v>5</v>
      </c>
    </row>
    <row r="22" spans="2:5" x14ac:dyDescent="0.25">
      <c r="B22" s="652" t="s">
        <v>1377</v>
      </c>
      <c r="C22" s="644"/>
      <c r="D22" s="892">
        <f>DMT!F9</f>
        <v>18.2</v>
      </c>
      <c r="E22" s="651" t="s">
        <v>34</v>
      </c>
    </row>
    <row r="23" spans="2:5" x14ac:dyDescent="0.25">
      <c r="B23" s="653" t="s">
        <v>1378</v>
      </c>
      <c r="C23" s="646"/>
      <c r="D23" s="893">
        <f>DMT!F13</f>
        <v>4.5999999999999996</v>
      </c>
      <c r="E23" s="654" t="s">
        <v>34</v>
      </c>
    </row>
  </sheetData>
  <mergeCells count="12">
    <mergeCell ref="B16:D16"/>
    <mergeCell ref="B2:C2"/>
    <mergeCell ref="B3:C3"/>
    <mergeCell ref="B4:C4"/>
    <mergeCell ref="B6:C6"/>
    <mergeCell ref="B7:C7"/>
    <mergeCell ref="B8:C8"/>
    <mergeCell ref="B10:D10"/>
    <mergeCell ref="B11:D11"/>
    <mergeCell ref="B13:D13"/>
    <mergeCell ref="B14:D14"/>
    <mergeCell ref="B15:D15"/>
  </mergeCells>
  <printOptions horizontalCentered="1"/>
  <pageMargins left="0.51181102362204722" right="0.51181102362204722" top="0.98425196850393704" bottom="0.78740157480314965" header="0.31496062992125984" footer="0.31496062992125984"/>
  <pageSetup paperSize="9" orientation="portrait" r:id="rId1"/>
  <headerFooter>
    <oddHeader>&amp;L&amp;G&amp;R&amp;G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2060"/>
    <pageSetUpPr fitToPage="1"/>
  </sheetPr>
  <dimension ref="A2:L45"/>
  <sheetViews>
    <sheetView showGridLines="0" view="pageBreakPreview" zoomScaleNormal="90" zoomScaleSheetLayoutView="100" workbookViewId="0">
      <selection activeCell="K33" sqref="K33"/>
    </sheetView>
  </sheetViews>
  <sheetFormatPr defaultColWidth="9.33203125" defaultRowHeight="16.5" customHeight="1" x14ac:dyDescent="0.2"/>
  <cols>
    <col min="1" max="1" width="5" style="22" customWidth="1"/>
    <col min="2" max="2" width="63.5" style="23" customWidth="1"/>
    <col min="3" max="11" width="18.1640625" style="22" customWidth="1"/>
    <col min="12" max="12" width="21.5" style="22" hidden="1" customWidth="1"/>
    <col min="13" max="13" width="10.6640625" style="22" customWidth="1"/>
    <col min="14" max="16384" width="9.33203125" style="22"/>
  </cols>
  <sheetData>
    <row r="2" spans="1:12" s="24" customFormat="1" ht="34.5" customHeight="1" x14ac:dyDescent="0.2">
      <c r="B2" s="1185" t="s">
        <v>293</v>
      </c>
      <c r="C2" s="1185"/>
      <c r="D2" s="1185"/>
      <c r="E2" s="1185"/>
      <c r="F2" s="1185"/>
      <c r="G2" s="1185"/>
      <c r="H2" s="1185"/>
      <c r="I2" s="1185"/>
      <c r="J2" s="1185"/>
      <c r="K2" s="1185"/>
      <c r="L2" s="1185"/>
    </row>
    <row r="3" spans="1:12" s="25" customFormat="1" ht="72.75" customHeight="1" x14ac:dyDescent="0.2">
      <c r="B3" s="701" t="s">
        <v>218</v>
      </c>
      <c r="C3" s="701" t="s">
        <v>157</v>
      </c>
      <c r="D3" s="701" t="s">
        <v>158</v>
      </c>
      <c r="E3" s="701" t="s">
        <v>219</v>
      </c>
      <c r="F3" s="480" t="s">
        <v>1047</v>
      </c>
      <c r="G3" s="480" t="s">
        <v>1048</v>
      </c>
      <c r="H3" s="701" t="s">
        <v>1317</v>
      </c>
      <c r="I3" s="701" t="s">
        <v>1316</v>
      </c>
      <c r="J3" s="701" t="s">
        <v>220</v>
      </c>
      <c r="K3" s="701" t="s">
        <v>221</v>
      </c>
      <c r="L3" s="701" t="s">
        <v>1472</v>
      </c>
    </row>
    <row r="4" spans="1:12" ht="20.100000000000001" customHeight="1" x14ac:dyDescent="0.2">
      <c r="A4" s="1186"/>
      <c r="B4" s="633" t="s">
        <v>222</v>
      </c>
      <c r="C4" s="634">
        <v>18</v>
      </c>
      <c r="D4" s="634" t="s">
        <v>213</v>
      </c>
      <c r="E4" s="634">
        <f>TRUNC(0.729*0.5872,2)</f>
        <v>0.42</v>
      </c>
      <c r="F4" s="702">
        <v>0</v>
      </c>
      <c r="G4" s="634">
        <f t="shared" ref="G4:G6" si="0">F4*0.0012</f>
        <v>0</v>
      </c>
      <c r="H4" s="634">
        <f>G4*(30)</f>
        <v>0</v>
      </c>
      <c r="I4" s="634">
        <f>IF($D$36&gt;30,(($D$36-30)*H4),0)</f>
        <v>0</v>
      </c>
      <c r="J4" s="634">
        <f t="shared" ref="J4:J32" si="1">TRUNC(C4*E4,2)</f>
        <v>7.56</v>
      </c>
      <c r="K4" s="634">
        <f>TRUNC(J4*$D$35,2)</f>
        <v>137.59</v>
      </c>
      <c r="L4" s="634">
        <f>TRUNC(J4*($D$35-30),2)</f>
        <v>-89.2</v>
      </c>
    </row>
    <row r="5" spans="1:12" ht="20.100000000000001" customHeight="1" x14ac:dyDescent="0.2">
      <c r="A5" s="1186"/>
      <c r="B5" s="633" t="s">
        <v>223</v>
      </c>
      <c r="C5" s="634">
        <v>20</v>
      </c>
      <c r="D5" s="634" t="s">
        <v>213</v>
      </c>
      <c r="E5" s="634">
        <f>TRUNC(1.272*0.5872,2)</f>
        <v>0.74</v>
      </c>
      <c r="F5" s="634">
        <v>0</v>
      </c>
      <c r="G5" s="634">
        <f t="shared" si="0"/>
        <v>0</v>
      </c>
      <c r="H5" s="634">
        <f t="shared" ref="H5:H6" si="2">G5*(30)</f>
        <v>0</v>
      </c>
      <c r="I5" s="634">
        <f>IF($D$36&gt;30,(($D$36-30)*H5),0)</f>
        <v>0</v>
      </c>
      <c r="J5" s="634">
        <f t="shared" si="1"/>
        <v>14.8</v>
      </c>
      <c r="K5" s="634">
        <f t="shared" ref="K5:K6" si="3">TRUNC(J5*$D$35,2)</f>
        <v>269.36</v>
      </c>
      <c r="L5" s="634">
        <f>TRUNC(J5*$D$35,2)</f>
        <v>269.36</v>
      </c>
    </row>
    <row r="6" spans="1:12" ht="20.25" customHeight="1" x14ac:dyDescent="0.2">
      <c r="A6" s="1186"/>
      <c r="B6" s="633" t="s">
        <v>224</v>
      </c>
      <c r="C6" s="634">
        <v>14</v>
      </c>
      <c r="D6" s="634" t="s">
        <v>213</v>
      </c>
      <c r="E6" s="634">
        <f>TRUNC(1.815*0.5872,2)</f>
        <v>1.06</v>
      </c>
      <c r="F6" s="634">
        <v>0</v>
      </c>
      <c r="G6" s="634">
        <f t="shared" si="0"/>
        <v>0</v>
      </c>
      <c r="H6" s="634">
        <f t="shared" si="2"/>
        <v>0</v>
      </c>
      <c r="I6" s="634">
        <f>IF($D$36&gt;30,(($D$36-30)*H6),0)</f>
        <v>0</v>
      </c>
      <c r="J6" s="634">
        <f t="shared" si="1"/>
        <v>14.84</v>
      </c>
      <c r="K6" s="634">
        <f t="shared" si="3"/>
        <v>270.08</v>
      </c>
      <c r="L6" s="634">
        <f>TRUNC(J6*$D$35,2)</f>
        <v>270.08</v>
      </c>
    </row>
    <row r="7" spans="1:12" ht="20.100000000000001" hidden="1" customHeight="1" x14ac:dyDescent="0.2">
      <c r="A7" s="1186"/>
      <c r="B7" s="633" t="s">
        <v>239</v>
      </c>
      <c r="C7" s="634">
        <v>0</v>
      </c>
      <c r="D7" s="634" t="s">
        <v>213</v>
      </c>
      <c r="E7" s="634">
        <f>TRUNC(0.702*0.5872,2)</f>
        <v>0.41</v>
      </c>
      <c r="F7" s="634"/>
      <c r="G7" s="634"/>
      <c r="H7" s="634"/>
      <c r="I7" s="634"/>
      <c r="J7" s="634">
        <f t="shared" si="1"/>
        <v>0</v>
      </c>
      <c r="K7" s="634"/>
      <c r="L7" s="634">
        <f t="shared" ref="L7:L31" si="4">TRUNC(J7*30,2)</f>
        <v>0</v>
      </c>
    </row>
    <row r="8" spans="1:12" ht="20.100000000000001" hidden="1" customHeight="1" x14ac:dyDescent="0.2">
      <c r="A8" s="1186"/>
      <c r="B8" s="633" t="s">
        <v>240</v>
      </c>
      <c r="C8" s="634">
        <v>0</v>
      </c>
      <c r="D8" s="634" t="s">
        <v>213</v>
      </c>
      <c r="E8" s="634"/>
      <c r="F8" s="634"/>
      <c r="G8" s="634"/>
      <c r="H8" s="634"/>
      <c r="I8" s="634"/>
      <c r="J8" s="634">
        <f t="shared" si="1"/>
        <v>0</v>
      </c>
      <c r="K8" s="634"/>
      <c r="L8" s="634">
        <f t="shared" si="4"/>
        <v>0</v>
      </c>
    </row>
    <row r="9" spans="1:12" ht="20.25" customHeight="1" x14ac:dyDescent="0.2">
      <c r="A9" s="1186"/>
      <c r="B9" s="633" t="s">
        <v>225</v>
      </c>
      <c r="C9" s="634">
        <v>17</v>
      </c>
      <c r="D9" s="634" t="s">
        <v>213</v>
      </c>
      <c r="E9" s="634">
        <f>TRUNC((1.74*0.5792)+(0.64*0.5872)+(1.023*1.1),2)</f>
        <v>2.5</v>
      </c>
      <c r="F9" s="634">
        <v>0</v>
      </c>
      <c r="G9" s="634">
        <f t="shared" ref="G9" si="5">F9*0.0012</f>
        <v>0</v>
      </c>
      <c r="H9" s="634">
        <f>G9*(30)</f>
        <v>0</v>
      </c>
      <c r="I9" s="634">
        <f>IF($D$36&gt;30,(($D$36-30)*H9),0)</f>
        <v>0</v>
      </c>
      <c r="J9" s="634">
        <f t="shared" si="1"/>
        <v>42.5</v>
      </c>
      <c r="K9" s="634">
        <f>TRUNC(J9*$D$35,2)</f>
        <v>773.5</v>
      </c>
      <c r="L9" s="634">
        <f t="shared" ref="L9" si="6">TRUNC(J9*$D$35,2)</f>
        <v>773.5</v>
      </c>
    </row>
    <row r="10" spans="1:12" ht="20.100000000000001" hidden="1" customHeight="1" x14ac:dyDescent="0.2">
      <c r="A10" s="1186"/>
      <c r="B10" s="633" t="s">
        <v>226</v>
      </c>
      <c r="C10" s="634">
        <v>0</v>
      </c>
      <c r="D10" s="634" t="s">
        <v>213</v>
      </c>
      <c r="E10" s="634">
        <f>TRUNC((2.27*0.5792)+(0.83*0.5872)+(1.24*1.1),2)</f>
        <v>3.16</v>
      </c>
      <c r="F10" s="634"/>
      <c r="G10" s="634"/>
      <c r="H10" s="634"/>
      <c r="I10" s="634"/>
      <c r="J10" s="634">
        <f t="shared" si="1"/>
        <v>0</v>
      </c>
      <c r="K10" s="634"/>
      <c r="L10" s="634">
        <f t="shared" si="4"/>
        <v>0</v>
      </c>
    </row>
    <row r="11" spans="1:12" ht="20.100000000000001" hidden="1" customHeight="1" x14ac:dyDescent="0.2">
      <c r="A11" s="1186"/>
      <c r="B11" s="633" t="s">
        <v>227</v>
      </c>
      <c r="C11" s="634">
        <v>0</v>
      </c>
      <c r="D11" s="634" t="s">
        <v>213</v>
      </c>
      <c r="E11" s="634">
        <f>TRUNC((2.86*0.5792)+(1.05*0.5872)+(1.59*1.1),2)</f>
        <v>4.0199999999999996</v>
      </c>
      <c r="F11" s="634"/>
      <c r="G11" s="634"/>
      <c r="H11" s="634"/>
      <c r="I11" s="634"/>
      <c r="J11" s="634">
        <f t="shared" si="1"/>
        <v>0</v>
      </c>
      <c r="K11" s="634"/>
      <c r="L11" s="634">
        <f t="shared" si="4"/>
        <v>0</v>
      </c>
    </row>
    <row r="12" spans="1:12" ht="20.100000000000001" hidden="1" customHeight="1" x14ac:dyDescent="0.2">
      <c r="A12" s="1186"/>
      <c r="B12" s="633" t="s">
        <v>228</v>
      </c>
      <c r="C12" s="634">
        <v>0</v>
      </c>
      <c r="D12" s="634" t="s">
        <v>213</v>
      </c>
      <c r="E12" s="634">
        <f>TRUNC((3.98*0.5792)+(1.46*0.5872)+(2.11*1.1),2)</f>
        <v>5.48</v>
      </c>
      <c r="F12" s="634"/>
      <c r="G12" s="634"/>
      <c r="H12" s="634"/>
      <c r="I12" s="634"/>
      <c r="J12" s="634">
        <f t="shared" si="1"/>
        <v>0</v>
      </c>
      <c r="K12" s="634"/>
      <c r="L12" s="634">
        <f t="shared" si="4"/>
        <v>0</v>
      </c>
    </row>
    <row r="13" spans="1:12" ht="20.100000000000001" hidden="1" customHeight="1" x14ac:dyDescent="0.2">
      <c r="A13" s="1186"/>
      <c r="B13" s="633" t="s">
        <v>229</v>
      </c>
      <c r="C13" s="634">
        <v>0</v>
      </c>
      <c r="D13" s="634" t="s">
        <v>213</v>
      </c>
      <c r="E13" s="634">
        <f>TRUNC((5.18*0.5792)+(1.9*0.5872)+(2.65*1.1),2)</f>
        <v>7.03</v>
      </c>
      <c r="F13" s="634"/>
      <c r="G13" s="634"/>
      <c r="H13" s="634"/>
      <c r="I13" s="634"/>
      <c r="J13" s="634">
        <f t="shared" si="1"/>
        <v>0</v>
      </c>
      <c r="K13" s="634"/>
      <c r="L13" s="634">
        <f t="shared" si="4"/>
        <v>0</v>
      </c>
    </row>
    <row r="14" spans="1:12" ht="20.100000000000001" customHeight="1" x14ac:dyDescent="0.2">
      <c r="A14" s="26"/>
      <c r="B14" s="633" t="s">
        <v>1402</v>
      </c>
      <c r="C14" s="634">
        <f>C4+C5*2+C6*3</f>
        <v>100</v>
      </c>
      <c r="D14" s="634" t="s">
        <v>213</v>
      </c>
      <c r="E14" s="634">
        <v>0</v>
      </c>
      <c r="F14" s="634">
        <v>0</v>
      </c>
      <c r="G14" s="634">
        <v>0</v>
      </c>
      <c r="H14" s="634">
        <v>0</v>
      </c>
      <c r="I14" s="634">
        <v>0</v>
      </c>
      <c r="J14" s="634">
        <v>0</v>
      </c>
      <c r="K14" s="634">
        <f t="shared" ref="K14:K17" si="7">TRUNC(J14*$D$35,2)</f>
        <v>0</v>
      </c>
      <c r="L14" s="634">
        <v>0</v>
      </c>
    </row>
    <row r="15" spans="1:12" ht="20.25" customHeight="1" x14ac:dyDescent="0.2">
      <c r="A15" s="26"/>
      <c r="B15" s="633" t="s">
        <v>230</v>
      </c>
      <c r="C15" s="634">
        <f>DRENAGEM!DH30</f>
        <v>13.200000000000003</v>
      </c>
      <c r="D15" s="634" t="s">
        <v>3</v>
      </c>
      <c r="E15" s="634">
        <v>0</v>
      </c>
      <c r="F15" s="634">
        <v>0</v>
      </c>
      <c r="G15" s="634">
        <f t="shared" ref="G15:G16" si="8">F15*0.0012</f>
        <v>0</v>
      </c>
      <c r="H15" s="634">
        <f t="shared" ref="H15:H16" si="9">G15*(30)</f>
        <v>0</v>
      </c>
      <c r="I15" s="634">
        <f>IF($D$36&gt;30,(($D$36-30)*H15),0)</f>
        <v>0</v>
      </c>
      <c r="J15" s="634">
        <f t="shared" si="1"/>
        <v>0</v>
      </c>
      <c r="K15" s="634">
        <f t="shared" si="7"/>
        <v>0</v>
      </c>
      <c r="L15" s="634">
        <f t="shared" ref="L15:L17" si="10">TRUNC(J15*$D$35,2)</f>
        <v>0</v>
      </c>
    </row>
    <row r="16" spans="1:12" ht="20.25" customHeight="1" x14ac:dyDescent="0.2">
      <c r="A16" s="26"/>
      <c r="B16" s="633" t="s">
        <v>231</v>
      </c>
      <c r="C16" s="634">
        <v>16</v>
      </c>
      <c r="D16" s="634" t="s">
        <v>213</v>
      </c>
      <c r="E16" s="634">
        <v>0</v>
      </c>
      <c r="F16" s="634">
        <v>0</v>
      </c>
      <c r="G16" s="634">
        <f t="shared" si="8"/>
        <v>0</v>
      </c>
      <c r="H16" s="634">
        <f t="shared" si="9"/>
        <v>0</v>
      </c>
      <c r="I16" s="634">
        <f>IF($D$36&gt;30,(($D$36-30)*H16),0)</f>
        <v>0</v>
      </c>
      <c r="J16" s="634">
        <f t="shared" si="1"/>
        <v>0</v>
      </c>
      <c r="K16" s="634">
        <f t="shared" si="7"/>
        <v>0</v>
      </c>
      <c r="L16" s="634">
        <f t="shared" si="10"/>
        <v>0</v>
      </c>
    </row>
    <row r="17" spans="1:12" ht="20.25" customHeight="1" x14ac:dyDescent="0.2">
      <c r="A17" s="26"/>
      <c r="B17" s="633" t="s">
        <v>1314</v>
      </c>
      <c r="C17" s="634">
        <v>22</v>
      </c>
      <c r="D17" s="634" t="s">
        <v>213</v>
      </c>
      <c r="E17" s="634">
        <v>0</v>
      </c>
      <c r="F17" s="634">
        <f>0.53*C17</f>
        <v>11.66</v>
      </c>
      <c r="G17" s="634">
        <f>F17*0.0012</f>
        <v>1.3991999999999999E-2</v>
      </c>
      <c r="H17" s="634">
        <f>G17*(30)</f>
        <v>0.41975999999999997</v>
      </c>
      <c r="I17" s="634">
        <f>IF($D$36&gt;30,(($D$36-30)*H17),0)</f>
        <v>129.28608</v>
      </c>
      <c r="J17" s="634">
        <f t="shared" si="1"/>
        <v>0</v>
      </c>
      <c r="K17" s="634">
        <f t="shared" si="7"/>
        <v>0</v>
      </c>
      <c r="L17" s="634">
        <f t="shared" si="10"/>
        <v>0</v>
      </c>
    </row>
    <row r="18" spans="1:12" ht="20.100000000000001" hidden="1" customHeight="1" x14ac:dyDescent="0.2">
      <c r="A18" s="26"/>
      <c r="B18" s="633" t="s">
        <v>241</v>
      </c>
      <c r="C18" s="634">
        <v>0</v>
      </c>
      <c r="D18" s="634" t="s">
        <v>213</v>
      </c>
      <c r="E18" s="634">
        <f>TRUNC(6.2*0.5934,2)</f>
        <v>3.67</v>
      </c>
      <c r="F18" s="634"/>
      <c r="G18" s="634"/>
      <c r="H18" s="634"/>
      <c r="I18" s="634"/>
      <c r="J18" s="634">
        <f t="shared" si="1"/>
        <v>0</v>
      </c>
      <c r="K18" s="634"/>
      <c r="L18" s="634">
        <f t="shared" si="4"/>
        <v>0</v>
      </c>
    </row>
    <row r="19" spans="1:12" ht="20.100000000000001" hidden="1" customHeight="1" x14ac:dyDescent="0.2">
      <c r="B19" s="633" t="s">
        <v>232</v>
      </c>
      <c r="C19" s="634">
        <v>0</v>
      </c>
      <c r="D19" s="634" t="s">
        <v>213</v>
      </c>
      <c r="E19" s="634">
        <f>TRUNC(1.35*0.5792,2)</f>
        <v>0.78</v>
      </c>
      <c r="F19" s="634"/>
      <c r="G19" s="634"/>
      <c r="H19" s="634"/>
      <c r="I19" s="634"/>
      <c r="J19" s="634">
        <f t="shared" si="1"/>
        <v>0</v>
      </c>
      <c r="K19" s="634"/>
      <c r="L19" s="634">
        <f t="shared" si="4"/>
        <v>0</v>
      </c>
    </row>
    <row r="20" spans="1:12" ht="20.100000000000001" hidden="1" customHeight="1" x14ac:dyDescent="0.2">
      <c r="B20" s="633" t="s">
        <v>233</v>
      </c>
      <c r="C20" s="634">
        <v>0</v>
      </c>
      <c r="D20" s="634" t="s">
        <v>213</v>
      </c>
      <c r="E20" s="634">
        <f>TRUNC(2.44*0.5792,2)</f>
        <v>1.41</v>
      </c>
      <c r="F20" s="634"/>
      <c r="G20" s="634"/>
      <c r="H20" s="634"/>
      <c r="I20" s="634"/>
      <c r="J20" s="634">
        <f t="shared" si="1"/>
        <v>0</v>
      </c>
      <c r="K20" s="634"/>
      <c r="L20" s="634">
        <f t="shared" si="4"/>
        <v>0</v>
      </c>
    </row>
    <row r="21" spans="1:12" ht="20.100000000000001" hidden="1" customHeight="1" x14ac:dyDescent="0.2">
      <c r="B21" s="633" t="s">
        <v>234</v>
      </c>
      <c r="C21" s="634">
        <v>0</v>
      </c>
      <c r="D21" s="634" t="s">
        <v>213</v>
      </c>
      <c r="E21" s="634">
        <f>TRUNC(3.41*0.5792,2)</f>
        <v>1.97</v>
      </c>
      <c r="F21" s="634"/>
      <c r="G21" s="634"/>
      <c r="H21" s="634"/>
      <c r="I21" s="634"/>
      <c r="J21" s="634">
        <f t="shared" si="1"/>
        <v>0</v>
      </c>
      <c r="K21" s="634"/>
      <c r="L21" s="634">
        <f t="shared" si="4"/>
        <v>0</v>
      </c>
    </row>
    <row r="22" spans="1:12" ht="20.100000000000001" hidden="1" customHeight="1" x14ac:dyDescent="0.2">
      <c r="B22" s="633" t="s">
        <v>211</v>
      </c>
      <c r="C22" s="634">
        <v>0</v>
      </c>
      <c r="D22" s="634" t="s">
        <v>213</v>
      </c>
      <c r="E22" s="634">
        <f>TRUNC((0.9*0.579)+(8.24*0.587)+(3.119*1.1),2)</f>
        <v>8.7799999999999994</v>
      </c>
      <c r="F22" s="634">
        <v>0</v>
      </c>
      <c r="G22" s="634">
        <f t="shared" ref="G22" si="11">F22*0.0012</f>
        <v>0</v>
      </c>
      <c r="H22" s="634">
        <f>G22*(30)</f>
        <v>0</v>
      </c>
      <c r="I22" s="634">
        <f>IF($D$36&gt;30,(($D$36-30)*H22),0)</f>
        <v>0</v>
      </c>
      <c r="J22" s="634">
        <f t="shared" si="1"/>
        <v>0</v>
      </c>
      <c r="K22" s="634"/>
      <c r="L22" s="634">
        <f>TRUNC(J22*$D$35,2)</f>
        <v>0</v>
      </c>
    </row>
    <row r="23" spans="1:12" ht="20.100000000000001" hidden="1" customHeight="1" x14ac:dyDescent="0.2">
      <c r="B23" s="633" t="s">
        <v>216</v>
      </c>
      <c r="C23" s="634">
        <v>0</v>
      </c>
      <c r="D23" s="634" t="s">
        <v>213</v>
      </c>
      <c r="E23" s="634">
        <f>TRUNC((1.3*0.579)+(12.48*0.587)+(4.039*1.1),2)</f>
        <v>12.52</v>
      </c>
      <c r="F23" s="634"/>
      <c r="G23" s="634"/>
      <c r="H23" s="634"/>
      <c r="I23" s="634"/>
      <c r="J23" s="634">
        <f t="shared" si="1"/>
        <v>0</v>
      </c>
      <c r="K23" s="634"/>
      <c r="L23" s="634">
        <f t="shared" si="4"/>
        <v>0</v>
      </c>
    </row>
    <row r="24" spans="1:12" ht="20.100000000000001" hidden="1" customHeight="1" x14ac:dyDescent="0.2">
      <c r="B24" s="633" t="s">
        <v>217</v>
      </c>
      <c r="C24" s="634">
        <v>0</v>
      </c>
      <c r="D24" s="634" t="s">
        <v>213</v>
      </c>
      <c r="E24" s="634">
        <f>TRUNC((1.8*0.579)+(17.6*0.587)+(5.024*1.1),2)</f>
        <v>16.89</v>
      </c>
      <c r="F24" s="634">
        <v>0</v>
      </c>
      <c r="G24" s="634">
        <f t="shared" ref="G24" si="12">F24*0.0012</f>
        <v>0</v>
      </c>
      <c r="H24" s="634">
        <f>G24*(30)</f>
        <v>0</v>
      </c>
      <c r="I24" s="634">
        <f>IF($D$36&gt;30,(($D$36-30)*H24),0)</f>
        <v>0</v>
      </c>
      <c r="J24" s="634">
        <f t="shared" si="1"/>
        <v>0</v>
      </c>
      <c r="K24" s="634"/>
      <c r="L24" s="634">
        <f>TRUNC(J24*$D$35,2)</f>
        <v>0</v>
      </c>
    </row>
    <row r="25" spans="1:12" ht="20.100000000000001" hidden="1" customHeight="1" x14ac:dyDescent="0.2">
      <c r="B25" s="633" t="s">
        <v>235</v>
      </c>
      <c r="C25" s="634">
        <v>0</v>
      </c>
      <c r="D25" s="634" t="s">
        <v>213</v>
      </c>
      <c r="E25" s="634">
        <f>TRUNC((2.4*0.579)+(23.72*0.587)+(6.116*1.1),2)</f>
        <v>22.04</v>
      </c>
      <c r="F25" s="634"/>
      <c r="G25" s="634"/>
      <c r="H25" s="634"/>
      <c r="I25" s="634"/>
      <c r="J25" s="634">
        <f t="shared" si="1"/>
        <v>0</v>
      </c>
      <c r="K25" s="634"/>
      <c r="L25" s="634">
        <f t="shared" si="4"/>
        <v>0</v>
      </c>
    </row>
    <row r="26" spans="1:12" ht="20.100000000000001" hidden="1" customHeight="1" x14ac:dyDescent="0.2">
      <c r="B26" s="633" t="s">
        <v>236</v>
      </c>
      <c r="C26" s="634">
        <v>0</v>
      </c>
      <c r="D26" s="634" t="s">
        <v>213</v>
      </c>
      <c r="E26" s="634">
        <f>TRUNC((3.7*0.579)+(39.14*0.587)+(8.694*1.1),2)</f>
        <v>34.68</v>
      </c>
      <c r="F26" s="634"/>
      <c r="G26" s="634"/>
      <c r="H26" s="634"/>
      <c r="I26" s="634"/>
      <c r="J26" s="634">
        <f t="shared" si="1"/>
        <v>0</v>
      </c>
      <c r="K26" s="634"/>
      <c r="L26" s="634">
        <f t="shared" si="4"/>
        <v>0</v>
      </c>
    </row>
    <row r="27" spans="1:12" s="27" customFormat="1" ht="20.25" customHeight="1" x14ac:dyDescent="0.2">
      <c r="B27" s="633" t="s">
        <v>237</v>
      </c>
      <c r="C27" s="634">
        <v>85</v>
      </c>
      <c r="D27" s="634" t="s">
        <v>3</v>
      </c>
      <c r="E27" s="634">
        <v>0</v>
      </c>
      <c r="F27" s="634">
        <v>0</v>
      </c>
      <c r="G27" s="634">
        <f t="shared" ref="G27" si="13">F27*0.0012</f>
        <v>0</v>
      </c>
      <c r="H27" s="634">
        <f>G27*(30)</f>
        <v>0</v>
      </c>
      <c r="I27" s="634">
        <f>IF($D$36&gt;30,(($D$36-30)*H27),0)</f>
        <v>0</v>
      </c>
      <c r="J27" s="634">
        <f t="shared" si="1"/>
        <v>0</v>
      </c>
      <c r="K27" s="634">
        <f>TRUNC(J27*$D$35,2)</f>
        <v>0</v>
      </c>
      <c r="L27" s="634">
        <f t="shared" ref="L27" si="14">TRUNC(J27*$D$35,2)</f>
        <v>0</v>
      </c>
    </row>
    <row r="28" spans="1:12" s="27" customFormat="1" ht="20.100000000000001" hidden="1" customHeight="1" x14ac:dyDescent="0.2">
      <c r="B28" s="633" t="s">
        <v>238</v>
      </c>
      <c r="C28" s="634">
        <v>0</v>
      </c>
      <c r="D28" s="634" t="s">
        <v>3</v>
      </c>
      <c r="E28" s="634">
        <f>TRUNC(0.03*0.5872,2)</f>
        <v>0.01</v>
      </c>
      <c r="F28" s="634"/>
      <c r="G28" s="634"/>
      <c r="H28" s="634"/>
      <c r="I28" s="634"/>
      <c r="J28" s="634">
        <f t="shared" si="1"/>
        <v>0</v>
      </c>
      <c r="K28" s="634"/>
      <c r="L28" s="634">
        <f t="shared" si="4"/>
        <v>0</v>
      </c>
    </row>
    <row r="29" spans="1:12" s="27" customFormat="1" ht="20.100000000000001" hidden="1" customHeight="1" x14ac:dyDescent="0.2">
      <c r="B29" s="633" t="s">
        <v>242</v>
      </c>
      <c r="C29" s="634">
        <v>0</v>
      </c>
      <c r="D29" s="634" t="s">
        <v>213</v>
      </c>
      <c r="E29" s="634">
        <f>TRUNC(0.14*0.5872,2)</f>
        <v>0.08</v>
      </c>
      <c r="F29" s="634"/>
      <c r="G29" s="634"/>
      <c r="H29" s="634"/>
      <c r="I29" s="634"/>
      <c r="J29" s="634">
        <f t="shared" si="1"/>
        <v>0</v>
      </c>
      <c r="K29" s="634"/>
      <c r="L29" s="634">
        <f t="shared" si="4"/>
        <v>0</v>
      </c>
    </row>
    <row r="30" spans="1:12" s="27" customFormat="1" ht="20.100000000000001" hidden="1" customHeight="1" x14ac:dyDescent="0.2">
      <c r="B30" s="633" t="s">
        <v>243</v>
      </c>
      <c r="C30" s="634">
        <v>0</v>
      </c>
      <c r="D30" s="634" t="s">
        <v>3</v>
      </c>
      <c r="E30" s="634">
        <f>TRUNC(0.137*0.5912,2)</f>
        <v>0.08</v>
      </c>
      <c r="F30" s="634"/>
      <c r="G30" s="634"/>
      <c r="H30" s="634"/>
      <c r="I30" s="634"/>
      <c r="J30" s="634">
        <f t="shared" si="1"/>
        <v>0</v>
      </c>
      <c r="K30" s="634"/>
      <c r="L30" s="634">
        <f t="shared" si="4"/>
        <v>0</v>
      </c>
    </row>
    <row r="31" spans="1:12" s="27" customFormat="1" ht="20.100000000000001" hidden="1" customHeight="1" x14ac:dyDescent="0.2">
      <c r="B31" s="633" t="s">
        <v>244</v>
      </c>
      <c r="C31" s="634">
        <v>0</v>
      </c>
      <c r="D31" s="634" t="s">
        <v>213</v>
      </c>
      <c r="E31" s="634">
        <f>TRUNC((0.42*0.5912)+0.21,2)</f>
        <v>0.45</v>
      </c>
      <c r="F31" s="634"/>
      <c r="G31" s="634"/>
      <c r="H31" s="634"/>
      <c r="I31" s="634"/>
      <c r="J31" s="634">
        <f t="shared" si="1"/>
        <v>0</v>
      </c>
      <c r="K31" s="634"/>
      <c r="L31" s="634">
        <f t="shared" si="4"/>
        <v>0</v>
      </c>
    </row>
    <row r="32" spans="1:12" s="27" customFormat="1" ht="30" x14ac:dyDescent="0.2">
      <c r="B32" s="633" t="s">
        <v>1466</v>
      </c>
      <c r="C32" s="634">
        <f>'DEMOLIÇÕES E RETIRADAS'!K7</f>
        <v>19.12</v>
      </c>
      <c r="D32" s="634" t="s">
        <v>1</v>
      </c>
      <c r="E32" s="634"/>
      <c r="F32" s="634"/>
      <c r="G32" s="634"/>
      <c r="H32" s="634"/>
      <c r="I32" s="634"/>
      <c r="J32" s="634">
        <f t="shared" si="1"/>
        <v>0</v>
      </c>
      <c r="K32" s="634">
        <f>TRUNC(J32*$D$35,2)</f>
        <v>0</v>
      </c>
      <c r="L32" s="634">
        <f t="shared" ref="L32" si="15">TRUNC(J32*$D$35,2)</f>
        <v>0</v>
      </c>
    </row>
    <row r="33" spans="2:12" s="27" customFormat="1" ht="21.75" customHeight="1" x14ac:dyDescent="0.2">
      <c r="B33" s="703" t="s">
        <v>30</v>
      </c>
      <c r="C33" s="704"/>
      <c r="D33" s="704"/>
      <c r="E33" s="704"/>
      <c r="F33" s="705">
        <f>ROUNDUP(SUM(F4:F27),2)</f>
        <v>11.66</v>
      </c>
      <c r="G33" s="705">
        <f>ROUNDUP(TRUNC(SUM(G4:G27),3),2)</f>
        <v>0.02</v>
      </c>
      <c r="H33" s="705">
        <f>TRUNC(SUM(H4:H27),2)</f>
        <v>0.41</v>
      </c>
      <c r="I33" s="705">
        <f>TRUNC(SUM(I4:I27),2)</f>
        <v>129.28</v>
      </c>
      <c r="J33" s="705">
        <f>TRUNC(SUM(J4:J32),2)</f>
        <v>79.7</v>
      </c>
      <c r="K33" s="705">
        <f>TRUNC(SUM(K4:K32),2)</f>
        <v>1450.53</v>
      </c>
      <c r="L33" s="714">
        <f>TRUNC(SUM(L4:L32),2)</f>
        <v>1223.74</v>
      </c>
    </row>
    <row r="35" spans="2:12" ht="16.5" customHeight="1" x14ac:dyDescent="0.2">
      <c r="C35" s="256" t="s">
        <v>126</v>
      </c>
      <c r="D35" s="204">
        <f>DMT!$F$9</f>
        <v>18.2</v>
      </c>
      <c r="E35" s="203" t="s">
        <v>34</v>
      </c>
      <c r="F35" s="203"/>
      <c r="G35" s="203"/>
      <c r="H35" s="203"/>
      <c r="I35" s="203"/>
      <c r="J35" s="28"/>
      <c r="K35" s="28"/>
      <c r="L35" s="28"/>
    </row>
    <row r="36" spans="2:12" ht="16.5" customHeight="1" x14ac:dyDescent="0.2">
      <c r="C36" s="256" t="s">
        <v>1318</v>
      </c>
      <c r="D36" s="616">
        <f>DMT!F7</f>
        <v>338</v>
      </c>
      <c r="E36" s="203" t="s">
        <v>34</v>
      </c>
    </row>
    <row r="37" spans="2:12" ht="16.5" customHeight="1" x14ac:dyDescent="0.2">
      <c r="C37" s="256" t="s">
        <v>1473</v>
      </c>
      <c r="D37" s="616">
        <f>DMT!F14</f>
        <v>763</v>
      </c>
      <c r="E37" s="203" t="s">
        <v>34</v>
      </c>
    </row>
    <row r="38" spans="2:12" ht="16.5" customHeight="1" x14ac:dyDescent="0.2">
      <c r="C38" s="712" t="s">
        <v>1474</v>
      </c>
      <c r="D38" s="894">
        <f>C14*0.04*30</f>
        <v>120</v>
      </c>
      <c r="E38" s="713" t="s">
        <v>1475</v>
      </c>
    </row>
    <row r="39" spans="2:12" ht="16.5" customHeight="1" x14ac:dyDescent="0.2">
      <c r="C39" s="712" t="s">
        <v>1476</v>
      </c>
      <c r="D39" s="894">
        <f>C14*0.04*(D37-30)</f>
        <v>2932</v>
      </c>
      <c r="E39" s="713" t="s">
        <v>1475</v>
      </c>
    </row>
    <row r="41" spans="2:12" ht="16.5" customHeight="1" x14ac:dyDescent="0.2">
      <c r="E41" s="340"/>
      <c r="F41" s="340"/>
      <c r="G41" s="340"/>
      <c r="H41" s="340"/>
      <c r="I41" s="340"/>
    </row>
    <row r="42" spans="2:12" ht="16.5" customHeight="1" x14ac:dyDescent="0.2">
      <c r="E42" s="340"/>
      <c r="F42" s="340"/>
      <c r="G42" s="340"/>
      <c r="H42" s="340"/>
      <c r="I42" s="340"/>
    </row>
    <row r="43" spans="2:12" ht="16.5" customHeight="1" x14ac:dyDescent="0.2">
      <c r="E43" s="340"/>
      <c r="F43" s="340"/>
      <c r="G43" s="340"/>
      <c r="H43" s="340"/>
      <c r="I43" s="340"/>
    </row>
    <row r="44" spans="2:12" ht="16.5" customHeight="1" x14ac:dyDescent="0.2">
      <c r="E44" s="340"/>
      <c r="F44" s="340"/>
      <c r="G44" s="340"/>
      <c r="H44" s="340"/>
      <c r="I44" s="340"/>
    </row>
    <row r="45" spans="2:12" ht="16.5" customHeight="1" x14ac:dyDescent="0.2">
      <c r="E45" s="340"/>
      <c r="F45" s="340"/>
      <c r="G45" s="340"/>
      <c r="H45" s="340"/>
      <c r="I45" s="340"/>
    </row>
  </sheetData>
  <autoFilter ref="B3:L33">
    <filterColumn colId="1">
      <filters blank="1">
        <filter val="13,20"/>
        <filter val="14,00"/>
        <filter val="16,00"/>
        <filter val="17,00"/>
        <filter val="18,00"/>
        <filter val="19,12"/>
        <filter val="20,00"/>
        <filter val="22,00"/>
        <filter val="85,00"/>
      </filters>
    </filterColumn>
  </autoFilter>
  <mergeCells count="2">
    <mergeCell ref="B2:L2"/>
    <mergeCell ref="A4:A13"/>
  </mergeCells>
  <pageMargins left="0.6692913385826772" right="0.51181102362204722" top="1.299212598425197" bottom="0.78740157480314965" header="0.31496062992125984" footer="0.31496062992125984"/>
  <pageSetup paperSize="9" scale="43" fitToHeight="0" orientation="portrait" r:id="rId1"/>
  <headerFooter>
    <oddHeader>&amp;L&amp;G&amp;R&amp;G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L29"/>
  <sheetViews>
    <sheetView showGridLines="0" topLeftCell="N3" zoomScale="90" zoomScaleNormal="90" zoomScaleSheetLayoutView="80" workbookViewId="0">
      <selection activeCell="AA17" sqref="AA17"/>
    </sheetView>
  </sheetViews>
  <sheetFormatPr defaultRowHeight="12.75" x14ac:dyDescent="0.2"/>
  <cols>
    <col min="1" max="1" width="3.6640625" style="29" customWidth="1"/>
    <col min="2" max="2" width="50.5" style="29" customWidth="1"/>
    <col min="3" max="3" width="7.33203125" style="474" customWidth="1"/>
    <col min="4" max="4" width="2.1640625" style="29" customWidth="1"/>
    <col min="5" max="5" width="8.6640625" style="475" customWidth="1"/>
    <col min="6" max="6" width="6.6640625" style="474" customWidth="1"/>
    <col min="7" max="7" width="2.33203125" style="474" customWidth="1"/>
    <col min="8" max="8" width="8" style="476" customWidth="1"/>
    <col min="9" max="9" width="11.6640625" style="477" customWidth="1"/>
    <col min="10" max="10" width="10.1640625" style="29" customWidth="1"/>
    <col min="11" max="11" width="14.1640625" style="29" bestFit="1" customWidth="1"/>
    <col min="12" max="12" width="19.1640625" style="29" customWidth="1"/>
    <col min="13" max="13" width="15.33203125" style="29" customWidth="1"/>
    <col min="14" max="14" width="14.83203125" style="29" customWidth="1"/>
    <col min="15" max="16" width="13.33203125" style="29" customWidth="1"/>
    <col min="17" max="18" width="18.33203125" style="29" customWidth="1"/>
    <col min="19" max="19" width="19" style="29" customWidth="1"/>
    <col min="20" max="20" width="17.6640625" style="29" customWidth="1"/>
    <col min="21" max="21" width="16.5" style="29" customWidth="1"/>
    <col min="22" max="22" width="23.5" style="29" customWidth="1"/>
    <col min="23" max="23" width="18.6640625" style="29" customWidth="1"/>
    <col min="24" max="24" width="24.1640625" style="29" customWidth="1"/>
    <col min="25" max="25" width="19.6640625" style="29" customWidth="1"/>
    <col min="26" max="26" width="21.1640625" style="29" customWidth="1"/>
    <col min="27" max="27" width="19.6640625" style="29" customWidth="1"/>
    <col min="28" max="28" width="9.83203125" style="29" customWidth="1"/>
    <col min="29" max="29" width="19.6640625" style="29" customWidth="1"/>
    <col min="30" max="31" width="14" style="29" customWidth="1"/>
    <col min="32" max="32" width="15" style="29" customWidth="1"/>
    <col min="33" max="33" width="15.83203125" style="29" hidden="1" customWidth="1"/>
    <col min="34" max="34" width="13.6640625" style="29" hidden="1" customWidth="1"/>
    <col min="35" max="35" width="13.33203125" style="29" hidden="1" customWidth="1"/>
    <col min="36" max="36" width="13.1640625" style="29" bestFit="1" customWidth="1"/>
    <col min="37" max="37" width="18.33203125" style="29" customWidth="1"/>
    <col min="38" max="38" width="9.33203125" style="29"/>
  </cols>
  <sheetData>
    <row r="1" spans="2:37" ht="13.5" thickBot="1" x14ac:dyDescent="0.25"/>
    <row r="2" spans="2:37" ht="30" customHeight="1" thickBot="1" x14ac:dyDescent="0.25">
      <c r="B2" s="1205" t="s">
        <v>1025</v>
      </c>
      <c r="C2" s="1206"/>
      <c r="D2" s="1206"/>
      <c r="E2" s="1206"/>
      <c r="F2" s="1206"/>
      <c r="G2" s="1206"/>
      <c r="H2" s="1206"/>
      <c r="I2" s="1206"/>
      <c r="J2" s="1206"/>
      <c r="K2" s="1206"/>
      <c r="L2" s="1206"/>
      <c r="M2" s="1206"/>
      <c r="N2" s="1206"/>
      <c r="O2" s="1206"/>
      <c r="P2" s="1206"/>
      <c r="Q2" s="1206"/>
      <c r="R2" s="1206"/>
      <c r="S2" s="1206"/>
      <c r="T2" s="1206"/>
      <c r="U2" s="1206"/>
      <c r="V2" s="1206"/>
      <c r="W2" s="1206"/>
      <c r="X2" s="1206"/>
      <c r="Y2" s="1206"/>
      <c r="Z2" s="1206"/>
      <c r="AA2" s="1206"/>
      <c r="AB2" s="1206"/>
      <c r="AC2" s="1206"/>
      <c r="AD2" s="1206"/>
      <c r="AE2" s="1206"/>
      <c r="AF2" s="1206"/>
      <c r="AG2" s="1206"/>
      <c r="AH2" s="1206"/>
      <c r="AI2" s="1206"/>
      <c r="AJ2" s="1206"/>
      <c r="AK2" s="1207"/>
    </row>
    <row r="3" spans="2:37" ht="21" customHeight="1" x14ac:dyDescent="0.2">
      <c r="B3" s="1208" t="s">
        <v>4</v>
      </c>
      <c r="C3" s="1211" t="s">
        <v>1026</v>
      </c>
      <c r="D3" s="1211"/>
      <c r="E3" s="1211"/>
      <c r="F3" s="1211"/>
      <c r="G3" s="1211"/>
      <c r="H3" s="1212"/>
      <c r="I3" s="1213" t="s">
        <v>1027</v>
      </c>
      <c r="J3" s="1216" t="s">
        <v>1028</v>
      </c>
      <c r="K3" s="1217"/>
      <c r="L3" s="1219" t="s">
        <v>1029</v>
      </c>
      <c r="M3" s="1220"/>
      <c r="N3" s="1217"/>
      <c r="O3" s="1223" t="s">
        <v>1030</v>
      </c>
      <c r="P3" s="1224"/>
      <c r="Q3" s="1223" t="s">
        <v>1031</v>
      </c>
      <c r="R3" s="1225"/>
      <c r="S3" s="1224"/>
      <c r="T3" s="1223" t="s">
        <v>1032</v>
      </c>
      <c r="U3" s="1225"/>
      <c r="V3" s="1225"/>
      <c r="W3" s="1224"/>
      <c r="X3" s="1200" t="s">
        <v>1033</v>
      </c>
      <c r="Y3" s="1201"/>
      <c r="Z3" s="1200" t="s">
        <v>1034</v>
      </c>
      <c r="AA3" s="1201"/>
      <c r="AB3" s="1200" t="s">
        <v>1035</v>
      </c>
      <c r="AC3" s="1202"/>
      <c r="AD3" s="1202"/>
      <c r="AE3" s="1201"/>
      <c r="AF3" s="1226" t="s">
        <v>1036</v>
      </c>
      <c r="AG3" s="1226"/>
      <c r="AH3" s="1226"/>
      <c r="AI3" s="1226"/>
      <c r="AJ3" s="1226"/>
      <c r="AK3" s="1227"/>
    </row>
    <row r="4" spans="2:37" ht="25.5" customHeight="1" x14ac:dyDescent="0.2">
      <c r="B4" s="1209"/>
      <c r="C4" s="1228" t="s">
        <v>1037</v>
      </c>
      <c r="D4" s="1228"/>
      <c r="E4" s="1228"/>
      <c r="F4" s="1228" t="s">
        <v>1038</v>
      </c>
      <c r="G4" s="1228"/>
      <c r="H4" s="1229"/>
      <c r="I4" s="1214"/>
      <c r="J4" s="1212"/>
      <c r="K4" s="1218"/>
      <c r="L4" s="1221"/>
      <c r="M4" s="1222"/>
      <c r="N4" s="1218"/>
      <c r="O4" s="1195" t="s">
        <v>1039</v>
      </c>
      <c r="P4" s="1187" t="s">
        <v>1040</v>
      </c>
      <c r="Q4" s="1195" t="s">
        <v>1041</v>
      </c>
      <c r="R4" s="1196" t="s">
        <v>1042</v>
      </c>
      <c r="S4" s="1187" t="s">
        <v>1043</v>
      </c>
      <c r="T4" s="1195" t="s">
        <v>1039</v>
      </c>
      <c r="U4" s="1196" t="s">
        <v>1044</v>
      </c>
      <c r="V4" s="1196" t="s">
        <v>1045</v>
      </c>
      <c r="W4" s="1187" t="s">
        <v>1046</v>
      </c>
      <c r="X4" s="1195" t="s">
        <v>1047</v>
      </c>
      <c r="Y4" s="1187" t="s">
        <v>1048</v>
      </c>
      <c r="Z4" s="1195" t="s">
        <v>1049</v>
      </c>
      <c r="AA4" s="1187" t="s">
        <v>1050</v>
      </c>
      <c r="AB4" s="1195" t="s">
        <v>1051</v>
      </c>
      <c r="AC4" s="1196"/>
      <c r="AD4" s="1196"/>
      <c r="AE4" s="1187"/>
      <c r="AF4" s="1197" t="s">
        <v>1052</v>
      </c>
      <c r="AG4" s="1198" t="s">
        <v>1053</v>
      </c>
      <c r="AH4" s="1196" t="s">
        <v>1054</v>
      </c>
      <c r="AI4" s="1196" t="s">
        <v>1055</v>
      </c>
      <c r="AJ4" s="1203" t="s">
        <v>1056</v>
      </c>
      <c r="AK4" s="1187" t="s">
        <v>1057</v>
      </c>
    </row>
    <row r="5" spans="2:37" ht="51" x14ac:dyDescent="0.2">
      <c r="B5" s="1210"/>
      <c r="C5" s="1228"/>
      <c r="D5" s="1228"/>
      <c r="E5" s="1228"/>
      <c r="F5" s="1228"/>
      <c r="G5" s="1228"/>
      <c r="H5" s="1229"/>
      <c r="I5" s="1215"/>
      <c r="J5" s="481" t="s">
        <v>1058</v>
      </c>
      <c r="K5" s="482" t="s">
        <v>1059</v>
      </c>
      <c r="L5" s="483" t="s">
        <v>1060</v>
      </c>
      <c r="M5" s="484" t="s">
        <v>1061</v>
      </c>
      <c r="N5" s="485" t="s">
        <v>1062</v>
      </c>
      <c r="O5" s="1195"/>
      <c r="P5" s="1187"/>
      <c r="Q5" s="1195"/>
      <c r="R5" s="1196"/>
      <c r="S5" s="1187"/>
      <c r="T5" s="1195"/>
      <c r="U5" s="1196"/>
      <c r="V5" s="1196"/>
      <c r="W5" s="1187"/>
      <c r="X5" s="1195"/>
      <c r="Y5" s="1187"/>
      <c r="Z5" s="1195"/>
      <c r="AA5" s="1187"/>
      <c r="AB5" s="478" t="s">
        <v>1063</v>
      </c>
      <c r="AC5" s="480" t="s">
        <v>1064</v>
      </c>
      <c r="AD5" s="480" t="s">
        <v>1065</v>
      </c>
      <c r="AE5" s="479" t="s">
        <v>1066</v>
      </c>
      <c r="AF5" s="1197"/>
      <c r="AG5" s="1199"/>
      <c r="AH5" s="1196"/>
      <c r="AI5" s="1196"/>
      <c r="AJ5" s="1203"/>
      <c r="AK5" s="1187"/>
    </row>
    <row r="6" spans="2:37" ht="21.75" customHeight="1" x14ac:dyDescent="0.2">
      <c r="B6" s="559" t="s">
        <v>1120</v>
      </c>
      <c r="C6" s="486">
        <v>0</v>
      </c>
      <c r="D6" s="487" t="s">
        <v>1067</v>
      </c>
      <c r="E6" s="488">
        <v>15.76</v>
      </c>
      <c r="F6" s="486">
        <v>23</v>
      </c>
      <c r="G6" s="487" t="s">
        <v>1067</v>
      </c>
      <c r="H6" s="489">
        <v>8.99</v>
      </c>
      <c r="I6" s="490">
        <f t="shared" ref="I6:I13" si="0">(F6*20+H6)-(C6*20+E6)</f>
        <v>453.23</v>
      </c>
      <c r="J6" s="491">
        <v>8</v>
      </c>
      <c r="K6" s="492">
        <f t="shared" ref="K6:K13" si="1">+J6-0.6</f>
        <v>7.4</v>
      </c>
      <c r="L6" s="493">
        <f>10.62+1.92+1.92+1.84+1.95+1.91+1.91+1.95+1.95+1.95+1.9+1.9+1.96+1.77+2.11+81.67</f>
        <v>119.22999999999999</v>
      </c>
      <c r="M6" s="488">
        <f>64*3</f>
        <v>192</v>
      </c>
      <c r="N6" s="494">
        <f t="shared" ref="N6:N13" si="2">+K6*I6+L6-M6</f>
        <v>3281.1320000000005</v>
      </c>
      <c r="O6" s="495">
        <f t="shared" ref="O6:O13" si="3">+J6+(2*0.22)</f>
        <v>8.44</v>
      </c>
      <c r="P6" s="496">
        <f>O6*I6+L6-M6</f>
        <v>3752.4911999999999</v>
      </c>
      <c r="Q6" s="495">
        <v>1065.7</v>
      </c>
      <c r="R6" s="497">
        <v>0.97</v>
      </c>
      <c r="S6" s="496">
        <f>(Q6-R6*1.3)</f>
        <v>1064.4390000000001</v>
      </c>
      <c r="T6" s="495">
        <f>K6</f>
        <v>7.4</v>
      </c>
      <c r="U6" s="497">
        <v>0.15</v>
      </c>
      <c r="V6" s="497">
        <f>T6*I6+L6</f>
        <v>3473.1320000000005</v>
      </c>
      <c r="W6" s="496">
        <f t="shared" ref="W6:W13" si="4">V6*U6</f>
        <v>520.96980000000008</v>
      </c>
      <c r="X6" s="495">
        <f>N6</f>
        <v>3281.1320000000005</v>
      </c>
      <c r="Y6" s="496">
        <f t="shared" ref="Y6:Y13" si="5">X6*0.0012</f>
        <v>3.9373584000000004</v>
      </c>
      <c r="Z6" s="495">
        <f>N6</f>
        <v>3281.1320000000005</v>
      </c>
      <c r="AA6" s="496">
        <f>Z6*0.00045</f>
        <v>1.4765094000000001</v>
      </c>
      <c r="AB6" s="495">
        <v>0.03</v>
      </c>
      <c r="AC6" s="497">
        <f t="shared" ref="AC6:AC13" si="6">N6</f>
        <v>3281.1320000000005</v>
      </c>
      <c r="AD6" s="497">
        <f t="shared" ref="AD6:AD13" si="7">+AC6*AB6</f>
        <v>98.433960000000013</v>
      </c>
      <c r="AE6" s="496">
        <f t="shared" ref="AE6:AE13" si="8">2.5548*AD6</f>
        <v>251.47908100800007</v>
      </c>
      <c r="AF6" s="498">
        <v>885.59</v>
      </c>
      <c r="AG6" s="499"/>
      <c r="AH6" s="500"/>
      <c r="AI6" s="499"/>
      <c r="AJ6" s="501">
        <v>0</v>
      </c>
      <c r="AK6" s="502">
        <v>0</v>
      </c>
    </row>
    <row r="7" spans="2:37" ht="21.75" customHeight="1" x14ac:dyDescent="0.2">
      <c r="B7" s="559" t="s">
        <v>1121</v>
      </c>
      <c r="C7" s="486">
        <v>0</v>
      </c>
      <c r="D7" s="487" t="s">
        <v>1067</v>
      </c>
      <c r="E7" s="488">
        <v>17.55</v>
      </c>
      <c r="F7" s="486">
        <v>18</v>
      </c>
      <c r="G7" s="503" t="s">
        <v>1067</v>
      </c>
      <c r="H7" s="489">
        <v>19.64</v>
      </c>
      <c r="I7" s="493">
        <f t="shared" si="0"/>
        <v>362.09</v>
      </c>
      <c r="J7" s="488">
        <v>8</v>
      </c>
      <c r="K7" s="494">
        <f t="shared" si="1"/>
        <v>7.4</v>
      </c>
      <c r="L7" s="493">
        <f>1.91+1.91+1.95+1.95+1.94+1.94+1.92+1.92+28+69.35</f>
        <v>112.78999999999999</v>
      </c>
      <c r="M7" s="488">
        <f>2*64</f>
        <v>128</v>
      </c>
      <c r="N7" s="494">
        <f t="shared" si="2"/>
        <v>2664.2559999999999</v>
      </c>
      <c r="O7" s="495">
        <f t="shared" si="3"/>
        <v>8.44</v>
      </c>
      <c r="P7" s="496">
        <f t="shared" ref="P7:P17" si="9">O7*I7+L7-M7</f>
        <v>3040.8295999999996</v>
      </c>
      <c r="Q7" s="495">
        <v>885.11</v>
      </c>
      <c r="R7" s="497">
        <v>16.04</v>
      </c>
      <c r="S7" s="496">
        <f t="shared" ref="S7:S13" si="10">(Q7-R7*1.3)</f>
        <v>864.25800000000004</v>
      </c>
      <c r="T7" s="495">
        <f t="shared" ref="T7:T13" si="11">K7</f>
        <v>7.4</v>
      </c>
      <c r="U7" s="497">
        <v>0.15</v>
      </c>
      <c r="V7" s="497">
        <f t="shared" ref="V7:V17" si="12">T7*I7+L7</f>
        <v>2792.2559999999999</v>
      </c>
      <c r="W7" s="496">
        <f t="shared" si="4"/>
        <v>418.83839999999998</v>
      </c>
      <c r="X7" s="495">
        <f t="shared" ref="X7:X13" si="13">N7</f>
        <v>2664.2559999999999</v>
      </c>
      <c r="Y7" s="496">
        <f>X7*0.0012</f>
        <v>3.1971071999999996</v>
      </c>
      <c r="Z7" s="495">
        <f t="shared" ref="Z7:Z13" si="14">N7</f>
        <v>2664.2559999999999</v>
      </c>
      <c r="AA7" s="496">
        <f t="shared" ref="AA7:AA13" si="15">Z7*0.00045</f>
        <v>1.1989151999999998</v>
      </c>
      <c r="AB7" s="495">
        <v>0.03</v>
      </c>
      <c r="AC7" s="497">
        <f t="shared" si="6"/>
        <v>2664.2559999999999</v>
      </c>
      <c r="AD7" s="497">
        <f t="shared" si="7"/>
        <v>79.927679999999995</v>
      </c>
      <c r="AE7" s="496">
        <f t="shared" si="8"/>
        <v>204.199236864</v>
      </c>
      <c r="AF7" s="498">
        <v>669.55</v>
      </c>
      <c r="AG7" s="499"/>
      <c r="AH7" s="500"/>
      <c r="AI7" s="499"/>
      <c r="AJ7" s="501">
        <v>8</v>
      </c>
      <c r="AK7" s="502">
        <v>0</v>
      </c>
    </row>
    <row r="8" spans="2:37" ht="21.75" customHeight="1" x14ac:dyDescent="0.2">
      <c r="B8" s="559" t="s">
        <v>1122</v>
      </c>
      <c r="C8" s="486">
        <v>0</v>
      </c>
      <c r="D8" s="487" t="s">
        <v>1067</v>
      </c>
      <c r="E8" s="488">
        <v>7.01</v>
      </c>
      <c r="F8" s="486">
        <v>11</v>
      </c>
      <c r="G8" s="503" t="s">
        <v>1067</v>
      </c>
      <c r="H8" s="489">
        <v>11.19</v>
      </c>
      <c r="I8" s="493">
        <f t="shared" si="0"/>
        <v>224.18</v>
      </c>
      <c r="J8" s="488">
        <v>8</v>
      </c>
      <c r="K8" s="494">
        <f t="shared" si="1"/>
        <v>7.4</v>
      </c>
      <c r="L8" s="493">
        <f>27.86+28.26+1.91+1.91+1.95+1.95+27.86</f>
        <v>91.7</v>
      </c>
      <c r="M8" s="488">
        <v>64</v>
      </c>
      <c r="N8" s="494">
        <f t="shared" si="2"/>
        <v>1686.6320000000003</v>
      </c>
      <c r="O8" s="495">
        <f t="shared" si="3"/>
        <v>8.44</v>
      </c>
      <c r="P8" s="496">
        <f t="shared" si="9"/>
        <v>1919.7791999999999</v>
      </c>
      <c r="Q8" s="495">
        <v>525.75</v>
      </c>
      <c r="R8" s="497">
        <v>0</v>
      </c>
      <c r="S8" s="496">
        <f t="shared" si="10"/>
        <v>525.75</v>
      </c>
      <c r="T8" s="495">
        <f t="shared" si="11"/>
        <v>7.4</v>
      </c>
      <c r="U8" s="497">
        <v>0.15</v>
      </c>
      <c r="V8" s="497">
        <f t="shared" si="12"/>
        <v>1750.6320000000003</v>
      </c>
      <c r="W8" s="496">
        <f t="shared" si="4"/>
        <v>262.59480000000002</v>
      </c>
      <c r="X8" s="495">
        <f t="shared" si="13"/>
        <v>1686.6320000000003</v>
      </c>
      <c r="Y8" s="496">
        <f t="shared" si="5"/>
        <v>2.0239584000000002</v>
      </c>
      <c r="Z8" s="495">
        <f t="shared" si="14"/>
        <v>1686.6320000000003</v>
      </c>
      <c r="AA8" s="496">
        <f t="shared" si="15"/>
        <v>0.75898440000000011</v>
      </c>
      <c r="AB8" s="495">
        <v>0.03</v>
      </c>
      <c r="AC8" s="497">
        <f t="shared" si="6"/>
        <v>1686.6320000000003</v>
      </c>
      <c r="AD8" s="497">
        <f t="shared" si="7"/>
        <v>50.598960000000005</v>
      </c>
      <c r="AE8" s="496">
        <f t="shared" si="8"/>
        <v>129.27022300800002</v>
      </c>
      <c r="AF8" s="498">
        <v>458.1</v>
      </c>
      <c r="AG8" s="499"/>
      <c r="AH8" s="500"/>
      <c r="AI8" s="499"/>
      <c r="AJ8" s="501">
        <v>8</v>
      </c>
      <c r="AK8" s="502">
        <v>0</v>
      </c>
    </row>
    <row r="9" spans="2:37" ht="21.75" customHeight="1" x14ac:dyDescent="0.2">
      <c r="B9" s="559" t="s">
        <v>1123</v>
      </c>
      <c r="C9" s="486">
        <v>0</v>
      </c>
      <c r="D9" s="487" t="s">
        <v>1067</v>
      </c>
      <c r="E9" s="488">
        <v>0</v>
      </c>
      <c r="F9" s="486">
        <v>17</v>
      </c>
      <c r="G9" s="503" t="s">
        <v>1067</v>
      </c>
      <c r="H9" s="489">
        <v>17.78</v>
      </c>
      <c r="I9" s="493">
        <f t="shared" si="0"/>
        <v>357.78</v>
      </c>
      <c r="J9" s="488">
        <v>8</v>
      </c>
      <c r="K9" s="494">
        <f t="shared" si="1"/>
        <v>7.4</v>
      </c>
      <c r="L9" s="493">
        <f>35.93+51.74+27.86+1.93+1.92+1.93+1.93+28</f>
        <v>151.24</v>
      </c>
      <c r="M9" s="488">
        <v>64</v>
      </c>
      <c r="N9" s="494">
        <f t="shared" si="2"/>
        <v>2734.8119999999999</v>
      </c>
      <c r="O9" s="495">
        <f t="shared" si="3"/>
        <v>8.44</v>
      </c>
      <c r="P9" s="496">
        <f t="shared" si="9"/>
        <v>3106.9031999999997</v>
      </c>
      <c r="Q9" s="495">
        <v>774.63</v>
      </c>
      <c r="R9" s="497">
        <v>0</v>
      </c>
      <c r="S9" s="496">
        <f t="shared" si="10"/>
        <v>774.63</v>
      </c>
      <c r="T9" s="495">
        <f t="shared" si="11"/>
        <v>7.4</v>
      </c>
      <c r="U9" s="497">
        <v>0.15</v>
      </c>
      <c r="V9" s="497">
        <f t="shared" si="12"/>
        <v>2798.8119999999999</v>
      </c>
      <c r="W9" s="496">
        <f t="shared" si="4"/>
        <v>419.8218</v>
      </c>
      <c r="X9" s="495">
        <f t="shared" si="13"/>
        <v>2734.8119999999999</v>
      </c>
      <c r="Y9" s="496">
        <f t="shared" si="5"/>
        <v>3.2817743999999998</v>
      </c>
      <c r="Z9" s="495">
        <f t="shared" si="14"/>
        <v>2734.8119999999999</v>
      </c>
      <c r="AA9" s="496">
        <f t="shared" si="15"/>
        <v>1.2306653999999999</v>
      </c>
      <c r="AB9" s="495">
        <v>0.03</v>
      </c>
      <c r="AC9" s="497">
        <f t="shared" si="6"/>
        <v>2734.8119999999999</v>
      </c>
      <c r="AD9" s="497">
        <f t="shared" si="7"/>
        <v>82.044359999999998</v>
      </c>
      <c r="AE9" s="496">
        <f t="shared" si="8"/>
        <v>209.606930928</v>
      </c>
      <c r="AF9" s="498">
        <v>696.86</v>
      </c>
      <c r="AG9" s="499"/>
      <c r="AH9" s="500"/>
      <c r="AI9" s="499"/>
      <c r="AJ9" s="501">
        <v>8</v>
      </c>
      <c r="AK9" s="502">
        <v>0</v>
      </c>
    </row>
    <row r="10" spans="2:37" ht="21.75" customHeight="1" x14ac:dyDescent="0.2">
      <c r="B10" s="559" t="s">
        <v>1124</v>
      </c>
      <c r="C10" s="486">
        <v>0</v>
      </c>
      <c r="D10" s="503" t="s">
        <v>1067</v>
      </c>
      <c r="E10" s="488">
        <v>15.08</v>
      </c>
      <c r="F10" s="486">
        <v>19</v>
      </c>
      <c r="G10" s="503" t="s">
        <v>1067</v>
      </c>
      <c r="H10" s="489">
        <v>2.6</v>
      </c>
      <c r="I10" s="493">
        <f t="shared" si="0"/>
        <v>367.52000000000004</v>
      </c>
      <c r="J10" s="488">
        <v>8</v>
      </c>
      <c r="K10" s="494">
        <f t="shared" si="1"/>
        <v>7.4</v>
      </c>
      <c r="L10" s="493">
        <f>1.92+1.92+1.94+1.94+33.23</f>
        <v>40.949999999999996</v>
      </c>
      <c r="M10" s="488">
        <v>64</v>
      </c>
      <c r="N10" s="494">
        <f t="shared" si="2"/>
        <v>2696.5980000000004</v>
      </c>
      <c r="O10" s="495">
        <f t="shared" si="3"/>
        <v>8.44</v>
      </c>
      <c r="P10" s="496">
        <f t="shared" si="9"/>
        <v>3078.8188</v>
      </c>
      <c r="Q10" s="495">
        <v>682.43</v>
      </c>
      <c r="R10" s="497">
        <v>5.0999999999999996</v>
      </c>
      <c r="S10" s="496">
        <f t="shared" si="10"/>
        <v>675.8</v>
      </c>
      <c r="T10" s="495">
        <f t="shared" si="11"/>
        <v>7.4</v>
      </c>
      <c r="U10" s="497">
        <v>0.15</v>
      </c>
      <c r="V10" s="497">
        <f t="shared" si="12"/>
        <v>2760.5980000000004</v>
      </c>
      <c r="W10" s="496">
        <f t="shared" si="4"/>
        <v>414.08970000000005</v>
      </c>
      <c r="X10" s="495">
        <f t="shared" si="13"/>
        <v>2696.5980000000004</v>
      </c>
      <c r="Y10" s="496">
        <f t="shared" si="5"/>
        <v>3.2359176000000001</v>
      </c>
      <c r="Z10" s="495">
        <f t="shared" si="14"/>
        <v>2696.5980000000004</v>
      </c>
      <c r="AA10" s="496">
        <f t="shared" si="15"/>
        <v>1.2134691000000002</v>
      </c>
      <c r="AB10" s="495">
        <v>0.03</v>
      </c>
      <c r="AC10" s="497">
        <f t="shared" si="6"/>
        <v>2696.5980000000004</v>
      </c>
      <c r="AD10" s="497">
        <f t="shared" si="7"/>
        <v>80.897940000000006</v>
      </c>
      <c r="AE10" s="496">
        <f t="shared" si="8"/>
        <v>206.67805711200003</v>
      </c>
      <c r="AF10" s="498">
        <v>737.01</v>
      </c>
      <c r="AG10" s="499"/>
      <c r="AH10" s="500"/>
      <c r="AI10" s="499"/>
      <c r="AJ10" s="501">
        <v>0</v>
      </c>
      <c r="AK10" s="502">
        <v>0</v>
      </c>
    </row>
    <row r="11" spans="2:37" ht="21.75" customHeight="1" x14ac:dyDescent="0.2">
      <c r="B11" s="559" t="s">
        <v>1125</v>
      </c>
      <c r="C11" s="486">
        <v>0</v>
      </c>
      <c r="D11" s="503" t="s">
        <v>1067</v>
      </c>
      <c r="E11" s="488">
        <v>0</v>
      </c>
      <c r="F11" s="486">
        <v>24</v>
      </c>
      <c r="G11" s="503" t="s">
        <v>1067</v>
      </c>
      <c r="H11" s="489">
        <v>3.6</v>
      </c>
      <c r="I11" s="493">
        <f t="shared" si="0"/>
        <v>483.6</v>
      </c>
      <c r="J11" s="488">
        <v>8</v>
      </c>
      <c r="K11" s="494">
        <f t="shared" si="1"/>
        <v>7.4</v>
      </c>
      <c r="L11" s="493">
        <v>0</v>
      </c>
      <c r="M11" s="488">
        <v>0</v>
      </c>
      <c r="N11" s="494">
        <f t="shared" si="2"/>
        <v>3578.6400000000003</v>
      </c>
      <c r="O11" s="495">
        <f t="shared" si="3"/>
        <v>8.44</v>
      </c>
      <c r="P11" s="496">
        <f t="shared" si="9"/>
        <v>4081.5839999999998</v>
      </c>
      <c r="Q11" s="495">
        <v>1185.53</v>
      </c>
      <c r="R11" s="497">
        <v>51.94</v>
      </c>
      <c r="S11" s="496">
        <f t="shared" si="10"/>
        <v>1118.008</v>
      </c>
      <c r="T11" s="495">
        <f t="shared" si="11"/>
        <v>7.4</v>
      </c>
      <c r="U11" s="497">
        <v>0.15</v>
      </c>
      <c r="V11" s="497">
        <f t="shared" si="12"/>
        <v>3578.6400000000003</v>
      </c>
      <c r="W11" s="496">
        <f t="shared" si="4"/>
        <v>536.79600000000005</v>
      </c>
      <c r="X11" s="495">
        <f t="shared" si="13"/>
        <v>3578.6400000000003</v>
      </c>
      <c r="Y11" s="496">
        <f t="shared" si="5"/>
        <v>4.2943680000000004</v>
      </c>
      <c r="Z11" s="495">
        <f t="shared" si="14"/>
        <v>3578.6400000000003</v>
      </c>
      <c r="AA11" s="496">
        <f t="shared" si="15"/>
        <v>1.6103880000000002</v>
      </c>
      <c r="AB11" s="495">
        <v>0.03</v>
      </c>
      <c r="AC11" s="497">
        <f t="shared" si="6"/>
        <v>3578.6400000000003</v>
      </c>
      <c r="AD11" s="497">
        <f t="shared" si="7"/>
        <v>107.3592</v>
      </c>
      <c r="AE11" s="496">
        <f t="shared" si="8"/>
        <v>274.28128416000004</v>
      </c>
      <c r="AF11" s="498">
        <v>875.38</v>
      </c>
      <c r="AG11" s="499"/>
      <c r="AH11" s="500"/>
      <c r="AI11" s="499"/>
      <c r="AJ11" s="501">
        <v>0</v>
      </c>
      <c r="AK11" s="502">
        <v>0</v>
      </c>
    </row>
    <row r="12" spans="2:37" ht="21.75" customHeight="1" x14ac:dyDescent="0.2">
      <c r="B12" s="559" t="s">
        <v>1126</v>
      </c>
      <c r="C12" s="486">
        <v>25</v>
      </c>
      <c r="D12" s="487" t="s">
        <v>1067</v>
      </c>
      <c r="E12" s="488">
        <v>15.57</v>
      </c>
      <c r="F12" s="486">
        <v>31</v>
      </c>
      <c r="G12" s="503" t="s">
        <v>1067</v>
      </c>
      <c r="H12" s="489">
        <v>7.28</v>
      </c>
      <c r="I12" s="493">
        <f t="shared" si="0"/>
        <v>111.70999999999992</v>
      </c>
      <c r="J12" s="488">
        <v>8</v>
      </c>
      <c r="K12" s="494">
        <f t="shared" si="1"/>
        <v>7.4</v>
      </c>
      <c r="L12" s="493">
        <v>0</v>
      </c>
      <c r="M12" s="488">
        <v>0</v>
      </c>
      <c r="N12" s="494">
        <f t="shared" si="2"/>
        <v>826.65399999999943</v>
      </c>
      <c r="O12" s="495">
        <f t="shared" si="3"/>
        <v>8.44</v>
      </c>
      <c r="P12" s="496">
        <f t="shared" si="9"/>
        <v>942.83239999999932</v>
      </c>
      <c r="Q12" s="495">
        <f>1467.45-Q11</f>
        <v>281.92000000000007</v>
      </c>
      <c r="R12" s="497">
        <f>51.94-R11</f>
        <v>0</v>
      </c>
      <c r="S12" s="496">
        <f t="shared" si="10"/>
        <v>281.92000000000007</v>
      </c>
      <c r="T12" s="495">
        <f t="shared" si="11"/>
        <v>7.4</v>
      </c>
      <c r="U12" s="497">
        <v>0.15</v>
      </c>
      <c r="V12" s="497">
        <f t="shared" si="12"/>
        <v>826.65399999999943</v>
      </c>
      <c r="W12" s="496">
        <f t="shared" si="4"/>
        <v>123.99809999999991</v>
      </c>
      <c r="X12" s="495">
        <f t="shared" si="13"/>
        <v>826.65399999999943</v>
      </c>
      <c r="Y12" s="496">
        <f t="shared" si="5"/>
        <v>0.99198479999999922</v>
      </c>
      <c r="Z12" s="495">
        <f t="shared" si="14"/>
        <v>826.65399999999943</v>
      </c>
      <c r="AA12" s="496">
        <f t="shared" si="15"/>
        <v>0.37199429999999972</v>
      </c>
      <c r="AB12" s="495">
        <v>0.03</v>
      </c>
      <c r="AC12" s="497">
        <f t="shared" si="6"/>
        <v>826.65399999999943</v>
      </c>
      <c r="AD12" s="497">
        <f t="shared" si="7"/>
        <v>24.799619999999983</v>
      </c>
      <c r="AE12" s="496">
        <f t="shared" si="8"/>
        <v>63.358069175999958</v>
      </c>
      <c r="AF12" s="498">
        <v>207.53</v>
      </c>
      <c r="AG12" s="499"/>
      <c r="AH12" s="500"/>
      <c r="AI12" s="499"/>
      <c r="AJ12" s="501">
        <v>8</v>
      </c>
      <c r="AK12" s="502">
        <v>0</v>
      </c>
    </row>
    <row r="13" spans="2:37" ht="21.75" customHeight="1" x14ac:dyDescent="0.2">
      <c r="B13" s="559" t="s">
        <v>1127</v>
      </c>
      <c r="C13" s="486">
        <v>0</v>
      </c>
      <c r="D13" s="487" t="s">
        <v>1067</v>
      </c>
      <c r="E13" s="488">
        <v>7.05</v>
      </c>
      <c r="F13" s="486">
        <v>5</v>
      </c>
      <c r="G13" s="503" t="s">
        <v>1067</v>
      </c>
      <c r="H13" s="489">
        <v>12.15</v>
      </c>
      <c r="I13" s="493">
        <f t="shared" si="0"/>
        <v>105.10000000000001</v>
      </c>
      <c r="J13" s="488">
        <v>8</v>
      </c>
      <c r="K13" s="494">
        <f t="shared" si="1"/>
        <v>7.4</v>
      </c>
      <c r="L13" s="493">
        <v>27.86</v>
      </c>
      <c r="M13" s="488">
        <v>0</v>
      </c>
      <c r="N13" s="494">
        <f t="shared" si="2"/>
        <v>805.60000000000014</v>
      </c>
      <c r="O13" s="495">
        <f t="shared" si="3"/>
        <v>8.44</v>
      </c>
      <c r="P13" s="496">
        <f t="shared" si="9"/>
        <v>914.904</v>
      </c>
      <c r="Q13" s="495">
        <v>237.78</v>
      </c>
      <c r="R13" s="497">
        <v>0</v>
      </c>
      <c r="S13" s="496">
        <f t="shared" si="10"/>
        <v>237.78</v>
      </c>
      <c r="T13" s="495">
        <f t="shared" si="11"/>
        <v>7.4</v>
      </c>
      <c r="U13" s="497">
        <v>0.15</v>
      </c>
      <c r="V13" s="497">
        <f t="shared" si="12"/>
        <v>805.60000000000014</v>
      </c>
      <c r="W13" s="496">
        <f t="shared" si="4"/>
        <v>120.84000000000002</v>
      </c>
      <c r="X13" s="495">
        <f t="shared" si="13"/>
        <v>805.60000000000014</v>
      </c>
      <c r="Y13" s="496">
        <f t="shared" si="5"/>
        <v>0.96672000000000002</v>
      </c>
      <c r="Z13" s="495">
        <f t="shared" si="14"/>
        <v>805.60000000000014</v>
      </c>
      <c r="AA13" s="496">
        <f t="shared" si="15"/>
        <v>0.36252000000000006</v>
      </c>
      <c r="AB13" s="495">
        <v>0.03</v>
      </c>
      <c r="AC13" s="497">
        <f t="shared" si="6"/>
        <v>805.60000000000014</v>
      </c>
      <c r="AD13" s="497">
        <f t="shared" si="7"/>
        <v>24.168000000000003</v>
      </c>
      <c r="AE13" s="496">
        <f t="shared" si="8"/>
        <v>61.74440640000001</v>
      </c>
      <c r="AF13" s="498">
        <v>229.63</v>
      </c>
      <c r="AG13" s="499"/>
      <c r="AH13" s="500"/>
      <c r="AI13" s="499"/>
      <c r="AJ13" s="501">
        <v>0</v>
      </c>
      <c r="AK13" s="502">
        <v>0</v>
      </c>
    </row>
    <row r="14" spans="2:37" ht="21.75" customHeight="1" x14ac:dyDescent="0.2">
      <c r="B14" s="559" t="s">
        <v>1128</v>
      </c>
      <c r="C14" s="486">
        <v>6</v>
      </c>
      <c r="D14" s="487" t="s">
        <v>1067</v>
      </c>
      <c r="E14" s="488">
        <v>15.44</v>
      </c>
      <c r="F14" s="486">
        <v>16</v>
      </c>
      <c r="G14" s="503" t="s">
        <v>1067</v>
      </c>
      <c r="H14" s="489">
        <v>0.15</v>
      </c>
      <c r="I14" s="493">
        <f t="shared" ref="I14:I17" si="16">(F14*20+H14)-(C14*20+E14)</f>
        <v>184.70999999999998</v>
      </c>
      <c r="J14" s="488">
        <v>8</v>
      </c>
      <c r="K14" s="494">
        <f t="shared" ref="K14:K17" si="17">+J14-0.6</f>
        <v>7.4</v>
      </c>
      <c r="L14" s="493">
        <f>69.85+30.53+37.72+27.87</f>
        <v>165.97</v>
      </c>
      <c r="M14" s="488">
        <v>0</v>
      </c>
      <c r="N14" s="494">
        <f t="shared" ref="N14:N17" si="18">+K14*I14+L14-M14</f>
        <v>1532.8239999999998</v>
      </c>
      <c r="O14" s="495">
        <f t="shared" ref="O14:O17" si="19">+J14+(2*0.22)</f>
        <v>8.44</v>
      </c>
      <c r="P14" s="496">
        <f t="shared" si="9"/>
        <v>1724.9223999999997</v>
      </c>
      <c r="Q14" s="495">
        <f>635.72-Q13</f>
        <v>397.94000000000005</v>
      </c>
      <c r="R14" s="497">
        <v>0</v>
      </c>
      <c r="S14" s="496">
        <f t="shared" ref="S14:S17" si="20">(Q14-R14*1.3)</f>
        <v>397.94000000000005</v>
      </c>
      <c r="T14" s="495">
        <f t="shared" ref="T14:T17" si="21">K14</f>
        <v>7.4</v>
      </c>
      <c r="U14" s="497">
        <v>0.15</v>
      </c>
      <c r="V14" s="497">
        <f t="shared" si="12"/>
        <v>1532.8239999999998</v>
      </c>
      <c r="W14" s="496">
        <f t="shared" ref="W14:W17" si="22">V14*U14</f>
        <v>229.92359999999996</v>
      </c>
      <c r="X14" s="495">
        <f t="shared" ref="X14:X17" si="23">N14</f>
        <v>1532.8239999999998</v>
      </c>
      <c r="Y14" s="496">
        <f t="shared" ref="Y14:Y17" si="24">X14*0.0012</f>
        <v>1.8393887999999996</v>
      </c>
      <c r="Z14" s="495">
        <f t="shared" ref="Z14:Z17" si="25">N14</f>
        <v>1532.8239999999998</v>
      </c>
      <c r="AA14" s="496">
        <f t="shared" ref="AA14:AA17" si="26">Z14*0.00045</f>
        <v>0.68977079999999991</v>
      </c>
      <c r="AB14" s="495">
        <v>0.03</v>
      </c>
      <c r="AC14" s="497">
        <f t="shared" ref="AC14:AC17" si="27">N14</f>
        <v>1532.8239999999998</v>
      </c>
      <c r="AD14" s="497">
        <f t="shared" ref="AD14:AD17" si="28">+AC14*AB14</f>
        <v>45.984719999999996</v>
      </c>
      <c r="AE14" s="496">
        <f t="shared" ref="AE14:AE17" si="29">2.5548*AD14</f>
        <v>117.481762656</v>
      </c>
      <c r="AF14" s="498">
        <v>359.37</v>
      </c>
      <c r="AG14" s="499"/>
      <c r="AH14" s="500"/>
      <c r="AI14" s="499"/>
      <c r="AJ14" s="501">
        <f>9+8</f>
        <v>17</v>
      </c>
      <c r="AK14" s="502">
        <v>0</v>
      </c>
    </row>
    <row r="15" spans="2:37" ht="21.75" customHeight="1" x14ac:dyDescent="0.2">
      <c r="B15" s="559" t="s">
        <v>1129</v>
      </c>
      <c r="C15" s="486">
        <v>0</v>
      </c>
      <c r="D15" s="487" t="s">
        <v>1067</v>
      </c>
      <c r="E15" s="488">
        <v>0</v>
      </c>
      <c r="F15" s="486">
        <v>21</v>
      </c>
      <c r="G15" s="503" t="s">
        <v>1067</v>
      </c>
      <c r="H15" s="489">
        <v>9.43</v>
      </c>
      <c r="I15" s="493">
        <f t="shared" si="16"/>
        <v>429.43</v>
      </c>
      <c r="J15" s="488">
        <v>8</v>
      </c>
      <c r="K15" s="494">
        <f t="shared" si="17"/>
        <v>7.4</v>
      </c>
      <c r="L15" s="493">
        <v>0</v>
      </c>
      <c r="M15" s="488">
        <v>0</v>
      </c>
      <c r="N15" s="494">
        <f t="shared" si="18"/>
        <v>3177.7820000000002</v>
      </c>
      <c r="O15" s="495">
        <f t="shared" si="19"/>
        <v>8.44</v>
      </c>
      <c r="P15" s="496">
        <f t="shared" si="9"/>
        <v>3624.3891999999996</v>
      </c>
      <c r="Q15" s="495">
        <v>839.3</v>
      </c>
      <c r="R15" s="497">
        <v>8.57</v>
      </c>
      <c r="S15" s="496">
        <f t="shared" si="20"/>
        <v>828.15899999999999</v>
      </c>
      <c r="T15" s="495">
        <f t="shared" si="21"/>
        <v>7.4</v>
      </c>
      <c r="U15" s="497">
        <v>0.15</v>
      </c>
      <c r="V15" s="497">
        <f t="shared" si="12"/>
        <v>3177.7820000000002</v>
      </c>
      <c r="W15" s="496">
        <f t="shared" si="22"/>
        <v>476.66730000000001</v>
      </c>
      <c r="X15" s="495">
        <f t="shared" si="23"/>
        <v>3177.7820000000002</v>
      </c>
      <c r="Y15" s="496">
        <f t="shared" si="24"/>
        <v>3.8133383999999997</v>
      </c>
      <c r="Z15" s="495">
        <f t="shared" si="25"/>
        <v>3177.7820000000002</v>
      </c>
      <c r="AA15" s="496">
        <f t="shared" si="26"/>
        <v>1.4300018999999999</v>
      </c>
      <c r="AB15" s="495">
        <v>0.03</v>
      </c>
      <c r="AC15" s="497">
        <f t="shared" si="27"/>
        <v>3177.7820000000002</v>
      </c>
      <c r="AD15" s="497">
        <f t="shared" si="28"/>
        <v>95.333460000000002</v>
      </c>
      <c r="AE15" s="496">
        <f t="shared" si="29"/>
        <v>243.55792360800001</v>
      </c>
      <c r="AF15" s="498">
        <v>788.43</v>
      </c>
      <c r="AG15" s="499"/>
      <c r="AH15" s="500"/>
      <c r="AI15" s="499"/>
      <c r="AJ15" s="501">
        <v>0</v>
      </c>
      <c r="AK15" s="502">
        <v>0</v>
      </c>
    </row>
    <row r="16" spans="2:37" ht="21.75" customHeight="1" x14ac:dyDescent="0.2">
      <c r="B16" s="559" t="s">
        <v>1130</v>
      </c>
      <c r="C16" s="486">
        <v>0</v>
      </c>
      <c r="D16" s="487" t="s">
        <v>1067</v>
      </c>
      <c r="E16" s="488">
        <v>4.84</v>
      </c>
      <c r="F16" s="486">
        <v>18</v>
      </c>
      <c r="G16" s="503" t="s">
        <v>1067</v>
      </c>
      <c r="H16" s="489">
        <v>15</v>
      </c>
      <c r="I16" s="493">
        <f t="shared" si="16"/>
        <v>370.16</v>
      </c>
      <c r="J16" s="488">
        <v>8</v>
      </c>
      <c r="K16" s="494">
        <f t="shared" si="17"/>
        <v>7.4</v>
      </c>
      <c r="L16" s="493">
        <v>9.7100000000000009</v>
      </c>
      <c r="M16" s="488">
        <v>0</v>
      </c>
      <c r="N16" s="494">
        <f t="shared" si="18"/>
        <v>2748.8940000000002</v>
      </c>
      <c r="O16" s="495">
        <f t="shared" si="19"/>
        <v>8.44</v>
      </c>
      <c r="P16" s="496">
        <f t="shared" si="9"/>
        <v>3133.8604</v>
      </c>
      <c r="Q16" s="495">
        <v>717.65</v>
      </c>
      <c r="R16" s="497">
        <v>0.17</v>
      </c>
      <c r="S16" s="496">
        <f t="shared" si="20"/>
        <v>717.42899999999997</v>
      </c>
      <c r="T16" s="495">
        <f t="shared" si="21"/>
        <v>7.4</v>
      </c>
      <c r="U16" s="497">
        <v>0.15</v>
      </c>
      <c r="V16" s="497">
        <f t="shared" si="12"/>
        <v>2748.8940000000002</v>
      </c>
      <c r="W16" s="496">
        <f t="shared" si="22"/>
        <v>412.33410000000003</v>
      </c>
      <c r="X16" s="495">
        <f t="shared" si="23"/>
        <v>2748.8940000000002</v>
      </c>
      <c r="Y16" s="496">
        <f t="shared" si="24"/>
        <v>3.2986727999999998</v>
      </c>
      <c r="Z16" s="495">
        <f t="shared" si="25"/>
        <v>2748.8940000000002</v>
      </c>
      <c r="AA16" s="496">
        <f t="shared" si="26"/>
        <v>1.2370023000000001</v>
      </c>
      <c r="AB16" s="495">
        <v>0.03</v>
      </c>
      <c r="AC16" s="497">
        <f t="shared" si="27"/>
        <v>2748.8940000000002</v>
      </c>
      <c r="AD16" s="497">
        <f t="shared" si="28"/>
        <v>82.466819999999998</v>
      </c>
      <c r="AE16" s="496">
        <f t="shared" si="29"/>
        <v>210.68623173600002</v>
      </c>
      <c r="AF16" s="498">
        <v>658.21</v>
      </c>
      <c r="AG16" s="499"/>
      <c r="AH16" s="500"/>
      <c r="AI16" s="499"/>
      <c r="AJ16" s="501">
        <v>8</v>
      </c>
      <c r="AK16" s="502">
        <v>0</v>
      </c>
    </row>
    <row r="17" spans="2:37" ht="21.75" customHeight="1" x14ac:dyDescent="0.2">
      <c r="B17" s="559" t="s">
        <v>1131</v>
      </c>
      <c r="C17" s="486">
        <v>0</v>
      </c>
      <c r="D17" s="487" t="s">
        <v>1067</v>
      </c>
      <c r="E17" s="488">
        <v>0</v>
      </c>
      <c r="F17" s="486">
        <v>9</v>
      </c>
      <c r="G17" s="503" t="s">
        <v>1067</v>
      </c>
      <c r="H17" s="489">
        <v>18.02</v>
      </c>
      <c r="I17" s="493">
        <f t="shared" si="16"/>
        <v>198.02</v>
      </c>
      <c r="J17" s="488">
        <v>8</v>
      </c>
      <c r="K17" s="494">
        <f t="shared" si="17"/>
        <v>7.4</v>
      </c>
      <c r="L17" s="493">
        <v>7.91</v>
      </c>
      <c r="M17" s="488">
        <v>0</v>
      </c>
      <c r="N17" s="494">
        <f t="shared" si="18"/>
        <v>1473.2580000000003</v>
      </c>
      <c r="O17" s="495">
        <f t="shared" si="19"/>
        <v>8.44</v>
      </c>
      <c r="P17" s="496">
        <f t="shared" si="9"/>
        <v>1679.1988000000001</v>
      </c>
      <c r="Q17" s="495">
        <v>346.47</v>
      </c>
      <c r="R17" s="497">
        <v>10.86</v>
      </c>
      <c r="S17" s="496">
        <f t="shared" si="20"/>
        <v>332.35200000000003</v>
      </c>
      <c r="T17" s="495">
        <f t="shared" si="21"/>
        <v>7.4</v>
      </c>
      <c r="U17" s="497">
        <v>0.15</v>
      </c>
      <c r="V17" s="497">
        <f t="shared" si="12"/>
        <v>1473.2580000000003</v>
      </c>
      <c r="W17" s="496">
        <f t="shared" si="22"/>
        <v>220.98870000000002</v>
      </c>
      <c r="X17" s="495">
        <f t="shared" si="23"/>
        <v>1473.2580000000003</v>
      </c>
      <c r="Y17" s="496">
        <f t="shared" si="24"/>
        <v>1.7679096000000001</v>
      </c>
      <c r="Z17" s="495">
        <f t="shared" si="25"/>
        <v>1473.2580000000003</v>
      </c>
      <c r="AA17" s="496">
        <f t="shared" si="26"/>
        <v>0.66296610000000011</v>
      </c>
      <c r="AB17" s="495">
        <v>0.03</v>
      </c>
      <c r="AC17" s="497">
        <f t="shared" si="27"/>
        <v>1473.2580000000003</v>
      </c>
      <c r="AD17" s="497">
        <f t="shared" si="28"/>
        <v>44.197740000000003</v>
      </c>
      <c r="AE17" s="496">
        <f t="shared" si="29"/>
        <v>112.91638615200002</v>
      </c>
      <c r="AF17" s="498">
        <v>431.71</v>
      </c>
      <c r="AG17" s="499"/>
      <c r="AH17" s="500"/>
      <c r="AI17" s="499"/>
      <c r="AJ17" s="501">
        <v>8</v>
      </c>
      <c r="AK17" s="502">
        <v>0</v>
      </c>
    </row>
    <row r="18" spans="2:37" s="29" customFormat="1" ht="20.100000000000001" customHeight="1" thickBot="1" x14ac:dyDescent="0.25">
      <c r="B18" s="1188" t="s">
        <v>1068</v>
      </c>
      <c r="C18" s="1189"/>
      <c r="D18" s="1189"/>
      <c r="E18" s="1189"/>
      <c r="F18" s="1189"/>
      <c r="G18" s="1189"/>
      <c r="H18" s="1190"/>
      <c r="I18" s="504">
        <f>TRUNC(SUM(I6:I17),2)</f>
        <v>3647.53</v>
      </c>
      <c r="J18" s="1191"/>
      <c r="K18" s="1192"/>
      <c r="L18" s="504">
        <f>TRUNC(SUM(L6:L17),2)</f>
        <v>727.36</v>
      </c>
      <c r="M18" s="505">
        <f>TRUNC(SUM(M6:M17),2)</f>
        <v>512</v>
      </c>
      <c r="N18" s="506">
        <f>TRUNC(SUM(N6:N17),2)</f>
        <v>27207.08</v>
      </c>
      <c r="O18" s="504"/>
      <c r="P18" s="506">
        <f>TRUNC(SUM(P6:P17),2)</f>
        <v>31000.51</v>
      </c>
      <c r="Q18" s="504">
        <f>TRUNC(SUM(Q6:Q17),2)</f>
        <v>7940.21</v>
      </c>
      <c r="R18" s="505">
        <f>TRUNC(SUM(R6:R17),2)</f>
        <v>93.65</v>
      </c>
      <c r="S18" s="506">
        <f>TRUNC(SUM(S6:S17),2)</f>
        <v>7818.46</v>
      </c>
      <c r="T18" s="1193"/>
      <c r="U18" s="1194"/>
      <c r="V18" s="505">
        <f t="shared" ref="V18:AA18" si="30">TRUNC(SUM(V6:V17),2)</f>
        <v>27719.08</v>
      </c>
      <c r="W18" s="506">
        <f t="shared" si="30"/>
        <v>4157.8599999999997</v>
      </c>
      <c r="X18" s="504">
        <f t="shared" si="30"/>
        <v>27207.08</v>
      </c>
      <c r="Y18" s="506">
        <f t="shared" si="30"/>
        <v>32.64</v>
      </c>
      <c r="Z18" s="504">
        <f t="shared" si="30"/>
        <v>27207.08</v>
      </c>
      <c r="AA18" s="506">
        <f t="shared" si="30"/>
        <v>12.24</v>
      </c>
      <c r="AB18" s="504"/>
      <c r="AC18" s="505">
        <f t="shared" ref="AC18:AK18" si="31">TRUNC(SUM(AC6:AC17),2)</f>
        <v>27207.08</v>
      </c>
      <c r="AD18" s="505">
        <f t="shared" si="31"/>
        <v>816.21</v>
      </c>
      <c r="AE18" s="506">
        <f t="shared" si="31"/>
        <v>2085.25</v>
      </c>
      <c r="AF18" s="895">
        <f t="shared" si="31"/>
        <v>6997.37</v>
      </c>
      <c r="AG18" s="505">
        <f t="shared" si="31"/>
        <v>0</v>
      </c>
      <c r="AH18" s="505">
        <f t="shared" si="31"/>
        <v>0</v>
      </c>
      <c r="AI18" s="505">
        <f t="shared" si="31"/>
        <v>0</v>
      </c>
      <c r="AJ18" s="505">
        <f t="shared" si="31"/>
        <v>65</v>
      </c>
      <c r="AK18" s="505">
        <f t="shared" si="31"/>
        <v>0</v>
      </c>
    </row>
    <row r="19" spans="2:37" s="29" customFormat="1" ht="18" customHeight="1" x14ac:dyDescent="0.2">
      <c r="B19" s="507"/>
      <c r="C19" s="508"/>
      <c r="D19" s="507"/>
      <c r="E19" s="507"/>
      <c r="F19" s="508"/>
      <c r="G19" s="508"/>
      <c r="H19" s="508"/>
      <c r="I19" s="509"/>
      <c r="J19" s="507"/>
      <c r="K19" s="507"/>
      <c r="L19" s="507"/>
      <c r="M19" s="507"/>
      <c r="N19" s="507"/>
      <c r="O19" s="507"/>
      <c r="P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  <c r="AG19" s="507"/>
      <c r="AH19" s="507"/>
      <c r="AI19" s="507"/>
      <c r="AJ19" s="507"/>
      <c r="AK19" s="507"/>
    </row>
    <row r="20" spans="2:37" s="29" customFormat="1" ht="18" customHeight="1" x14ac:dyDescent="0.2">
      <c r="B20" s="507"/>
      <c r="C20" s="508"/>
      <c r="D20" s="507"/>
      <c r="E20" s="507"/>
      <c r="F20" s="508"/>
      <c r="G20" s="508"/>
      <c r="H20" s="508"/>
      <c r="I20" s="509"/>
      <c r="J20" s="507"/>
      <c r="K20" s="507"/>
      <c r="L20" s="507"/>
      <c r="M20" s="507"/>
      <c r="N20" s="507"/>
      <c r="O20" s="507"/>
      <c r="Q20" s="32" t="s">
        <v>1069</v>
      </c>
      <c r="R20" s="507">
        <f>TRUNC(R18*1.3,2)</f>
        <v>121.74</v>
      </c>
      <c r="S20" s="896" t="s">
        <v>2</v>
      </c>
      <c r="U20" s="507"/>
      <c r="V20" s="32" t="s">
        <v>1070</v>
      </c>
      <c r="W20" s="510">
        <f>TRUNC(W18*(0.53076+0.147+0.2606+0.52829),2)</f>
        <v>6098.12</v>
      </c>
      <c r="X20" s="31" t="s">
        <v>2</v>
      </c>
      <c r="Y20" s="31"/>
      <c r="Z20" s="32" t="s">
        <v>1071</v>
      </c>
      <c r="AA20" s="897">
        <f>TRUNC(Y18*30,2)</f>
        <v>979.2</v>
      </c>
      <c r="AB20" s="896" t="s">
        <v>35</v>
      </c>
      <c r="AE20" s="511"/>
      <c r="AF20" s="32" t="s">
        <v>1072</v>
      </c>
      <c r="AG20" s="32" t="s">
        <v>1072</v>
      </c>
      <c r="AH20" s="32" t="s">
        <v>1072</v>
      </c>
      <c r="AJ20" s="507">
        <f>TRUNC((1.38*0.0312*AF18),2)</f>
        <v>301.27</v>
      </c>
      <c r="AK20" s="507" t="s">
        <v>2</v>
      </c>
    </row>
    <row r="21" spans="2:37" s="29" customFormat="1" ht="18" customHeight="1" x14ac:dyDescent="0.2">
      <c r="C21" s="474"/>
      <c r="E21" s="475"/>
      <c r="F21" s="474"/>
      <c r="G21" s="474"/>
      <c r="H21" s="476"/>
      <c r="I21" s="477"/>
      <c r="N21" s="507"/>
      <c r="O21" s="507"/>
      <c r="P21" s="507"/>
      <c r="Q21" s="30" t="s">
        <v>1073</v>
      </c>
      <c r="R21" s="898">
        <f>S18</f>
        <v>7818.46</v>
      </c>
      <c r="S21" s="896" t="s">
        <v>2</v>
      </c>
      <c r="U21" s="507"/>
      <c r="V21" s="32" t="s">
        <v>1336</v>
      </c>
      <c r="W21" s="510">
        <f>TRUNC(W20*DMT!F9,2)</f>
        <v>110985.78</v>
      </c>
      <c r="X21" s="507" t="s">
        <v>5</v>
      </c>
      <c r="Y21" s="31"/>
      <c r="Z21" s="32" t="s">
        <v>1074</v>
      </c>
      <c r="AA21" s="897">
        <f>TRUNC(Y18*(DMT!F7-30),2)</f>
        <v>10053.120000000001</v>
      </c>
      <c r="AB21" s="896" t="s">
        <v>35</v>
      </c>
      <c r="AF21" s="32" t="s">
        <v>1075</v>
      </c>
      <c r="AG21" s="32" t="s">
        <v>1075</v>
      </c>
      <c r="AH21" s="32" t="s">
        <v>1075</v>
      </c>
      <c r="AJ21" s="31">
        <f>TRUNC((AJ20)*DMT!F9,2)</f>
        <v>5483.11</v>
      </c>
      <c r="AK21" s="507" t="s">
        <v>5</v>
      </c>
    </row>
    <row r="22" spans="2:37" s="29" customFormat="1" ht="18" customHeight="1" x14ac:dyDescent="0.2">
      <c r="C22" s="474"/>
      <c r="E22" s="475"/>
      <c r="F22" s="474"/>
      <c r="G22" s="474"/>
      <c r="H22" s="476"/>
      <c r="I22" s="477"/>
      <c r="N22" s="475"/>
      <c r="P22" s="507"/>
      <c r="Q22" s="30" t="s">
        <v>1076</v>
      </c>
      <c r="R22" s="31">
        <f>R18</f>
        <v>93.65</v>
      </c>
      <c r="S22" s="896" t="s">
        <v>2</v>
      </c>
      <c r="U22" s="507"/>
      <c r="V22" s="32" t="s">
        <v>1077</v>
      </c>
      <c r="W22" s="510">
        <f>W18</f>
        <v>4157.8599999999997</v>
      </c>
      <c r="X22" s="31" t="s">
        <v>2</v>
      </c>
      <c r="Z22" s="32" t="s">
        <v>1078</v>
      </c>
      <c r="AA22" s="897">
        <f>TRUNC(AA18*30,2)</f>
        <v>367.2</v>
      </c>
      <c r="AB22" s="896" t="s">
        <v>35</v>
      </c>
      <c r="AF22" s="32" t="s">
        <v>1471</v>
      </c>
      <c r="AG22" s="32" t="s">
        <v>1075</v>
      </c>
      <c r="AH22" s="32" t="s">
        <v>1075</v>
      </c>
      <c r="AJ22" s="31">
        <v>0</v>
      </c>
      <c r="AK22" s="507" t="s">
        <v>5</v>
      </c>
    </row>
    <row r="23" spans="2:37" s="29" customFormat="1" ht="18" customHeight="1" x14ac:dyDescent="0.2">
      <c r="C23" s="474"/>
      <c r="E23" s="475"/>
      <c r="F23" s="474"/>
      <c r="G23" s="474"/>
      <c r="H23" s="476"/>
      <c r="I23" s="477"/>
      <c r="P23" s="507"/>
      <c r="Q23" s="30" t="s">
        <v>1459</v>
      </c>
      <c r="R23" s="31">
        <f>TRUNC(S18*1.15,2)</f>
        <v>8991.2199999999993</v>
      </c>
      <c r="S23" s="896" t="s">
        <v>2</v>
      </c>
      <c r="T23" s="31"/>
      <c r="X23" s="896"/>
      <c r="Z23" s="32" t="s">
        <v>1079</v>
      </c>
      <c r="AA23" s="897">
        <f>TRUNC(AA18*(DMT!F8-30),2)</f>
        <v>3769.92</v>
      </c>
      <c r="AB23" s="896" t="s">
        <v>35</v>
      </c>
      <c r="AC23" s="510"/>
      <c r="AD23" s="896"/>
      <c r="AJ23" s="32"/>
      <c r="AK23" s="510"/>
    </row>
    <row r="24" spans="2:37" s="29" customFormat="1" ht="18" customHeight="1" x14ac:dyDescent="0.2">
      <c r="C24" s="474"/>
      <c r="E24" s="475"/>
      <c r="F24" s="474"/>
      <c r="G24" s="474"/>
      <c r="H24" s="476"/>
      <c r="I24" s="477"/>
      <c r="Q24" s="30" t="s">
        <v>1460</v>
      </c>
      <c r="R24" s="31">
        <f>TRUNC(S18*1.3*R26,2)</f>
        <v>46754.39</v>
      </c>
      <c r="S24" s="896" t="s">
        <v>5</v>
      </c>
      <c r="T24" s="899"/>
      <c r="V24" s="32"/>
      <c r="W24" s="510"/>
      <c r="X24" s="31"/>
      <c r="Z24" s="32" t="s">
        <v>1080</v>
      </c>
      <c r="AA24" s="510">
        <f>TRUNC(AD18*DMT!F6,2)</f>
        <v>8896.68</v>
      </c>
      <c r="AB24" s="507" t="s">
        <v>5</v>
      </c>
      <c r="AJ24" s="30"/>
      <c r="AK24" s="897"/>
    </row>
    <row r="25" spans="2:37" s="29" customFormat="1" ht="18" customHeight="1" x14ac:dyDescent="0.2">
      <c r="C25" s="474"/>
      <c r="E25" s="475"/>
      <c r="F25" s="474"/>
      <c r="G25" s="474"/>
      <c r="H25" s="476"/>
      <c r="I25" s="477"/>
      <c r="N25" s="512"/>
      <c r="P25" s="1204" t="s">
        <v>1246</v>
      </c>
      <c r="Q25" s="1204"/>
      <c r="R25" s="897">
        <f>S18</f>
        <v>7818.46</v>
      </c>
      <c r="S25" s="896" t="s">
        <v>2</v>
      </c>
      <c r="V25" s="32"/>
      <c r="W25" s="510"/>
      <c r="X25" s="507"/>
      <c r="Z25" s="507"/>
      <c r="AJ25" s="30"/>
      <c r="AK25" s="897"/>
    </row>
    <row r="26" spans="2:37" s="29" customFormat="1" ht="18" customHeight="1" x14ac:dyDescent="0.2">
      <c r="C26" s="474"/>
      <c r="E26" s="475"/>
      <c r="F26" s="474"/>
      <c r="G26" s="474"/>
      <c r="H26" s="476"/>
      <c r="I26" s="477"/>
      <c r="N26" s="716"/>
      <c r="O26" s="716"/>
      <c r="P26" s="716"/>
      <c r="Q26" s="716" t="s">
        <v>125</v>
      </c>
      <c r="R26" s="900">
        <f>DMT!F13</f>
        <v>4.5999999999999996</v>
      </c>
      <c r="S26" s="716" t="s">
        <v>34</v>
      </c>
      <c r="V26" s="32"/>
      <c r="W26" s="510"/>
      <c r="X26" s="31"/>
      <c r="Z26" s="31"/>
      <c r="AJ26" s="30"/>
      <c r="AK26" s="897"/>
    </row>
    <row r="27" spans="2:37" s="29" customFormat="1" ht="18" customHeight="1" x14ac:dyDescent="0.2">
      <c r="C27" s="474"/>
      <c r="E27" s="475"/>
      <c r="F27" s="474"/>
      <c r="G27" s="474"/>
      <c r="H27" s="476"/>
      <c r="I27" s="477"/>
      <c r="N27" s="716"/>
      <c r="O27" s="716"/>
      <c r="P27" s="716"/>
      <c r="Q27" s="716"/>
      <c r="R27" s="716"/>
      <c r="S27" s="716"/>
      <c r="W27" s="513"/>
      <c r="X27" s="513"/>
      <c r="Z27" s="513"/>
    </row>
    <row r="28" spans="2:37" s="29" customFormat="1" ht="18" customHeight="1" x14ac:dyDescent="0.2">
      <c r="C28" s="474"/>
      <c r="E28" s="475"/>
      <c r="F28" s="474"/>
      <c r="G28" s="474"/>
      <c r="H28" s="476"/>
      <c r="I28" s="477"/>
      <c r="N28" s="514"/>
      <c r="R28" s="475"/>
      <c r="W28" s="513"/>
      <c r="AE28" s="29" t="s">
        <v>1081</v>
      </c>
      <c r="AK28" s="511"/>
    </row>
    <row r="29" spans="2:37" s="29" customFormat="1" ht="18" customHeight="1" x14ac:dyDescent="0.2">
      <c r="C29" s="474"/>
      <c r="E29" s="475"/>
      <c r="F29" s="474"/>
      <c r="G29" s="474"/>
      <c r="H29" s="476"/>
      <c r="I29" s="477"/>
      <c r="R29" s="475"/>
      <c r="V29" s="475"/>
      <c r="W29" s="513"/>
    </row>
  </sheetData>
  <mergeCells count="39">
    <mergeCell ref="P25:Q25"/>
    <mergeCell ref="B2:AK2"/>
    <mergeCell ref="B3:B5"/>
    <mergeCell ref="C3:H3"/>
    <mergeCell ref="I3:I5"/>
    <mergeCell ref="J3:K4"/>
    <mergeCell ref="L3:N4"/>
    <mergeCell ref="O3:P3"/>
    <mergeCell ref="Q3:S3"/>
    <mergeCell ref="T3:W3"/>
    <mergeCell ref="X3:Y3"/>
    <mergeCell ref="AF3:AK3"/>
    <mergeCell ref="C4:E5"/>
    <mergeCell ref="F4:H5"/>
    <mergeCell ref="O4:O5"/>
    <mergeCell ref="P4:P5"/>
    <mergeCell ref="Z3:AA3"/>
    <mergeCell ref="AB3:AE3"/>
    <mergeCell ref="AI4:AI5"/>
    <mergeCell ref="AJ4:AJ5"/>
    <mergeCell ref="R4:R5"/>
    <mergeCell ref="S4:S5"/>
    <mergeCell ref="W4:W5"/>
    <mergeCell ref="X4:X5"/>
    <mergeCell ref="Y4:Y5"/>
    <mergeCell ref="AK4:AK5"/>
    <mergeCell ref="B18:H18"/>
    <mergeCell ref="J18:K18"/>
    <mergeCell ref="T18:U18"/>
    <mergeCell ref="Z4:Z5"/>
    <mergeCell ref="AA4:AA5"/>
    <mergeCell ref="AB4:AE4"/>
    <mergeCell ref="AF4:AF5"/>
    <mergeCell ref="AG4:AG5"/>
    <mergeCell ref="AH4:AH5"/>
    <mergeCell ref="T4:T5"/>
    <mergeCell ref="U4:U5"/>
    <mergeCell ref="V4:V5"/>
    <mergeCell ref="Q4:Q5"/>
  </mergeCells>
  <phoneticPr fontId="113" type="noConversion"/>
  <pageMargins left="0.51181102362204722" right="0.51181102362204722" top="0.78740157480314965" bottom="0.78740157480314965" header="0.31496062992125984" footer="0.31496062992125984"/>
  <pageSetup paperSize="8" scale="42" fitToHeight="0" orientation="landscape" r:id="rId1"/>
  <headerFooter>
    <oddHeader>&amp;L&amp;G&amp;R&amp;G</oddHeader>
  </headerFooter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P39"/>
  <sheetViews>
    <sheetView showGridLines="0" topLeftCell="B10" zoomScale="70" zoomScaleNormal="70" workbookViewId="0">
      <selection activeCell="Q45" sqref="Q45"/>
    </sheetView>
  </sheetViews>
  <sheetFormatPr defaultColWidth="10.6640625" defaultRowHeight="15" x14ac:dyDescent="0.2"/>
  <cols>
    <col min="1" max="1" width="6.5" style="358" customWidth="1"/>
    <col min="2" max="2" width="52.83203125" style="358" customWidth="1"/>
    <col min="3" max="3" width="30" style="358" hidden="1" customWidth="1"/>
    <col min="4" max="4" width="3" style="358" hidden="1" customWidth="1"/>
    <col min="5" max="5" width="30" style="358" hidden="1" customWidth="1"/>
    <col min="6" max="6" width="12.1640625" style="359" customWidth="1"/>
    <col min="7" max="12" width="16.83203125" style="358" customWidth="1"/>
    <col min="13" max="13" width="16.83203125" style="359" customWidth="1"/>
    <col min="14" max="15" width="16.83203125" style="358" customWidth="1"/>
    <col min="16" max="16" width="32.1640625" style="358" customWidth="1"/>
    <col min="17" max="18" width="18.83203125" style="358" customWidth="1"/>
    <col min="19" max="24" width="18.83203125" style="358" hidden="1" customWidth="1"/>
    <col min="25" max="26" width="16.83203125" style="358" customWidth="1"/>
    <col min="27" max="27" width="21.5" style="358" customWidth="1"/>
    <col min="28" max="29" width="18.83203125" style="358" hidden="1" customWidth="1"/>
    <col min="30" max="30" width="18.83203125" style="358" customWidth="1"/>
    <col min="31" max="31" width="24" style="358" customWidth="1"/>
    <col min="32" max="32" width="18.83203125" style="358" customWidth="1"/>
    <col min="33" max="34" width="18.83203125" style="358" hidden="1" customWidth="1"/>
    <col min="35" max="35" width="18.83203125" style="358" customWidth="1"/>
    <col min="36" max="38" width="18.83203125" style="358" hidden="1" customWidth="1"/>
    <col min="39" max="39" width="5.5" style="358" customWidth="1"/>
    <col min="40" max="16384" width="10.6640625" style="358"/>
  </cols>
  <sheetData>
    <row r="1" spans="1:39" ht="15.75" thickBot="1" x14ac:dyDescent="0.25"/>
    <row r="2" spans="1:39" s="360" customFormat="1" ht="18" customHeight="1" thickBot="1" x14ac:dyDescent="0.25">
      <c r="B2" s="1246" t="str">
        <f>DMT!B2</f>
        <v>JARDIM BRASILIA</v>
      </c>
      <c r="C2" s="1247"/>
      <c r="D2" s="1247"/>
      <c r="E2" s="1247"/>
      <c r="F2" s="1247"/>
      <c r="G2" s="1247"/>
      <c r="H2" s="1247"/>
      <c r="I2" s="1247"/>
      <c r="J2" s="1247"/>
      <c r="K2" s="1247"/>
      <c r="L2" s="1247"/>
      <c r="M2" s="1247"/>
      <c r="N2" s="1247"/>
      <c r="O2" s="1247"/>
      <c r="P2" s="1247"/>
      <c r="Q2" s="1247"/>
      <c r="R2" s="1247"/>
      <c r="S2" s="1247"/>
      <c r="T2" s="1247"/>
      <c r="U2" s="1247"/>
      <c r="V2" s="1247"/>
      <c r="W2" s="1247"/>
      <c r="X2" s="1247"/>
      <c r="Y2" s="1247"/>
      <c r="Z2" s="1247"/>
      <c r="AA2" s="1247"/>
      <c r="AB2" s="1247"/>
      <c r="AC2" s="1247"/>
      <c r="AD2" s="1247"/>
      <c r="AE2" s="1247"/>
      <c r="AF2" s="1247"/>
      <c r="AG2" s="1247"/>
      <c r="AH2" s="1247"/>
      <c r="AI2" s="1247"/>
      <c r="AJ2" s="1247"/>
      <c r="AK2" s="1247"/>
      <c r="AL2" s="1248"/>
    </row>
    <row r="3" spans="1:39" ht="12.95" customHeight="1" thickBot="1" x14ac:dyDescent="0.25">
      <c r="A3" s="361"/>
      <c r="B3" s="362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  <c r="AH3" s="362"/>
      <c r="AI3" s="362"/>
      <c r="AJ3" s="362"/>
      <c r="AK3" s="362"/>
      <c r="AL3" s="362"/>
      <c r="AM3" s="361"/>
    </row>
    <row r="4" spans="1:39" ht="18" customHeight="1" thickBot="1" x14ac:dyDescent="0.25">
      <c r="B4" s="1249" t="s">
        <v>304</v>
      </c>
      <c r="C4" s="1250"/>
      <c r="D4" s="1250"/>
      <c r="E4" s="1250"/>
      <c r="F4" s="1250"/>
      <c r="G4" s="1250"/>
      <c r="H4" s="1250"/>
      <c r="I4" s="1250"/>
      <c r="J4" s="1250"/>
      <c r="K4" s="1250"/>
      <c r="L4" s="1250"/>
      <c r="M4" s="1250"/>
      <c r="N4" s="1250"/>
      <c r="O4" s="1250"/>
      <c r="P4" s="1250"/>
      <c r="Q4" s="1250"/>
      <c r="R4" s="1250"/>
      <c r="S4" s="1250"/>
      <c r="T4" s="1250"/>
      <c r="U4" s="1250"/>
      <c r="V4" s="1250"/>
      <c r="W4" s="1250"/>
      <c r="X4" s="1250"/>
      <c r="Y4" s="1250"/>
      <c r="Z4" s="1250"/>
      <c r="AA4" s="1250"/>
      <c r="AB4" s="1250"/>
      <c r="AC4" s="1250"/>
      <c r="AD4" s="1250"/>
      <c r="AE4" s="1250"/>
      <c r="AF4" s="1250"/>
      <c r="AG4" s="1250"/>
      <c r="AH4" s="1250"/>
      <c r="AI4" s="1250"/>
      <c r="AJ4" s="1250"/>
      <c r="AK4" s="1250"/>
      <c r="AL4" s="1251"/>
    </row>
    <row r="5" spans="1:39" s="359" customFormat="1" ht="18.75" customHeight="1" thickBot="1" x14ac:dyDescent="0.25">
      <c r="B5" s="1252" t="s">
        <v>4</v>
      </c>
      <c r="C5" s="1255" t="s">
        <v>31</v>
      </c>
      <c r="D5" s="1256"/>
      <c r="E5" s="1257"/>
      <c r="F5" s="1256" t="s">
        <v>32</v>
      </c>
      <c r="G5" s="1261" t="s">
        <v>305</v>
      </c>
      <c r="H5" s="1263" t="s">
        <v>306</v>
      </c>
      <c r="I5" s="1266" t="s">
        <v>307</v>
      </c>
      <c r="J5" s="1267" t="s">
        <v>308</v>
      </c>
      <c r="K5" s="1266" t="s">
        <v>309</v>
      </c>
      <c r="L5" s="1285" t="s">
        <v>310</v>
      </c>
      <c r="M5" s="1287" t="s">
        <v>38</v>
      </c>
      <c r="N5" s="1287"/>
      <c r="O5" s="1287"/>
      <c r="P5" s="1257" t="s">
        <v>33</v>
      </c>
      <c r="Q5" s="1270"/>
      <c r="R5" s="1270"/>
      <c r="S5" s="1270"/>
      <c r="T5" s="1270"/>
      <c r="U5" s="1270"/>
      <c r="V5" s="1270"/>
      <c r="W5" s="1270"/>
      <c r="X5" s="1270"/>
      <c r="Y5" s="1270"/>
      <c r="Z5" s="1271"/>
      <c r="AA5" s="1289" t="s">
        <v>311</v>
      </c>
      <c r="AB5" s="1277" t="s">
        <v>312</v>
      </c>
      <c r="AC5" s="1277" t="s">
        <v>313</v>
      </c>
      <c r="AD5" s="1267" t="s">
        <v>314</v>
      </c>
      <c r="AE5" s="1267" t="s">
        <v>315</v>
      </c>
      <c r="AF5" s="1299" t="s">
        <v>316</v>
      </c>
      <c r="AG5" s="1275" t="s">
        <v>317</v>
      </c>
      <c r="AH5" s="1277" t="s">
        <v>318</v>
      </c>
      <c r="AI5" s="1273" t="s">
        <v>319</v>
      </c>
      <c r="AJ5" s="1268" t="s">
        <v>320</v>
      </c>
      <c r="AK5" s="1268" t="s">
        <v>321</v>
      </c>
      <c r="AL5" s="1268" t="s">
        <v>322</v>
      </c>
    </row>
    <row r="6" spans="1:39" s="359" customFormat="1" ht="18.75" customHeight="1" thickBot="1" x14ac:dyDescent="0.25">
      <c r="B6" s="1253"/>
      <c r="C6" s="1258"/>
      <c r="D6" s="1259"/>
      <c r="E6" s="1260"/>
      <c r="F6" s="1259"/>
      <c r="G6" s="1262"/>
      <c r="H6" s="1264"/>
      <c r="I6" s="1267"/>
      <c r="J6" s="1264"/>
      <c r="K6" s="1267"/>
      <c r="L6" s="1286"/>
      <c r="M6" s="1288"/>
      <c r="N6" s="1288"/>
      <c r="O6" s="1288"/>
      <c r="P6" s="1257" t="s">
        <v>301</v>
      </c>
      <c r="Q6" s="1270"/>
      <c r="R6" s="1270"/>
      <c r="S6" s="1257" t="s">
        <v>302</v>
      </c>
      <c r="T6" s="1270"/>
      <c r="U6" s="1271"/>
      <c r="V6" s="1257" t="s">
        <v>303</v>
      </c>
      <c r="W6" s="1270"/>
      <c r="X6" s="1271"/>
      <c r="Y6" s="1262" t="s">
        <v>296</v>
      </c>
      <c r="Z6" s="1273" t="s">
        <v>297</v>
      </c>
      <c r="AA6" s="1290"/>
      <c r="AB6" s="1278"/>
      <c r="AC6" s="1278"/>
      <c r="AD6" s="1264"/>
      <c r="AE6" s="1264"/>
      <c r="AF6" s="1300"/>
      <c r="AG6" s="1276"/>
      <c r="AH6" s="1278"/>
      <c r="AI6" s="1274"/>
      <c r="AJ6" s="1269"/>
      <c r="AK6" s="1269"/>
      <c r="AL6" s="1269"/>
    </row>
    <row r="7" spans="1:39" s="359" customFormat="1" ht="97.9" customHeight="1" x14ac:dyDescent="0.2">
      <c r="B7" s="1253"/>
      <c r="C7" s="1258"/>
      <c r="D7" s="1259"/>
      <c r="E7" s="1260"/>
      <c r="F7" s="1259"/>
      <c r="G7" s="1262"/>
      <c r="H7" s="1265"/>
      <c r="I7" s="1267"/>
      <c r="J7" s="1264"/>
      <c r="K7" s="1267"/>
      <c r="L7" s="1286"/>
      <c r="M7" s="364" t="s">
        <v>323</v>
      </c>
      <c r="N7" s="365" t="s">
        <v>309</v>
      </c>
      <c r="O7" s="366" t="s">
        <v>310</v>
      </c>
      <c r="P7" s="372" t="s">
        <v>324</v>
      </c>
      <c r="Q7" s="363" t="s">
        <v>325</v>
      </c>
      <c r="R7" s="365" t="s">
        <v>310</v>
      </c>
      <c r="S7" s="367" t="s">
        <v>324</v>
      </c>
      <c r="T7" s="363" t="s">
        <v>325</v>
      </c>
      <c r="U7" s="366" t="s">
        <v>310</v>
      </c>
      <c r="V7" s="373" t="s">
        <v>324</v>
      </c>
      <c r="W7" s="363" t="s">
        <v>325</v>
      </c>
      <c r="X7" s="371" t="s">
        <v>310</v>
      </c>
      <c r="Y7" s="1272"/>
      <c r="Z7" s="1274"/>
      <c r="AA7" s="1290"/>
      <c r="AB7" s="1278"/>
      <c r="AC7" s="1278"/>
      <c r="AD7" s="1264"/>
      <c r="AE7" s="1264"/>
      <c r="AF7" s="1300"/>
      <c r="AG7" s="1276"/>
      <c r="AH7" s="1278"/>
      <c r="AI7" s="1274"/>
      <c r="AJ7" s="1269"/>
      <c r="AK7" s="1269"/>
      <c r="AL7" s="1269"/>
    </row>
    <row r="8" spans="1:39" s="359" customFormat="1" ht="23.45" customHeight="1" thickBot="1" x14ac:dyDescent="0.25">
      <c r="B8" s="1254"/>
      <c r="C8" s="374"/>
      <c r="D8" s="369"/>
      <c r="E8" s="369"/>
      <c r="F8" s="375"/>
      <c r="G8" s="376" t="s">
        <v>298</v>
      </c>
      <c r="H8" s="377" t="s">
        <v>298</v>
      </c>
      <c r="I8" s="377" t="s">
        <v>298</v>
      </c>
      <c r="J8" s="377" t="s">
        <v>299</v>
      </c>
      <c r="K8" s="377" t="s">
        <v>299</v>
      </c>
      <c r="L8" s="378" t="s">
        <v>298</v>
      </c>
      <c r="M8" s="379" t="s">
        <v>299</v>
      </c>
      <c r="N8" s="380" t="s">
        <v>299</v>
      </c>
      <c r="O8" s="381" t="s">
        <v>298</v>
      </c>
      <c r="P8" s="382" t="s">
        <v>326</v>
      </c>
      <c r="Q8" s="368" t="s">
        <v>299</v>
      </c>
      <c r="R8" s="370" t="s">
        <v>298</v>
      </c>
      <c r="S8" s="383" t="s">
        <v>326</v>
      </c>
      <c r="T8" s="384" t="s">
        <v>299</v>
      </c>
      <c r="U8" s="385" t="s">
        <v>298</v>
      </c>
      <c r="V8" s="373" t="s">
        <v>326</v>
      </c>
      <c r="W8" s="368" t="s">
        <v>299</v>
      </c>
      <c r="X8" s="371" t="s">
        <v>298</v>
      </c>
      <c r="Y8" s="373" t="s">
        <v>299</v>
      </c>
      <c r="Z8" s="371" t="s">
        <v>298</v>
      </c>
      <c r="AA8" s="379" t="s">
        <v>299</v>
      </c>
      <c r="AB8" s="386" t="s">
        <v>300</v>
      </c>
      <c r="AC8" s="386" t="s">
        <v>327</v>
      </c>
      <c r="AD8" s="377" t="s">
        <v>299</v>
      </c>
      <c r="AE8" s="377" t="s">
        <v>298</v>
      </c>
      <c r="AF8" s="380" t="s">
        <v>299</v>
      </c>
      <c r="AG8" s="387" t="s">
        <v>327</v>
      </c>
      <c r="AH8" s="386" t="s">
        <v>327</v>
      </c>
      <c r="AI8" s="381" t="s">
        <v>299</v>
      </c>
      <c r="AJ8" s="388" t="s">
        <v>300</v>
      </c>
      <c r="AK8" s="388" t="s">
        <v>300</v>
      </c>
      <c r="AL8" s="388" t="s">
        <v>300</v>
      </c>
    </row>
    <row r="9" spans="1:39" s="359" customFormat="1" ht="23.45" customHeight="1" x14ac:dyDescent="0.2">
      <c r="B9" s="1291" t="s">
        <v>996</v>
      </c>
      <c r="C9" s="210"/>
      <c r="D9" s="210"/>
      <c r="E9" s="211"/>
      <c r="F9" s="389" t="s">
        <v>247</v>
      </c>
      <c r="G9" s="212"/>
      <c r="H9" s="465">
        <v>1.2</v>
      </c>
      <c r="I9" s="212"/>
      <c r="J9" s="390">
        <v>0</v>
      </c>
      <c r="K9" s="213"/>
      <c r="L9" s="213"/>
      <c r="M9" s="461">
        <f>10.46+5.13+4.6+4.53+4.55+4.5+5.6+4.54+16.52</f>
        <v>60.429999999999993</v>
      </c>
      <c r="N9" s="213"/>
      <c r="O9" s="214"/>
      <c r="P9" s="470">
        <v>8</v>
      </c>
      <c r="Q9" s="390">
        <f>5.9*1.2</f>
        <v>7.08</v>
      </c>
      <c r="R9" s="391">
        <v>3.9</v>
      </c>
      <c r="S9" s="215"/>
      <c r="T9" s="390">
        <v>7.35</v>
      </c>
      <c r="U9" s="392">
        <v>4.5</v>
      </c>
      <c r="V9" s="215"/>
      <c r="W9" s="390">
        <v>10.49</v>
      </c>
      <c r="X9" s="392">
        <v>3.8</v>
      </c>
      <c r="Y9" s="393">
        <f>(P9*Q9)+(S9*T9)+(V9*W9)</f>
        <v>56.64</v>
      </c>
      <c r="Z9" s="394">
        <f>(P9*R9)+(S9*U9)+(V9*X9)</f>
        <v>31.2</v>
      </c>
      <c r="AA9" s="1293">
        <f t="shared" ref="AA9" si="0">(J9+J10)+(K9+K10)+(M9+M10)+(N9+N10)+(Y9+Y10)</f>
        <v>218.87</v>
      </c>
      <c r="AB9" s="1279">
        <f t="shared" ref="AB9" si="1">AA9*0.1</f>
        <v>21.887</v>
      </c>
      <c r="AC9" s="1281">
        <f>AB9*$N$34</f>
        <v>100.6802</v>
      </c>
      <c r="AD9" s="1295"/>
      <c r="AE9" s="1297">
        <f t="shared" ref="AE9" si="2">(L9+L10)+(O9+O10)+(Z9+Z10)</f>
        <v>62.4</v>
      </c>
      <c r="AF9" s="1301">
        <f>0.4*AE9</f>
        <v>24.96</v>
      </c>
      <c r="AG9" s="1279">
        <f>AF9*$Y$33*0.001*30</f>
        <v>46.800000000000004</v>
      </c>
      <c r="AH9" s="1281">
        <f>AF9*$Y$33*0.001*($Y$34-30)</f>
        <v>-38.844000000000001</v>
      </c>
      <c r="AI9" s="1283">
        <f>AA9-AD9-AF9</f>
        <v>193.91</v>
      </c>
      <c r="AJ9" s="398"/>
      <c r="AK9" s="398"/>
      <c r="AL9" s="398"/>
    </row>
    <row r="10" spans="1:39" s="359" customFormat="1" ht="23.45" customHeight="1" thickBot="1" x14ac:dyDescent="0.25">
      <c r="B10" s="1292"/>
      <c r="C10" s="217"/>
      <c r="D10" s="217"/>
      <c r="E10" s="218"/>
      <c r="F10" s="399" t="s">
        <v>328</v>
      </c>
      <c r="G10" s="216"/>
      <c r="H10" s="466">
        <v>1.2</v>
      </c>
      <c r="I10" s="216"/>
      <c r="J10" s="395">
        <v>0</v>
      </c>
      <c r="K10" s="219"/>
      <c r="L10" s="219"/>
      <c r="M10" s="462">
        <f>5.54+4.57+4.53+4.49+4.72+4.51+6.8+10</f>
        <v>45.16</v>
      </c>
      <c r="N10" s="219"/>
      <c r="O10" s="220"/>
      <c r="P10" s="471">
        <v>8</v>
      </c>
      <c r="Q10" s="395">
        <v>7.08</v>
      </c>
      <c r="R10" s="396">
        <v>3.9</v>
      </c>
      <c r="S10" s="221"/>
      <c r="T10" s="395">
        <v>7.35</v>
      </c>
      <c r="U10" s="397">
        <v>4.5</v>
      </c>
      <c r="V10" s="221"/>
      <c r="W10" s="395">
        <v>10.49</v>
      </c>
      <c r="X10" s="397">
        <v>3.8</v>
      </c>
      <c r="Y10" s="400">
        <f>(P10*Q10)+(S10*T10)+(V10*W10)</f>
        <v>56.64</v>
      </c>
      <c r="Z10" s="401">
        <f>(P10*R10)+(S10*U10)+(V10*X10)</f>
        <v>31.2</v>
      </c>
      <c r="AA10" s="1294"/>
      <c r="AB10" s="1280"/>
      <c r="AC10" s="1282"/>
      <c r="AD10" s="1296"/>
      <c r="AE10" s="1298"/>
      <c r="AF10" s="1302"/>
      <c r="AG10" s="1280"/>
      <c r="AH10" s="1282"/>
      <c r="AI10" s="1284"/>
      <c r="AJ10" s="398"/>
      <c r="AK10" s="398"/>
      <c r="AL10" s="398"/>
    </row>
    <row r="11" spans="1:39" s="359" customFormat="1" ht="23.45" customHeight="1" x14ac:dyDescent="0.2">
      <c r="B11" s="1242" t="s">
        <v>997</v>
      </c>
      <c r="C11" s="222"/>
      <c r="D11" s="222"/>
      <c r="E11" s="223"/>
      <c r="F11" s="402" t="s">
        <v>247</v>
      </c>
      <c r="G11" s="224"/>
      <c r="H11" s="467">
        <v>1.2</v>
      </c>
      <c r="I11" s="224"/>
      <c r="J11" s="403">
        <v>0</v>
      </c>
      <c r="K11" s="225"/>
      <c r="L11" s="225"/>
      <c r="M11" s="463">
        <f>8.89+4.51+4.59+4.72+4.57+4.69+4.5</f>
        <v>36.47</v>
      </c>
      <c r="N11" s="225"/>
      <c r="O11" s="226"/>
      <c r="P11" s="472">
        <v>6</v>
      </c>
      <c r="Q11" s="403">
        <v>7.08</v>
      </c>
      <c r="R11" s="404">
        <v>3.9</v>
      </c>
      <c r="S11" s="227"/>
      <c r="T11" s="403">
        <v>7.35</v>
      </c>
      <c r="U11" s="405">
        <v>4.5</v>
      </c>
      <c r="V11" s="227"/>
      <c r="W11" s="403">
        <v>10.49</v>
      </c>
      <c r="X11" s="405">
        <v>3.8</v>
      </c>
      <c r="Y11" s="406">
        <f t="shared" ref="Y11:Y16" si="3">(P11*Q11)+(S11*T11)+(V11*W11)</f>
        <v>42.480000000000004</v>
      </c>
      <c r="Z11" s="407">
        <f t="shared" ref="Z11:Z16" si="4">(P11*R11)+(S11*U11)+(V11*X11)</f>
        <v>23.4</v>
      </c>
      <c r="AA11" s="1244">
        <f t="shared" ref="AA11" si="5">(J11+J12)+(K11+K12)+(M11+M12)+(N11+N12)+(Y11+Y12)</f>
        <v>152.97</v>
      </c>
      <c r="AB11" s="1236">
        <f t="shared" ref="AB11" si="6">AA11*0.1</f>
        <v>15.297000000000001</v>
      </c>
      <c r="AC11" s="1238">
        <f>AB11*$N$34</f>
        <v>70.366199999999992</v>
      </c>
      <c r="AD11" s="1230"/>
      <c r="AE11" s="1232">
        <f t="shared" ref="AE11" si="7">(L11+L12)+(O11+O12)+(Z11+Z12)</f>
        <v>46.8</v>
      </c>
      <c r="AF11" s="1234">
        <f t="shared" ref="AF11" si="8">0.4*AE11</f>
        <v>18.72</v>
      </c>
      <c r="AG11" s="1236">
        <f>AF11*$Y$33*0.001*30</f>
        <v>35.099999999999994</v>
      </c>
      <c r="AH11" s="1238">
        <f>AF11*$Y$33*0.001*($Y$34-30)</f>
        <v>-29.132999999999996</v>
      </c>
      <c r="AI11" s="1240">
        <f t="shared" ref="AI11" si="9">AA11-AD11-AF11</f>
        <v>134.25</v>
      </c>
      <c r="AJ11" s="398"/>
      <c r="AK11" s="398"/>
      <c r="AL11" s="398"/>
    </row>
    <row r="12" spans="1:39" s="359" customFormat="1" ht="23.45" customHeight="1" thickBot="1" x14ac:dyDescent="0.25">
      <c r="B12" s="1243"/>
      <c r="C12" s="228"/>
      <c r="D12" s="228"/>
      <c r="E12" s="229"/>
      <c r="F12" s="408" t="s">
        <v>328</v>
      </c>
      <c r="G12" s="230"/>
      <c r="H12" s="468">
        <v>1.2</v>
      </c>
      <c r="I12" s="230"/>
      <c r="J12" s="409">
        <v>0</v>
      </c>
      <c r="K12" s="231"/>
      <c r="L12" s="231"/>
      <c r="M12" s="464">
        <f>8.71+4.51+4.57+4.69+4.45+4.61</f>
        <v>31.54</v>
      </c>
      <c r="N12" s="231"/>
      <c r="O12" s="232"/>
      <c r="P12" s="473">
        <v>6</v>
      </c>
      <c r="Q12" s="409">
        <v>7.08</v>
      </c>
      <c r="R12" s="410">
        <v>3.9</v>
      </c>
      <c r="S12" s="233"/>
      <c r="T12" s="409">
        <v>7.35</v>
      </c>
      <c r="U12" s="411">
        <v>4.5</v>
      </c>
      <c r="V12" s="233"/>
      <c r="W12" s="409">
        <v>10.49</v>
      </c>
      <c r="X12" s="411">
        <v>3.8</v>
      </c>
      <c r="Y12" s="412">
        <f t="shared" si="3"/>
        <v>42.480000000000004</v>
      </c>
      <c r="Z12" s="413">
        <f t="shared" si="4"/>
        <v>23.4</v>
      </c>
      <c r="AA12" s="1245"/>
      <c r="AB12" s="1237"/>
      <c r="AC12" s="1239"/>
      <c r="AD12" s="1231"/>
      <c r="AE12" s="1233"/>
      <c r="AF12" s="1235"/>
      <c r="AG12" s="1237"/>
      <c r="AH12" s="1239"/>
      <c r="AI12" s="1241"/>
      <c r="AJ12" s="398"/>
      <c r="AK12" s="398"/>
      <c r="AL12" s="398"/>
    </row>
    <row r="13" spans="1:39" s="359" customFormat="1" ht="23.45" customHeight="1" x14ac:dyDescent="0.2">
      <c r="B13" s="1242" t="s">
        <v>998</v>
      </c>
      <c r="C13" s="222"/>
      <c r="D13" s="222"/>
      <c r="E13" s="223"/>
      <c r="F13" s="402" t="s">
        <v>247</v>
      </c>
      <c r="G13" s="224"/>
      <c r="H13" s="467">
        <v>1.2</v>
      </c>
      <c r="I13" s="224"/>
      <c r="J13" s="403">
        <v>0</v>
      </c>
      <c r="K13" s="225"/>
      <c r="L13" s="225"/>
      <c r="M13" s="463">
        <f>5+4.49+4.55+4.27</f>
        <v>18.309999999999999</v>
      </c>
      <c r="N13" s="225"/>
      <c r="O13" s="226"/>
      <c r="P13" s="472">
        <v>4</v>
      </c>
      <c r="Q13" s="403">
        <v>7.08</v>
      </c>
      <c r="R13" s="404">
        <v>3.9</v>
      </c>
      <c r="S13" s="227"/>
      <c r="T13" s="403">
        <v>7.35</v>
      </c>
      <c r="U13" s="405">
        <v>4.5</v>
      </c>
      <c r="V13" s="227"/>
      <c r="W13" s="403">
        <v>10.49</v>
      </c>
      <c r="X13" s="405">
        <v>3.8</v>
      </c>
      <c r="Y13" s="406">
        <f t="shared" si="3"/>
        <v>28.32</v>
      </c>
      <c r="Z13" s="407">
        <f t="shared" si="4"/>
        <v>15.6</v>
      </c>
      <c r="AA13" s="1244">
        <f t="shared" ref="AA13" si="10">(J13+J14)+(K13+K14)+(M13+M14)+(N13+N14)+(Y13+Y14)</f>
        <v>94.22</v>
      </c>
      <c r="AB13" s="1236">
        <f t="shared" ref="AB13" si="11">AA13*0.1</f>
        <v>9.4220000000000006</v>
      </c>
      <c r="AC13" s="1238">
        <f>AB13*$N$34</f>
        <v>43.341200000000001</v>
      </c>
      <c r="AD13" s="1230"/>
      <c r="AE13" s="1232">
        <f t="shared" ref="AE13" si="12">(L13+L14)+(O13+O14)+(Z13+Z14)</f>
        <v>31.2</v>
      </c>
      <c r="AF13" s="1234">
        <f t="shared" ref="AF13" si="13">0.4*AE13</f>
        <v>12.48</v>
      </c>
      <c r="AG13" s="1236">
        <f>AF13*$Y$33*0.001*30</f>
        <v>23.400000000000002</v>
      </c>
      <c r="AH13" s="1238">
        <f>AF13*$Y$33*0.001*($Y$34-30)</f>
        <v>-19.422000000000001</v>
      </c>
      <c r="AI13" s="1240">
        <f t="shared" ref="AI13" si="14">AA13-AD13-AF13</f>
        <v>81.739999999999995</v>
      </c>
      <c r="AJ13" s="398"/>
      <c r="AK13" s="398"/>
      <c r="AL13" s="398"/>
    </row>
    <row r="14" spans="1:39" s="359" customFormat="1" ht="23.45" customHeight="1" thickBot="1" x14ac:dyDescent="0.25">
      <c r="B14" s="1243"/>
      <c r="C14" s="228"/>
      <c r="D14" s="228"/>
      <c r="E14" s="229"/>
      <c r="F14" s="408" t="s">
        <v>328</v>
      </c>
      <c r="G14" s="230"/>
      <c r="H14" s="469">
        <v>1.2</v>
      </c>
      <c r="I14" s="230"/>
      <c r="J14" s="409">
        <v>0</v>
      </c>
      <c r="K14" s="231"/>
      <c r="L14" s="231"/>
      <c r="M14" s="464">
        <f>4.4+5.18+5.19+4.5</f>
        <v>19.27</v>
      </c>
      <c r="N14" s="231"/>
      <c r="O14" s="232"/>
      <c r="P14" s="473">
        <v>4</v>
      </c>
      <c r="Q14" s="409">
        <v>7.08</v>
      </c>
      <c r="R14" s="410">
        <v>3.9</v>
      </c>
      <c r="S14" s="233"/>
      <c r="T14" s="409">
        <v>7.35</v>
      </c>
      <c r="U14" s="411">
        <v>4.5</v>
      </c>
      <c r="V14" s="233"/>
      <c r="W14" s="409">
        <v>10.49</v>
      </c>
      <c r="X14" s="411">
        <v>3.8</v>
      </c>
      <c r="Y14" s="412">
        <f t="shared" si="3"/>
        <v>28.32</v>
      </c>
      <c r="Z14" s="413">
        <f t="shared" si="4"/>
        <v>15.6</v>
      </c>
      <c r="AA14" s="1245"/>
      <c r="AB14" s="1237"/>
      <c r="AC14" s="1239"/>
      <c r="AD14" s="1231"/>
      <c r="AE14" s="1233"/>
      <c r="AF14" s="1235"/>
      <c r="AG14" s="1237"/>
      <c r="AH14" s="1239"/>
      <c r="AI14" s="1241"/>
      <c r="AJ14" s="398"/>
      <c r="AK14" s="398"/>
      <c r="AL14" s="398"/>
    </row>
    <row r="15" spans="1:39" s="359" customFormat="1" ht="23.25" customHeight="1" x14ac:dyDescent="0.2">
      <c r="B15" s="1242" t="s">
        <v>999</v>
      </c>
      <c r="C15" s="222"/>
      <c r="D15" s="222"/>
      <c r="E15" s="223"/>
      <c r="F15" s="402" t="s">
        <v>247</v>
      </c>
      <c r="G15" s="224"/>
      <c r="H15" s="467">
        <v>1.2</v>
      </c>
      <c r="I15" s="224"/>
      <c r="J15" s="403">
        <f t="shared" ref="J15:J16" si="15">G15*H15</f>
        <v>0</v>
      </c>
      <c r="K15" s="225"/>
      <c r="L15" s="225"/>
      <c r="M15" s="463">
        <f>4.53+4.08+4.98+4.08+16.89</f>
        <v>34.56</v>
      </c>
      <c r="N15" s="225"/>
      <c r="O15" s="226"/>
      <c r="P15" s="472">
        <v>7</v>
      </c>
      <c r="Q15" s="403">
        <v>7.08</v>
      </c>
      <c r="R15" s="404">
        <v>3.9</v>
      </c>
      <c r="S15" s="234"/>
      <c r="T15" s="403">
        <v>7.35</v>
      </c>
      <c r="U15" s="405">
        <v>4.5</v>
      </c>
      <c r="V15" s="234"/>
      <c r="W15" s="403">
        <v>10.49</v>
      </c>
      <c r="X15" s="405">
        <v>3.8</v>
      </c>
      <c r="Y15" s="406">
        <f t="shared" si="3"/>
        <v>49.56</v>
      </c>
      <c r="Z15" s="407">
        <f t="shared" si="4"/>
        <v>27.3</v>
      </c>
      <c r="AA15" s="1244">
        <f t="shared" ref="AA15" si="16">(J15+J16)+(K15+K16)+(M15+M16)+(N15+N16)+(Y15+Y16)</f>
        <v>173.14</v>
      </c>
      <c r="AB15" s="1236">
        <f t="shared" ref="AB15" si="17">AA15*0.1</f>
        <v>17.314</v>
      </c>
      <c r="AC15" s="1238">
        <f>AB15*$N$34</f>
        <v>79.64439999999999</v>
      </c>
      <c r="AD15" s="1230"/>
      <c r="AE15" s="1232">
        <f t="shared" ref="AE15" si="18">(L15+L16)+(O15+O16)+(Z15+Z16)</f>
        <v>54.6</v>
      </c>
      <c r="AF15" s="1234">
        <f t="shared" ref="AF15" si="19">0.4*AE15</f>
        <v>21.840000000000003</v>
      </c>
      <c r="AG15" s="1236">
        <f>AF15*$Y$33*0.001*30</f>
        <v>40.950000000000003</v>
      </c>
      <c r="AH15" s="1238">
        <f>AF15*$Y$33*0.001*($Y$34-30)</f>
        <v>-33.988500000000002</v>
      </c>
      <c r="AI15" s="1240">
        <f t="shared" ref="AI15" si="20">AA15-AD15-AF15</f>
        <v>151.29999999999998</v>
      </c>
      <c r="AJ15" s="398"/>
      <c r="AK15" s="398"/>
      <c r="AL15" s="398"/>
    </row>
    <row r="16" spans="1:39" s="359" customFormat="1" ht="23.45" customHeight="1" thickBot="1" x14ac:dyDescent="0.25">
      <c r="B16" s="1243"/>
      <c r="C16" s="228"/>
      <c r="D16" s="228"/>
      <c r="E16" s="229"/>
      <c r="F16" s="408" t="s">
        <v>328</v>
      </c>
      <c r="G16" s="230"/>
      <c r="H16" s="469">
        <v>1.2</v>
      </c>
      <c r="I16" s="230"/>
      <c r="J16" s="409">
        <f t="shared" si="15"/>
        <v>0</v>
      </c>
      <c r="K16" s="231"/>
      <c r="L16" s="231"/>
      <c r="M16" s="464">
        <f>5.05+8.03+8.08+4.52+4.65+4.52+4.61</f>
        <v>39.459999999999994</v>
      </c>
      <c r="N16" s="231"/>
      <c r="O16" s="232"/>
      <c r="P16" s="473">
        <v>7</v>
      </c>
      <c r="Q16" s="409">
        <v>7.08</v>
      </c>
      <c r="R16" s="410">
        <v>3.9</v>
      </c>
      <c r="S16" s="235"/>
      <c r="T16" s="409">
        <v>7.35</v>
      </c>
      <c r="U16" s="411">
        <v>4.5</v>
      </c>
      <c r="V16" s="235"/>
      <c r="W16" s="409">
        <v>10.49</v>
      </c>
      <c r="X16" s="411">
        <v>3.8</v>
      </c>
      <c r="Y16" s="412">
        <f t="shared" si="3"/>
        <v>49.56</v>
      </c>
      <c r="Z16" s="413">
        <f t="shared" si="4"/>
        <v>27.3</v>
      </c>
      <c r="AA16" s="1245"/>
      <c r="AB16" s="1237"/>
      <c r="AC16" s="1239"/>
      <c r="AD16" s="1231"/>
      <c r="AE16" s="1233"/>
      <c r="AF16" s="1235"/>
      <c r="AG16" s="1237"/>
      <c r="AH16" s="1239"/>
      <c r="AI16" s="1241"/>
      <c r="AJ16" s="398"/>
      <c r="AK16" s="398"/>
      <c r="AL16" s="398"/>
    </row>
    <row r="17" spans="2:42" s="359" customFormat="1" ht="23.25" customHeight="1" x14ac:dyDescent="0.2">
      <c r="B17" s="1242" t="s">
        <v>1000</v>
      </c>
      <c r="C17" s="222"/>
      <c r="D17" s="222"/>
      <c r="E17" s="223"/>
      <c r="F17" s="402" t="s">
        <v>247</v>
      </c>
      <c r="G17" s="224"/>
      <c r="H17" s="467">
        <v>1.2</v>
      </c>
      <c r="I17" s="224"/>
      <c r="J17" s="403">
        <f>G17*H17</f>
        <v>0</v>
      </c>
      <c r="K17" s="225"/>
      <c r="L17" s="225"/>
      <c r="M17" s="463">
        <f>4.79+4.52+4.54+4.7+5.86</f>
        <v>24.409999999999997</v>
      </c>
      <c r="N17" s="225"/>
      <c r="O17" s="226"/>
      <c r="P17" s="472">
        <v>4</v>
      </c>
      <c r="Q17" s="403">
        <v>7.08</v>
      </c>
      <c r="R17" s="404">
        <v>3.9</v>
      </c>
      <c r="S17" s="234"/>
      <c r="T17" s="403">
        <v>7.35</v>
      </c>
      <c r="U17" s="405">
        <v>4.5</v>
      </c>
      <c r="V17" s="234"/>
      <c r="W17" s="403">
        <v>10.49</v>
      </c>
      <c r="X17" s="405">
        <v>3.8</v>
      </c>
      <c r="Y17" s="406">
        <f>(P17*Q17)+(S17*T17)+(V17*W17)</f>
        <v>28.32</v>
      </c>
      <c r="Z17" s="407">
        <f>(P17*R17)+(S17*U17)+(V17*X17)</f>
        <v>15.6</v>
      </c>
      <c r="AA17" s="1244">
        <f t="shared" ref="AA17" si="21">(J17+J18)+(K17+K18)+(M17+M18)+(N17+N18)+(Y17+Y18)</f>
        <v>110.57</v>
      </c>
      <c r="AB17" s="1236">
        <f t="shared" ref="AB17" si="22">AA17*0.1</f>
        <v>11.057</v>
      </c>
      <c r="AC17" s="1238">
        <f>AB17*$N$34</f>
        <v>50.862199999999994</v>
      </c>
      <c r="AD17" s="1230"/>
      <c r="AE17" s="1232">
        <f t="shared" ref="AE17" si="23">(L17+L18)+(O17+O18)+(Z17+Z18)</f>
        <v>31.2</v>
      </c>
      <c r="AF17" s="1234">
        <f t="shared" ref="AF17" si="24">0.4*AE17</f>
        <v>12.48</v>
      </c>
      <c r="AG17" s="1236">
        <f>AF17*$Y$33*0.001*30</f>
        <v>23.400000000000002</v>
      </c>
      <c r="AH17" s="1238">
        <f>AF17*$Y$33*0.001*($Y$34-30)</f>
        <v>-19.422000000000001</v>
      </c>
      <c r="AI17" s="1240">
        <f t="shared" ref="AI17" si="25">AA17-AD17-AF17</f>
        <v>98.089999999999989</v>
      </c>
      <c r="AJ17" s="398"/>
      <c r="AK17" s="398"/>
      <c r="AL17" s="398"/>
    </row>
    <row r="18" spans="2:42" s="359" customFormat="1" ht="23.45" customHeight="1" thickBot="1" x14ac:dyDescent="0.25">
      <c r="B18" s="1243"/>
      <c r="C18" s="228"/>
      <c r="D18" s="228"/>
      <c r="E18" s="229"/>
      <c r="F18" s="408" t="s">
        <v>328</v>
      </c>
      <c r="G18" s="230"/>
      <c r="H18" s="469">
        <v>1.2</v>
      </c>
      <c r="I18" s="230"/>
      <c r="J18" s="409">
        <f>G18*H18</f>
        <v>0</v>
      </c>
      <c r="K18" s="231"/>
      <c r="L18" s="231"/>
      <c r="M18" s="464">
        <f>9.6+4.51+4.61+4.6+6.2</f>
        <v>29.52</v>
      </c>
      <c r="N18" s="231"/>
      <c r="O18" s="232"/>
      <c r="P18" s="473">
        <v>4</v>
      </c>
      <c r="Q18" s="409">
        <v>7.08</v>
      </c>
      <c r="R18" s="410">
        <v>3.9</v>
      </c>
      <c r="S18" s="235"/>
      <c r="T18" s="409">
        <v>7.35</v>
      </c>
      <c r="U18" s="411">
        <v>4.5</v>
      </c>
      <c r="V18" s="235"/>
      <c r="W18" s="409">
        <v>10.49</v>
      </c>
      <c r="X18" s="411">
        <v>3.8</v>
      </c>
      <c r="Y18" s="412">
        <f>(P18*Q18)+(S18*T18)+(V18*W18)</f>
        <v>28.32</v>
      </c>
      <c r="Z18" s="413">
        <f>(P18*R18)+(S18*U18)+(V18*X18)</f>
        <v>15.6</v>
      </c>
      <c r="AA18" s="1245"/>
      <c r="AB18" s="1237"/>
      <c r="AC18" s="1239"/>
      <c r="AD18" s="1231"/>
      <c r="AE18" s="1233"/>
      <c r="AF18" s="1235"/>
      <c r="AG18" s="1237"/>
      <c r="AH18" s="1239"/>
      <c r="AI18" s="1241"/>
      <c r="AJ18" s="398"/>
      <c r="AK18" s="398"/>
      <c r="AL18" s="398"/>
    </row>
    <row r="19" spans="2:42" s="359" customFormat="1" ht="23.25" customHeight="1" x14ac:dyDescent="0.2">
      <c r="B19" s="1242" t="s">
        <v>1024</v>
      </c>
      <c r="C19" s="222"/>
      <c r="D19" s="222"/>
      <c r="E19" s="223"/>
      <c r="F19" s="402" t="s">
        <v>247</v>
      </c>
      <c r="G19" s="224"/>
      <c r="H19" s="467">
        <v>1.2</v>
      </c>
      <c r="I19" s="224"/>
      <c r="J19" s="403">
        <f t="shared" ref="J19:J20" si="26">G19*H19</f>
        <v>0</v>
      </c>
      <c r="K19" s="225"/>
      <c r="L19" s="225"/>
      <c r="M19" s="463">
        <f>4.54+4.53</f>
        <v>9.07</v>
      </c>
      <c r="N19" s="225"/>
      <c r="O19" s="226"/>
      <c r="P19" s="472">
        <v>6</v>
      </c>
      <c r="Q19" s="403">
        <v>7.08</v>
      </c>
      <c r="R19" s="404">
        <v>3.9</v>
      </c>
      <c r="S19" s="234"/>
      <c r="T19" s="403">
        <v>7.35</v>
      </c>
      <c r="U19" s="405">
        <v>4.5</v>
      </c>
      <c r="V19" s="234"/>
      <c r="W19" s="403">
        <v>10.49</v>
      </c>
      <c r="X19" s="405">
        <v>3.8</v>
      </c>
      <c r="Y19" s="406">
        <f t="shared" ref="Y19:Y20" si="27">(P19*Q19)+(S19*T19)+(V19*W19)</f>
        <v>42.480000000000004</v>
      </c>
      <c r="Z19" s="407">
        <f t="shared" ref="Z19:Z20" si="28">(P19*R19)+(S19*U19)+(V19*X19)</f>
        <v>23.4</v>
      </c>
      <c r="AA19" s="1244">
        <f>(J19+J20)+(K19+K20)+(M19+M20)+(N19+N20)+(Y19+Y20)</f>
        <v>103.24000000000001</v>
      </c>
      <c r="AB19" s="1236">
        <f t="shared" ref="AB19" si="29">AA19*0.1</f>
        <v>10.324000000000002</v>
      </c>
      <c r="AC19" s="1238">
        <f>AB19*$N$34</f>
        <v>47.490400000000001</v>
      </c>
      <c r="AD19" s="1230"/>
      <c r="AE19" s="1232">
        <f>(L19+L20)+(O19+O20)+(Z19+Z20)</f>
        <v>46.8</v>
      </c>
      <c r="AF19" s="1234">
        <f t="shared" ref="AF19" si="30">0.4*AE19</f>
        <v>18.72</v>
      </c>
      <c r="AG19" s="1236">
        <f>AF19*$Y$33*0.001*30</f>
        <v>35.099999999999994</v>
      </c>
      <c r="AH19" s="1238">
        <f>AF19*$Y$33*0.001*($Y$34-30)</f>
        <v>-29.132999999999996</v>
      </c>
      <c r="AI19" s="1240">
        <f t="shared" ref="AI19" si="31">AA19-AD19-AF19</f>
        <v>84.52000000000001</v>
      </c>
      <c r="AJ19" s="398"/>
      <c r="AK19" s="398"/>
      <c r="AL19" s="398"/>
      <c r="AP19"/>
    </row>
    <row r="20" spans="2:42" s="359" customFormat="1" ht="23.45" customHeight="1" thickBot="1" x14ac:dyDescent="0.25">
      <c r="B20" s="1243"/>
      <c r="C20" s="228"/>
      <c r="D20" s="228"/>
      <c r="E20" s="229"/>
      <c r="F20" s="408" t="s">
        <v>328</v>
      </c>
      <c r="G20" s="230"/>
      <c r="H20" s="469">
        <v>1.2</v>
      </c>
      <c r="I20" s="230"/>
      <c r="J20" s="409">
        <f t="shared" si="26"/>
        <v>0</v>
      </c>
      <c r="K20" s="231"/>
      <c r="L20" s="231"/>
      <c r="M20" s="464">
        <f>4.66+4.55</f>
        <v>9.2100000000000009</v>
      </c>
      <c r="N20" s="231"/>
      <c r="O20" s="232"/>
      <c r="P20" s="473">
        <v>6</v>
      </c>
      <c r="Q20" s="409">
        <v>7.08</v>
      </c>
      <c r="R20" s="410">
        <v>3.9</v>
      </c>
      <c r="S20" s="235"/>
      <c r="T20" s="409">
        <v>7.35</v>
      </c>
      <c r="U20" s="411">
        <v>4.5</v>
      </c>
      <c r="V20" s="235"/>
      <c r="W20" s="409">
        <v>10.49</v>
      </c>
      <c r="X20" s="411">
        <v>3.8</v>
      </c>
      <c r="Y20" s="412">
        <f t="shared" si="27"/>
        <v>42.480000000000004</v>
      </c>
      <c r="Z20" s="413">
        <f t="shared" si="28"/>
        <v>23.4</v>
      </c>
      <c r="AA20" s="1245"/>
      <c r="AB20" s="1237"/>
      <c r="AC20" s="1239"/>
      <c r="AD20" s="1231"/>
      <c r="AE20" s="1233"/>
      <c r="AF20" s="1235"/>
      <c r="AG20" s="1237"/>
      <c r="AH20" s="1239"/>
      <c r="AI20" s="1241"/>
      <c r="AJ20" s="398" t="e">
        <f>#REF!*$AF$33</f>
        <v>#REF!</v>
      </c>
      <c r="AK20" s="398" t="e">
        <f>#REF!*$AF$36</f>
        <v>#REF!</v>
      </c>
      <c r="AL20" s="398" t="e">
        <f>AJ20+AK20</f>
        <v>#REF!</v>
      </c>
      <c r="AP20"/>
    </row>
    <row r="21" spans="2:42" s="359" customFormat="1" ht="23.25" customHeight="1" x14ac:dyDescent="0.2">
      <c r="B21" s="1242" t="s">
        <v>1001</v>
      </c>
      <c r="C21" s="222"/>
      <c r="D21" s="222"/>
      <c r="E21" s="223"/>
      <c r="F21" s="402" t="s">
        <v>247</v>
      </c>
      <c r="G21" s="224"/>
      <c r="H21" s="467">
        <v>1.2</v>
      </c>
      <c r="I21" s="224"/>
      <c r="J21" s="403">
        <f t="shared" ref="J21:J24" si="32">G21*H21</f>
        <v>0</v>
      </c>
      <c r="K21" s="225"/>
      <c r="L21" s="225"/>
      <c r="M21" s="463">
        <v>16.489999999999998</v>
      </c>
      <c r="N21" s="225"/>
      <c r="O21" s="226"/>
      <c r="P21" s="472">
        <v>11</v>
      </c>
      <c r="Q21" s="403">
        <v>7.08</v>
      </c>
      <c r="R21" s="404">
        <v>3.9</v>
      </c>
      <c r="S21" s="234"/>
      <c r="T21" s="403">
        <v>7.35</v>
      </c>
      <c r="U21" s="405">
        <v>4.5</v>
      </c>
      <c r="V21" s="234"/>
      <c r="W21" s="403">
        <v>10.49</v>
      </c>
      <c r="X21" s="405">
        <v>3.8</v>
      </c>
      <c r="Y21" s="406">
        <f t="shared" ref="Y21:Y24" si="33">(P21*Q21)+(S21*T21)+(V21*W21)</f>
        <v>77.88</v>
      </c>
      <c r="Z21" s="407">
        <f t="shared" ref="Z21:Z24" si="34">(P21*R21)+(S21*U21)+(V21*X21)</f>
        <v>42.9</v>
      </c>
      <c r="AA21" s="1244">
        <f t="shared" ref="AA21" si="35">(J21+J22)+(K21+K22)+(M21+M22)+(N21+N22)+(Y21+Y22)</f>
        <v>172.25</v>
      </c>
      <c r="AB21" s="1236">
        <f t="shared" ref="AB21" si="36">AA21*0.1</f>
        <v>17.225000000000001</v>
      </c>
      <c r="AC21" s="1238">
        <f>AB21*$N$34</f>
        <v>79.234999999999999</v>
      </c>
      <c r="AD21" s="1230"/>
      <c r="AE21" s="1232">
        <f t="shared" ref="AE21" si="37">(L21+L22)+(O21+O22)+(Z21+Z22)</f>
        <v>85.8</v>
      </c>
      <c r="AF21" s="1234">
        <f t="shared" ref="AF21" si="38">0.4*AE21</f>
        <v>34.32</v>
      </c>
      <c r="AG21" s="1236">
        <f>AF21*$Y$33*0.001*30</f>
        <v>64.349999999999994</v>
      </c>
      <c r="AH21" s="1238">
        <f>AF21*$Y$33*0.001*($Y$34-30)</f>
        <v>-53.410499999999999</v>
      </c>
      <c r="AI21" s="1240">
        <f t="shared" ref="AI21" si="39">AA21-AD21-AF21</f>
        <v>137.93</v>
      </c>
      <c r="AJ21" s="398"/>
      <c r="AK21" s="398"/>
      <c r="AL21" s="398"/>
      <c r="AP21"/>
    </row>
    <row r="22" spans="2:42" s="359" customFormat="1" ht="23.45" customHeight="1" thickBot="1" x14ac:dyDescent="0.25">
      <c r="B22" s="1243"/>
      <c r="C22" s="228"/>
      <c r="D22" s="228"/>
      <c r="E22" s="229"/>
      <c r="F22" s="408" t="s">
        <v>328</v>
      </c>
      <c r="G22" s="230"/>
      <c r="H22" s="469">
        <v>1.2</v>
      </c>
      <c r="I22" s="230"/>
      <c r="J22" s="409">
        <f t="shared" si="32"/>
        <v>0</v>
      </c>
      <c r="K22" s="231"/>
      <c r="L22" s="231"/>
      <c r="M22" s="464">
        <v>0</v>
      </c>
      <c r="N22" s="231"/>
      <c r="O22" s="232"/>
      <c r="P22" s="473">
        <v>11</v>
      </c>
      <c r="Q22" s="409">
        <v>7.08</v>
      </c>
      <c r="R22" s="410">
        <v>3.9</v>
      </c>
      <c r="S22" s="235"/>
      <c r="T22" s="409">
        <v>7.35</v>
      </c>
      <c r="U22" s="411">
        <v>4.5</v>
      </c>
      <c r="V22" s="235"/>
      <c r="W22" s="409">
        <v>10.49</v>
      </c>
      <c r="X22" s="411">
        <v>3.8</v>
      </c>
      <c r="Y22" s="412">
        <f t="shared" si="33"/>
        <v>77.88</v>
      </c>
      <c r="Z22" s="413">
        <f t="shared" si="34"/>
        <v>42.9</v>
      </c>
      <c r="AA22" s="1245"/>
      <c r="AB22" s="1237"/>
      <c r="AC22" s="1239"/>
      <c r="AD22" s="1231"/>
      <c r="AE22" s="1233"/>
      <c r="AF22" s="1235"/>
      <c r="AG22" s="1237"/>
      <c r="AH22" s="1239"/>
      <c r="AI22" s="1241"/>
      <c r="AJ22" s="398" t="e">
        <f>#REF!*$AF$33</f>
        <v>#REF!</v>
      </c>
      <c r="AK22" s="398" t="e">
        <f>#REF!*$AF$36</f>
        <v>#REF!</v>
      </c>
      <c r="AL22" s="398" t="e">
        <f t="shared" ref="AL22" si="40">AJ22+AK22</f>
        <v>#REF!</v>
      </c>
      <c r="AP22"/>
    </row>
    <row r="23" spans="2:42" s="359" customFormat="1" ht="23.25" customHeight="1" x14ac:dyDescent="0.2">
      <c r="B23" s="1242" t="s">
        <v>1002</v>
      </c>
      <c r="C23" s="222"/>
      <c r="D23" s="222"/>
      <c r="E23" s="223"/>
      <c r="F23" s="402" t="s">
        <v>247</v>
      </c>
      <c r="G23" s="224"/>
      <c r="H23" s="467">
        <v>1.2</v>
      </c>
      <c r="I23" s="224"/>
      <c r="J23" s="403">
        <f t="shared" si="32"/>
        <v>0</v>
      </c>
      <c r="K23" s="225"/>
      <c r="L23" s="225"/>
      <c r="M23" s="463">
        <v>0</v>
      </c>
      <c r="N23" s="225"/>
      <c r="O23" s="226"/>
      <c r="P23" s="472">
        <v>7</v>
      </c>
      <c r="Q23" s="403">
        <v>7.08</v>
      </c>
      <c r="R23" s="404">
        <v>3.9</v>
      </c>
      <c r="S23" s="234"/>
      <c r="T23" s="403">
        <v>7.35</v>
      </c>
      <c r="U23" s="405">
        <v>4.5</v>
      </c>
      <c r="V23" s="234"/>
      <c r="W23" s="403">
        <v>10.49</v>
      </c>
      <c r="X23" s="405">
        <v>3.8</v>
      </c>
      <c r="Y23" s="406">
        <f t="shared" si="33"/>
        <v>49.56</v>
      </c>
      <c r="Z23" s="407">
        <f t="shared" si="34"/>
        <v>27.3</v>
      </c>
      <c r="AA23" s="1244">
        <f t="shared" ref="AA23" si="41">(J23+J24)+(K23+K24)+(M23+M24)+(N23+N24)+(Y23+Y24)</f>
        <v>99.12</v>
      </c>
      <c r="AB23" s="1236">
        <f t="shared" ref="AB23" si="42">AA23*0.1</f>
        <v>9.9120000000000008</v>
      </c>
      <c r="AC23" s="1238">
        <f>AB23*$N$34</f>
        <v>45.595199999999998</v>
      </c>
      <c r="AD23" s="1230"/>
      <c r="AE23" s="1232">
        <f t="shared" ref="AE23" si="43">(L23+L24)+(O23+O24)+(Z23+Z24)</f>
        <v>54.6</v>
      </c>
      <c r="AF23" s="1234">
        <f t="shared" ref="AF23" si="44">0.4*AE23</f>
        <v>21.840000000000003</v>
      </c>
      <c r="AG23" s="1236">
        <f>AF23*$Y$33*0.001*30</f>
        <v>40.950000000000003</v>
      </c>
      <c r="AH23" s="1238">
        <f>AF23*$Y$33*0.001*($Y$34-30)</f>
        <v>-33.988500000000002</v>
      </c>
      <c r="AI23" s="1240">
        <f t="shared" ref="AI23" si="45">AA23-AD23-AF23</f>
        <v>77.28</v>
      </c>
      <c r="AJ23" s="398"/>
      <c r="AK23" s="398"/>
      <c r="AL23" s="398"/>
      <c r="AP23"/>
    </row>
    <row r="24" spans="2:42" s="359" customFormat="1" ht="23.45" customHeight="1" thickBot="1" x14ac:dyDescent="0.25">
      <c r="B24" s="1243"/>
      <c r="C24" s="228"/>
      <c r="D24" s="228"/>
      <c r="E24" s="229"/>
      <c r="F24" s="408" t="s">
        <v>328</v>
      </c>
      <c r="G24" s="230"/>
      <c r="H24" s="469">
        <v>1.2</v>
      </c>
      <c r="I24" s="230"/>
      <c r="J24" s="409">
        <f t="shared" si="32"/>
        <v>0</v>
      </c>
      <c r="K24" s="231"/>
      <c r="L24" s="231"/>
      <c r="M24" s="464">
        <v>0</v>
      </c>
      <c r="N24" s="231"/>
      <c r="O24" s="232"/>
      <c r="P24" s="473">
        <v>7</v>
      </c>
      <c r="Q24" s="409">
        <v>7.08</v>
      </c>
      <c r="R24" s="410">
        <v>3.9</v>
      </c>
      <c r="S24" s="235"/>
      <c r="T24" s="409">
        <v>7.35</v>
      </c>
      <c r="U24" s="411">
        <v>4.5</v>
      </c>
      <c r="V24" s="235"/>
      <c r="W24" s="409">
        <v>10.49</v>
      </c>
      <c r="X24" s="411">
        <v>3.8</v>
      </c>
      <c r="Y24" s="412">
        <f t="shared" si="33"/>
        <v>49.56</v>
      </c>
      <c r="Z24" s="413">
        <f t="shared" si="34"/>
        <v>27.3</v>
      </c>
      <c r="AA24" s="1245"/>
      <c r="AB24" s="1237"/>
      <c r="AC24" s="1239"/>
      <c r="AD24" s="1231"/>
      <c r="AE24" s="1233"/>
      <c r="AF24" s="1235"/>
      <c r="AG24" s="1237"/>
      <c r="AH24" s="1239"/>
      <c r="AI24" s="1241"/>
      <c r="AJ24" s="398" t="e">
        <f>#REF!*$AF$33</f>
        <v>#REF!</v>
      </c>
      <c r="AK24" s="398" t="e">
        <f>#REF!*$AF$36</f>
        <v>#REF!</v>
      </c>
      <c r="AL24" s="398" t="e">
        <f t="shared" ref="AL24" si="46">AJ24+AK24</f>
        <v>#REF!</v>
      </c>
      <c r="AP24"/>
    </row>
    <row r="25" spans="2:42" s="359" customFormat="1" ht="23.25" customHeight="1" x14ac:dyDescent="0.2">
      <c r="B25" s="1242" t="s">
        <v>1003</v>
      </c>
      <c r="C25" s="222"/>
      <c r="D25" s="222"/>
      <c r="E25" s="223"/>
      <c r="F25" s="402" t="s">
        <v>247</v>
      </c>
      <c r="G25" s="224"/>
      <c r="H25" s="467">
        <v>1.2</v>
      </c>
      <c r="I25" s="224"/>
      <c r="J25" s="403">
        <f>G25*H25</f>
        <v>0</v>
      </c>
      <c r="K25" s="225"/>
      <c r="L25" s="225"/>
      <c r="M25" s="463">
        <v>0</v>
      </c>
      <c r="N25" s="225"/>
      <c r="O25" s="226"/>
      <c r="P25" s="472">
        <v>6</v>
      </c>
      <c r="Q25" s="403">
        <v>7.08</v>
      </c>
      <c r="R25" s="404">
        <v>3.9</v>
      </c>
      <c r="S25" s="234"/>
      <c r="T25" s="403">
        <v>7.35</v>
      </c>
      <c r="U25" s="405">
        <v>4.5</v>
      </c>
      <c r="V25" s="234"/>
      <c r="W25" s="403">
        <v>10.49</v>
      </c>
      <c r="X25" s="405">
        <v>3.8</v>
      </c>
      <c r="Y25" s="406">
        <f>(P25*Q25)+(S25*T25)+(V25*W25)</f>
        <v>42.480000000000004</v>
      </c>
      <c r="Z25" s="407">
        <f>(P25*R25)+(S25*U25)+(V25*X25)</f>
        <v>23.4</v>
      </c>
      <c r="AA25" s="1244">
        <f t="shared" ref="AA25" si="47">(J25+J26)+(K25+K26)+(M25+M26)+(N25+N26)+(Y25+Y26)</f>
        <v>94.29</v>
      </c>
      <c r="AB25" s="1236">
        <f t="shared" ref="AB25" si="48">AA25*0.1</f>
        <v>9.4290000000000003</v>
      </c>
      <c r="AC25" s="1238">
        <f>AB25*$N$34</f>
        <v>43.373399999999997</v>
      </c>
      <c r="AD25" s="1230"/>
      <c r="AE25" s="1232">
        <f t="shared" ref="AE25" si="49">(L25+L26)+(O25+O26)+(Z25+Z26)</f>
        <v>46.8</v>
      </c>
      <c r="AF25" s="1234">
        <f t="shared" ref="AF25" si="50">0.4*AE25</f>
        <v>18.72</v>
      </c>
      <c r="AG25" s="1236">
        <f>AF25*$Y$33*0.001*30</f>
        <v>35.099999999999994</v>
      </c>
      <c r="AH25" s="1238">
        <f>AF25*$Y$33*0.001*($Y$34-30)</f>
        <v>-29.132999999999996</v>
      </c>
      <c r="AI25" s="1240">
        <f t="shared" ref="AI25" si="51">AA25-AD25-AF25</f>
        <v>75.570000000000007</v>
      </c>
      <c r="AJ25" s="398"/>
      <c r="AK25" s="398"/>
      <c r="AL25" s="398"/>
      <c r="AP25"/>
    </row>
    <row r="26" spans="2:42" s="359" customFormat="1" ht="23.45" customHeight="1" thickBot="1" x14ac:dyDescent="0.25">
      <c r="B26" s="1243"/>
      <c r="C26" s="228"/>
      <c r="D26" s="228"/>
      <c r="E26" s="229"/>
      <c r="F26" s="408" t="s">
        <v>328</v>
      </c>
      <c r="G26" s="230"/>
      <c r="H26" s="469">
        <v>1.2</v>
      </c>
      <c r="I26" s="230"/>
      <c r="J26" s="409">
        <f>G26*H26</f>
        <v>0</v>
      </c>
      <c r="K26" s="231"/>
      <c r="L26" s="231"/>
      <c r="M26" s="464">
        <f>4.54+4.79</f>
        <v>9.33</v>
      </c>
      <c r="N26" s="231"/>
      <c r="O26" s="232"/>
      <c r="P26" s="473">
        <v>6</v>
      </c>
      <c r="Q26" s="409">
        <v>7.08</v>
      </c>
      <c r="R26" s="410">
        <v>3.9</v>
      </c>
      <c r="S26" s="235"/>
      <c r="T26" s="409">
        <v>7.35</v>
      </c>
      <c r="U26" s="411">
        <v>4.5</v>
      </c>
      <c r="V26" s="235"/>
      <c r="W26" s="409">
        <v>10.49</v>
      </c>
      <c r="X26" s="411">
        <v>3.8</v>
      </c>
      <c r="Y26" s="412">
        <f>(P26*Q26)+(S26*T26)+(V26*W26)</f>
        <v>42.480000000000004</v>
      </c>
      <c r="Z26" s="413">
        <f>(P26*R26)+(S26*U26)+(V26*X26)</f>
        <v>23.4</v>
      </c>
      <c r="AA26" s="1245"/>
      <c r="AB26" s="1237"/>
      <c r="AC26" s="1239"/>
      <c r="AD26" s="1231"/>
      <c r="AE26" s="1233"/>
      <c r="AF26" s="1235"/>
      <c r="AG26" s="1237"/>
      <c r="AH26" s="1239"/>
      <c r="AI26" s="1241"/>
      <c r="AJ26" s="398">
        <f>AI9*$AF$33</f>
        <v>13.573700000000001</v>
      </c>
      <c r="AK26" s="398">
        <f>AF9*$AF$36</f>
        <v>0.99840000000000007</v>
      </c>
      <c r="AL26" s="398">
        <f t="shared" ref="AL26" si="52">AJ26+AK26</f>
        <v>14.572100000000001</v>
      </c>
      <c r="AP26"/>
    </row>
    <row r="27" spans="2:42" s="359" customFormat="1" ht="23.25" customHeight="1" x14ac:dyDescent="0.2">
      <c r="B27" s="1242" t="s">
        <v>1004</v>
      </c>
      <c r="C27" s="222"/>
      <c r="D27" s="222"/>
      <c r="E27" s="223"/>
      <c r="F27" s="402" t="s">
        <v>247</v>
      </c>
      <c r="G27" s="224"/>
      <c r="H27" s="467">
        <v>1.2</v>
      </c>
      <c r="I27" s="224"/>
      <c r="J27" s="403">
        <f>G27*H27</f>
        <v>0</v>
      </c>
      <c r="K27" s="225"/>
      <c r="L27" s="225"/>
      <c r="M27" s="463">
        <v>4.5999999999999996</v>
      </c>
      <c r="N27" s="225"/>
      <c r="O27" s="226"/>
      <c r="P27" s="472">
        <v>3</v>
      </c>
      <c r="Q27" s="403">
        <v>7.08</v>
      </c>
      <c r="R27" s="404">
        <v>3.9</v>
      </c>
      <c r="S27" s="234"/>
      <c r="T27" s="403">
        <v>7.35</v>
      </c>
      <c r="U27" s="405">
        <v>4.5</v>
      </c>
      <c r="V27" s="234"/>
      <c r="W27" s="403">
        <v>10.49</v>
      </c>
      <c r="X27" s="405">
        <v>3.8</v>
      </c>
      <c r="Y27" s="406">
        <f>(P27*Q27)+(S27*T27)+(V27*W27)</f>
        <v>21.240000000000002</v>
      </c>
      <c r="Z27" s="407">
        <f>(P27*R27)+(S27*U27)+(V27*X27)</f>
        <v>11.7</v>
      </c>
      <c r="AA27" s="1244">
        <f t="shared" ref="AA27" si="53">(J27+J28)+(K27+K28)+(M27+M28)+(N27+N28)+(Y27+Y28)</f>
        <v>51.580000000000005</v>
      </c>
      <c r="AB27" s="1236">
        <f t="shared" ref="AB27" si="54">AA27*0.1</f>
        <v>5.1580000000000013</v>
      </c>
      <c r="AC27" s="1238">
        <f>AB27*$N$34</f>
        <v>23.726800000000004</v>
      </c>
      <c r="AD27" s="1230"/>
      <c r="AE27" s="1232">
        <f t="shared" ref="AE27" si="55">(L27+L28)+(O27+O28)+(Z27+Z28)</f>
        <v>23.4</v>
      </c>
      <c r="AF27" s="1234">
        <f t="shared" ref="AF27" si="56">0.4*AE27</f>
        <v>9.36</v>
      </c>
      <c r="AG27" s="1236">
        <f>AF27*$Y$33*0.001*30</f>
        <v>17.549999999999997</v>
      </c>
      <c r="AH27" s="1238">
        <f>AF27*$Y$33*0.001*($Y$34-30)</f>
        <v>-14.566499999999998</v>
      </c>
      <c r="AI27" s="1240">
        <f t="shared" ref="AI27" si="57">AA27-AD27-AF27</f>
        <v>42.220000000000006</v>
      </c>
      <c r="AJ27" s="398"/>
      <c r="AK27" s="398"/>
      <c r="AL27" s="398"/>
      <c r="AP27"/>
    </row>
    <row r="28" spans="2:42" s="359" customFormat="1" ht="23.45" customHeight="1" thickBot="1" x14ac:dyDescent="0.25">
      <c r="B28" s="1243"/>
      <c r="C28" s="228"/>
      <c r="D28" s="228"/>
      <c r="E28" s="229"/>
      <c r="F28" s="408" t="s">
        <v>328</v>
      </c>
      <c r="G28" s="230"/>
      <c r="H28" s="469">
        <v>1.2</v>
      </c>
      <c r="I28" s="230"/>
      <c r="J28" s="409">
        <f>G28*H28</f>
        <v>0</v>
      </c>
      <c r="K28" s="231"/>
      <c r="L28" s="231"/>
      <c r="M28" s="464">
        <v>4.5</v>
      </c>
      <c r="N28" s="231"/>
      <c r="O28" s="232"/>
      <c r="P28" s="473">
        <v>3</v>
      </c>
      <c r="Q28" s="409">
        <v>7.08</v>
      </c>
      <c r="R28" s="410">
        <v>3.9</v>
      </c>
      <c r="S28" s="235"/>
      <c r="T28" s="409">
        <v>7.35</v>
      </c>
      <c r="U28" s="411">
        <v>4.5</v>
      </c>
      <c r="V28" s="235"/>
      <c r="W28" s="409">
        <v>10.49</v>
      </c>
      <c r="X28" s="411">
        <v>3.8</v>
      </c>
      <c r="Y28" s="412">
        <f>(P28*Q28)+(S28*T28)+(V28*W28)</f>
        <v>21.240000000000002</v>
      </c>
      <c r="Z28" s="413">
        <f>(P28*R28)+(S28*U28)+(V28*X28)</f>
        <v>11.7</v>
      </c>
      <c r="AA28" s="1245"/>
      <c r="AB28" s="1237"/>
      <c r="AC28" s="1239"/>
      <c r="AD28" s="1231"/>
      <c r="AE28" s="1233"/>
      <c r="AF28" s="1235"/>
      <c r="AG28" s="1237"/>
      <c r="AH28" s="1239"/>
      <c r="AI28" s="1241"/>
      <c r="AJ28" s="398"/>
      <c r="AK28" s="398"/>
      <c r="AL28" s="398"/>
    </row>
    <row r="29" spans="2:42" ht="21" customHeight="1" thickBot="1" x14ac:dyDescent="0.25">
      <c r="B29" s="1303" t="s">
        <v>0</v>
      </c>
      <c r="C29" s="1304"/>
      <c r="D29" s="1304"/>
      <c r="E29" s="1304"/>
      <c r="F29" s="1304"/>
      <c r="G29" s="236"/>
      <c r="H29" s="414"/>
      <c r="I29" s="414"/>
      <c r="J29" s="415">
        <f t="shared" ref="J29:P29" si="58">SUM(J9:J28)</f>
        <v>0</v>
      </c>
      <c r="K29" s="415">
        <f t="shared" si="58"/>
        <v>0</v>
      </c>
      <c r="L29" s="415">
        <f t="shared" si="58"/>
        <v>0</v>
      </c>
      <c r="M29" s="415">
        <f>SUM(M9:M28)</f>
        <v>392.33</v>
      </c>
      <c r="N29" s="415">
        <f>SUM(N9:N28)</f>
        <v>0</v>
      </c>
      <c r="O29" s="415">
        <f t="shared" si="58"/>
        <v>0</v>
      </c>
      <c r="P29" s="415">
        <f t="shared" si="58"/>
        <v>124</v>
      </c>
      <c r="Q29" s="414"/>
      <c r="R29" s="416"/>
      <c r="S29" s="417">
        <f>SUM(S17:S26)</f>
        <v>0</v>
      </c>
      <c r="T29" s="414"/>
      <c r="U29" s="418"/>
      <c r="V29" s="417">
        <f>SUM(V17:V26)</f>
        <v>0</v>
      </c>
      <c r="W29" s="414"/>
      <c r="X29" s="418"/>
      <c r="Y29" s="418">
        <f t="shared" ref="Y29:AI29" si="59">SUM(Y9:Y28)</f>
        <v>877.92000000000007</v>
      </c>
      <c r="Z29" s="418">
        <f t="shared" si="59"/>
        <v>483.59999999999991</v>
      </c>
      <c r="AA29" s="418">
        <f t="shared" si="59"/>
        <v>1270.25</v>
      </c>
      <c r="AB29" s="418">
        <f t="shared" si="59"/>
        <v>127.02499999999999</v>
      </c>
      <c r="AC29" s="418">
        <f t="shared" si="59"/>
        <v>584.31500000000005</v>
      </c>
      <c r="AD29" s="418">
        <f t="shared" si="59"/>
        <v>0</v>
      </c>
      <c r="AE29" s="418">
        <f t="shared" si="59"/>
        <v>483.59999999999997</v>
      </c>
      <c r="AF29" s="418">
        <f t="shared" si="59"/>
        <v>193.44</v>
      </c>
      <c r="AG29" s="418">
        <f t="shared" si="59"/>
        <v>362.7</v>
      </c>
      <c r="AH29" s="418">
        <f t="shared" si="59"/>
        <v>-301.041</v>
      </c>
      <c r="AI29" s="418">
        <f t="shared" si="59"/>
        <v>1076.81</v>
      </c>
      <c r="AJ29" s="419" t="e">
        <f>SUM(AJ20:AJ26)</f>
        <v>#REF!</v>
      </c>
      <c r="AK29" s="419" t="e">
        <f>SUM(AK20:AK26)</f>
        <v>#REF!</v>
      </c>
      <c r="AL29" s="419" t="e">
        <f>SUM(AL20:AL26)</f>
        <v>#REF!</v>
      </c>
    </row>
    <row r="30" spans="2:42" ht="21" customHeight="1" thickBot="1" x14ac:dyDescent="0.25">
      <c r="B30" s="420"/>
      <c r="C30" s="420"/>
      <c r="D30" s="420"/>
      <c r="E30" s="420"/>
      <c r="F30" s="362"/>
      <c r="G30" s="420"/>
      <c r="H30" s="420"/>
      <c r="I30" s="420"/>
      <c r="J30" s="420"/>
      <c r="K30" s="420"/>
      <c r="L30" s="420"/>
      <c r="M30" s="362"/>
      <c r="N30" s="420"/>
      <c r="O30" s="420"/>
      <c r="P30" s="420"/>
      <c r="Q30" s="420"/>
      <c r="R30" s="420"/>
      <c r="S30" s="420"/>
      <c r="T30" s="420"/>
      <c r="U30" s="420"/>
      <c r="V30" s="420"/>
      <c r="W30" s="420"/>
      <c r="X30" s="420"/>
      <c r="Y30" s="420"/>
      <c r="Z30" s="420"/>
      <c r="AA30" s="420"/>
      <c r="AB30" s="420"/>
      <c r="AC30" s="420"/>
      <c r="AD30" s="420"/>
      <c r="AE30" s="420"/>
      <c r="AF30" s="421"/>
      <c r="AG30" s="421"/>
      <c r="AH30" s="421"/>
      <c r="AI30" s="421"/>
      <c r="AJ30" s="421"/>
      <c r="AK30" s="421"/>
      <c r="AL30" s="421"/>
    </row>
    <row r="31" spans="2:42" ht="21" customHeight="1" thickBot="1" x14ac:dyDescent="0.25">
      <c r="B31" s="420"/>
      <c r="C31" s="420"/>
      <c r="D31" s="420"/>
      <c r="E31" s="420"/>
      <c r="F31" s="362"/>
      <c r="G31" s="420"/>
      <c r="H31" s="420"/>
      <c r="I31" s="422"/>
      <c r="J31" s="422"/>
      <c r="K31" s="422"/>
      <c r="L31" s="1305" t="s">
        <v>329</v>
      </c>
      <c r="M31" s="1306"/>
      <c r="N31" s="1306"/>
      <c r="O31" s="1307"/>
      <c r="P31" s="422"/>
      <c r="Q31" s="422"/>
      <c r="R31" s="1305" t="s">
        <v>330</v>
      </c>
      <c r="S31" s="1306"/>
      <c r="T31" s="1306"/>
      <c r="U31" s="1306"/>
      <c r="V31" s="1306"/>
      <c r="W31" s="1306"/>
      <c r="X31" s="1306"/>
      <c r="Y31" s="1306"/>
      <c r="Z31" s="1307"/>
      <c r="AA31" s="420"/>
      <c r="AB31" s="420"/>
      <c r="AC31" s="420"/>
      <c r="AD31" s="1305" t="s">
        <v>295</v>
      </c>
      <c r="AE31" s="1306"/>
      <c r="AF31" s="1306"/>
      <c r="AG31" s="1306"/>
      <c r="AH31" s="1306"/>
      <c r="AI31" s="1307"/>
      <c r="AJ31" s="423"/>
      <c r="AK31" s="423"/>
      <c r="AL31" s="423"/>
    </row>
    <row r="32" spans="2:42" ht="21" customHeight="1" x14ac:dyDescent="0.2">
      <c r="B32" s="420"/>
      <c r="C32" s="420"/>
      <c r="D32" s="420"/>
      <c r="E32" s="420"/>
      <c r="F32" s="362"/>
      <c r="G32" s="420"/>
      <c r="H32" s="420"/>
      <c r="I32" s="422"/>
      <c r="J32" s="422"/>
      <c r="K32" s="422"/>
      <c r="L32" s="424"/>
      <c r="M32" s="424" t="s">
        <v>331</v>
      </c>
      <c r="N32" s="901">
        <f>TRUNC(AA29,2)</f>
        <v>1270.25</v>
      </c>
      <c r="O32" s="425" t="s">
        <v>1</v>
      </c>
      <c r="P32" s="422"/>
      <c r="Q32" s="422"/>
      <c r="R32" s="424" t="s">
        <v>332</v>
      </c>
      <c r="S32" s="422"/>
      <c r="T32" s="421"/>
      <c r="U32" s="421"/>
      <c r="V32" s="421"/>
      <c r="W32" s="422"/>
      <c r="X32" s="422"/>
      <c r="Y32" s="426">
        <f>TRUNC(AF29,2)</f>
        <v>193.44</v>
      </c>
      <c r="Z32" s="421" t="s">
        <v>1</v>
      </c>
      <c r="AA32" s="420"/>
      <c r="AB32" s="420"/>
      <c r="AC32" s="420"/>
      <c r="AD32" s="422"/>
      <c r="AE32" s="902" t="s">
        <v>333</v>
      </c>
      <c r="AF32" s="426">
        <f>TRUNC(AI29,2)</f>
        <v>1076.81</v>
      </c>
      <c r="AG32" s="426"/>
      <c r="AH32" s="426"/>
      <c r="AI32" s="425" t="s">
        <v>1</v>
      </c>
      <c r="AJ32" s="425"/>
      <c r="AK32" s="425"/>
      <c r="AL32" s="425"/>
    </row>
    <row r="33" spans="2:38" ht="21" customHeight="1" x14ac:dyDescent="0.2">
      <c r="B33" s="420"/>
      <c r="C33" s="420"/>
      <c r="D33" s="420"/>
      <c r="E33" s="420"/>
      <c r="F33" s="362"/>
      <c r="G33" s="420"/>
      <c r="H33" s="420"/>
      <c r="I33" s="422"/>
      <c r="J33" s="422"/>
      <c r="K33" s="422"/>
      <c r="L33" s="422"/>
      <c r="M33" s="424" t="s">
        <v>334</v>
      </c>
      <c r="N33" s="901">
        <f>TRUNC(AA29*0.1,2)</f>
        <v>127.02</v>
      </c>
      <c r="O33" s="425" t="s">
        <v>2</v>
      </c>
      <c r="P33" s="422"/>
      <c r="Q33" s="422"/>
      <c r="R33" s="424" t="s">
        <v>335</v>
      </c>
      <c r="S33" s="422"/>
      <c r="T33" s="421"/>
      <c r="U33" s="421"/>
      <c r="V33" s="421"/>
      <c r="W33" s="422"/>
      <c r="X33" s="422"/>
      <c r="Y33" s="717">
        <v>62.5</v>
      </c>
      <c r="Z33" s="421" t="s">
        <v>336</v>
      </c>
      <c r="AA33" s="420"/>
      <c r="AB33" s="420"/>
      <c r="AC33" s="420"/>
      <c r="AD33" s="422"/>
      <c r="AE33" s="424" t="s">
        <v>337</v>
      </c>
      <c r="AF33" s="903">
        <v>7.0000000000000007E-2</v>
      </c>
      <c r="AG33" s="903"/>
      <c r="AH33" s="903"/>
      <c r="AI33" s="425" t="s">
        <v>3</v>
      </c>
      <c r="AJ33" s="425"/>
      <c r="AK33" s="425"/>
      <c r="AL33" s="425"/>
    </row>
    <row r="34" spans="2:38" ht="21" customHeight="1" x14ac:dyDescent="0.2">
      <c r="B34" s="420"/>
      <c r="C34" s="420"/>
      <c r="D34" s="420"/>
      <c r="E34" s="420"/>
      <c r="F34" s="362"/>
      <c r="G34" s="420"/>
      <c r="H34" s="420"/>
      <c r="I34" s="422"/>
      <c r="J34" s="422"/>
      <c r="K34" s="422"/>
      <c r="L34" s="427"/>
      <c r="M34" s="428" t="s">
        <v>159</v>
      </c>
      <c r="N34" s="904">
        <f>DMT!F13</f>
        <v>4.5999999999999996</v>
      </c>
      <c r="O34" s="905" t="s">
        <v>338</v>
      </c>
      <c r="P34" s="422"/>
      <c r="Q34" s="422"/>
      <c r="R34" s="428" t="s">
        <v>40</v>
      </c>
      <c r="S34" s="427"/>
      <c r="T34" s="906"/>
      <c r="U34" s="906"/>
      <c r="V34" s="906"/>
      <c r="W34" s="427"/>
      <c r="X34" s="427"/>
      <c r="Y34" s="907">
        <f>DMT!F12</f>
        <v>5.0999999999999996</v>
      </c>
      <c r="Z34" s="906" t="s">
        <v>338</v>
      </c>
      <c r="AA34" s="420"/>
      <c r="AB34" s="420"/>
      <c r="AC34" s="420"/>
      <c r="AD34" s="422"/>
      <c r="AE34" s="424" t="s">
        <v>339</v>
      </c>
      <c r="AF34" s="717">
        <f>TRUNC(AF33*AF32,2)</f>
        <v>75.37</v>
      </c>
      <c r="AG34" s="717"/>
      <c r="AH34" s="717"/>
      <c r="AI34" s="429" t="s">
        <v>2</v>
      </c>
      <c r="AJ34" s="429"/>
      <c r="AK34" s="429"/>
      <c r="AL34" s="429"/>
    </row>
    <row r="35" spans="2:38" ht="21" customHeight="1" x14ac:dyDescent="0.2">
      <c r="B35" s="420"/>
      <c r="C35" s="420"/>
      <c r="D35" s="420"/>
      <c r="E35" s="420"/>
      <c r="F35" s="430"/>
      <c r="G35" s="420"/>
      <c r="H35" s="420"/>
      <c r="I35" s="422"/>
      <c r="J35" s="422"/>
      <c r="K35" s="422"/>
      <c r="L35" s="422"/>
      <c r="M35" s="424" t="s">
        <v>340</v>
      </c>
      <c r="N35" s="908">
        <f>TRUNC(N33*N34,2)</f>
        <v>584.29</v>
      </c>
      <c r="O35" s="429" t="s">
        <v>341</v>
      </c>
      <c r="P35" s="422"/>
      <c r="Q35" s="422"/>
      <c r="R35" s="424" t="s">
        <v>342</v>
      </c>
      <c r="S35" s="422"/>
      <c r="T35" s="421"/>
      <c r="U35" s="421"/>
      <c r="V35" s="421"/>
      <c r="W35" s="422"/>
      <c r="X35" s="422"/>
      <c r="Y35" s="426">
        <f>TRUNC((AF29*Y33*0.001)*Y34,2)</f>
        <v>61.65</v>
      </c>
      <c r="Z35" s="421" t="s">
        <v>343</v>
      </c>
      <c r="AA35" s="909"/>
      <c r="AB35" s="909"/>
      <c r="AC35" s="909"/>
      <c r="AD35" s="909"/>
      <c r="AE35" s="424" t="s">
        <v>344</v>
      </c>
      <c r="AF35" s="426">
        <f>TRUNC(AF29,2)</f>
        <v>193.44</v>
      </c>
      <c r="AG35" s="426"/>
      <c r="AH35" s="426"/>
      <c r="AI35" s="425" t="s">
        <v>1</v>
      </c>
      <c r="AJ35" s="425"/>
      <c r="AK35" s="425"/>
      <c r="AL35" s="425"/>
    </row>
    <row r="36" spans="2:38" ht="21" customHeight="1" x14ac:dyDescent="0.2">
      <c r="B36" s="420"/>
      <c r="C36" s="420"/>
      <c r="D36" s="420"/>
      <c r="E36" s="420"/>
      <c r="F36" s="362"/>
      <c r="G36" s="420"/>
      <c r="H36" s="420"/>
      <c r="I36" s="422"/>
      <c r="J36" s="422"/>
      <c r="K36" s="422"/>
      <c r="L36" s="422"/>
      <c r="M36" s="424"/>
      <c r="N36" s="910"/>
      <c r="O36" s="429"/>
      <c r="P36" s="422"/>
      <c r="Q36" s="422"/>
      <c r="R36" s="424"/>
      <c r="S36" s="422"/>
      <c r="T36" s="420"/>
      <c r="U36" s="420"/>
      <c r="V36" s="420"/>
      <c r="W36" s="422"/>
      <c r="X36" s="422"/>
      <c r="Y36" s="426"/>
      <c r="Z36" s="421"/>
      <c r="AA36" s="420"/>
      <c r="AB36" s="420"/>
      <c r="AC36" s="420"/>
      <c r="AD36" s="422"/>
      <c r="AE36" s="424" t="s">
        <v>345</v>
      </c>
      <c r="AF36" s="903">
        <f>TRUNC(AF33-0.025,2)</f>
        <v>0.04</v>
      </c>
      <c r="AG36" s="903"/>
      <c r="AH36" s="903"/>
      <c r="AI36" s="425" t="s">
        <v>3</v>
      </c>
      <c r="AJ36" s="425"/>
      <c r="AK36" s="425"/>
      <c r="AL36" s="425"/>
    </row>
    <row r="37" spans="2:38" ht="21" customHeight="1" x14ac:dyDescent="0.2">
      <c r="B37" s="420"/>
      <c r="C37" s="420"/>
      <c r="D37" s="420"/>
      <c r="E37" s="420"/>
      <c r="F37" s="362"/>
      <c r="G37" s="420"/>
      <c r="H37" s="420"/>
      <c r="I37" s="420"/>
      <c r="J37" s="422"/>
      <c r="K37" s="422"/>
      <c r="L37" s="420"/>
      <c r="M37" s="424"/>
      <c r="N37" s="911"/>
      <c r="O37" s="425"/>
      <c r="P37" s="422"/>
      <c r="Q37" s="422"/>
      <c r="R37" s="422"/>
      <c r="S37" s="422"/>
      <c r="T37" s="420"/>
      <c r="U37" s="420"/>
      <c r="V37" s="420"/>
      <c r="W37" s="420"/>
      <c r="X37" s="426"/>
      <c r="Y37" s="420"/>
      <c r="Z37" s="420"/>
      <c r="AA37" s="420"/>
      <c r="AB37" s="420"/>
      <c r="AC37" s="420"/>
      <c r="AD37" s="422"/>
      <c r="AE37" s="424" t="s">
        <v>346</v>
      </c>
      <c r="AF37" s="907">
        <f>TRUNC(AF36*AF35,2)</f>
        <v>7.73</v>
      </c>
      <c r="AG37" s="717"/>
      <c r="AH37" s="717"/>
      <c r="AI37" s="429" t="s">
        <v>2</v>
      </c>
    </row>
    <row r="38" spans="2:38" ht="21" customHeight="1" x14ac:dyDescent="0.2">
      <c r="B38" s="420"/>
      <c r="C38" s="420"/>
      <c r="D38" s="420"/>
      <c r="E38" s="420"/>
      <c r="F38" s="362"/>
      <c r="G38" s="420"/>
      <c r="H38" s="420"/>
      <c r="I38" s="420"/>
      <c r="J38" s="420"/>
      <c r="K38" s="420"/>
      <c r="L38" s="420"/>
      <c r="M38" s="362"/>
      <c r="N38" s="420"/>
      <c r="O38" s="420" t="s">
        <v>347</v>
      </c>
      <c r="P38" s="420"/>
      <c r="Q38" s="420"/>
      <c r="R38" s="420"/>
      <c r="S38" s="420"/>
      <c r="T38" s="420"/>
      <c r="U38" s="420"/>
      <c r="V38" s="420"/>
      <c r="W38" s="420"/>
      <c r="X38" s="426"/>
      <c r="Y38" s="420"/>
      <c r="Z38" s="420"/>
      <c r="AA38" s="420"/>
      <c r="AB38" s="420"/>
      <c r="AC38" s="420"/>
      <c r="AD38" s="420"/>
      <c r="AE38" s="424" t="s">
        <v>348</v>
      </c>
      <c r="AF38" s="912">
        <f>TRUNC(AF37+AF34,2)</f>
        <v>83.1</v>
      </c>
      <c r="AG38" s="717"/>
      <c r="AH38" s="717"/>
      <c r="AI38" s="421" t="s">
        <v>2</v>
      </c>
    </row>
    <row r="39" spans="2:38" ht="21" customHeight="1" x14ac:dyDescent="0.2">
      <c r="B39" s="423"/>
      <c r="C39" s="423"/>
      <c r="D39" s="423"/>
      <c r="E39" s="423"/>
      <c r="F39" s="361"/>
      <c r="G39" s="423"/>
      <c r="H39" s="423"/>
      <c r="I39" s="423"/>
      <c r="J39" s="423"/>
      <c r="K39" s="423"/>
      <c r="L39" s="423"/>
      <c r="M39" s="361"/>
      <c r="N39" s="423"/>
      <c r="O39" s="423"/>
      <c r="P39" s="423"/>
      <c r="Q39" s="423"/>
      <c r="R39" s="423"/>
      <c r="S39" s="423"/>
      <c r="T39" s="423"/>
      <c r="U39" s="423"/>
      <c r="V39" s="423"/>
      <c r="W39" s="423"/>
      <c r="X39" s="426"/>
      <c r="Y39" s="423"/>
      <c r="Z39" s="423"/>
      <c r="AA39" s="423"/>
      <c r="AB39" s="423"/>
      <c r="AC39" s="423"/>
      <c r="AD39" s="423"/>
      <c r="AE39" s="423"/>
      <c r="AF39" s="423"/>
      <c r="AG39" s="423"/>
      <c r="AH39" s="423"/>
      <c r="AI39" s="423"/>
    </row>
  </sheetData>
  <mergeCells count="134">
    <mergeCell ref="B29:F29"/>
    <mergeCell ref="L31:O31"/>
    <mergeCell ref="R31:Z31"/>
    <mergeCell ref="AD31:AI31"/>
    <mergeCell ref="AF27:AF28"/>
    <mergeCell ref="AG27:AG28"/>
    <mergeCell ref="AH27:AH28"/>
    <mergeCell ref="AI27:AI28"/>
    <mergeCell ref="B27:B28"/>
    <mergeCell ref="AA27:AA28"/>
    <mergeCell ref="AB27:AB28"/>
    <mergeCell ref="AC27:AC28"/>
    <mergeCell ref="AD27:AD28"/>
    <mergeCell ref="AE27:AE28"/>
    <mergeCell ref="AI19:AI20"/>
    <mergeCell ref="B25:B26"/>
    <mergeCell ref="AA25:AA26"/>
    <mergeCell ref="AB25:AB26"/>
    <mergeCell ref="AC25:AC26"/>
    <mergeCell ref="AD25:AD26"/>
    <mergeCell ref="AE25:AE26"/>
    <mergeCell ref="AF25:AF26"/>
    <mergeCell ref="AG25:AG26"/>
    <mergeCell ref="AH25:AH26"/>
    <mergeCell ref="AI25:AI26"/>
    <mergeCell ref="B19:B20"/>
    <mergeCell ref="AA19:AA20"/>
    <mergeCell ref="AB19:AB20"/>
    <mergeCell ref="AC19:AC20"/>
    <mergeCell ref="AD19:AD20"/>
    <mergeCell ref="AE19:AE20"/>
    <mergeCell ref="AF19:AF20"/>
    <mergeCell ref="AG19:AG20"/>
    <mergeCell ref="AH19:AH20"/>
    <mergeCell ref="B21:B22"/>
    <mergeCell ref="AA21:AA22"/>
    <mergeCell ref="AB21:AB22"/>
    <mergeCell ref="AC21:AC22"/>
    <mergeCell ref="AI15:AI16"/>
    <mergeCell ref="B17:B18"/>
    <mergeCell ref="AA17:AA18"/>
    <mergeCell ref="AB17:AB18"/>
    <mergeCell ref="AC17:AC18"/>
    <mergeCell ref="AD17:AD18"/>
    <mergeCell ref="AE17:AE18"/>
    <mergeCell ref="AF17:AF18"/>
    <mergeCell ref="AG17:AG18"/>
    <mergeCell ref="AH17:AH18"/>
    <mergeCell ref="AI17:AI18"/>
    <mergeCell ref="B15:B16"/>
    <mergeCell ref="AA15:AA16"/>
    <mergeCell ref="AB15:AB16"/>
    <mergeCell ref="AC15:AC16"/>
    <mergeCell ref="AD15:AD16"/>
    <mergeCell ref="AE15:AE16"/>
    <mergeCell ref="AF15:AF16"/>
    <mergeCell ref="AG15:AG16"/>
    <mergeCell ref="AH15:AH16"/>
    <mergeCell ref="AF11:AF12"/>
    <mergeCell ref="AG11:AG12"/>
    <mergeCell ref="AH11:AH12"/>
    <mergeCell ref="AI11:AI12"/>
    <mergeCell ref="B13:B14"/>
    <mergeCell ref="AA13:AA14"/>
    <mergeCell ref="AB13:AB14"/>
    <mergeCell ref="AC13:AC14"/>
    <mergeCell ref="AD13:AD14"/>
    <mergeCell ref="AE13:AE14"/>
    <mergeCell ref="AF13:AF14"/>
    <mergeCell ref="AG13:AG14"/>
    <mergeCell ref="AH13:AH14"/>
    <mergeCell ref="AI13:AI14"/>
    <mergeCell ref="B11:B12"/>
    <mergeCell ref="AA11:AA12"/>
    <mergeCell ref="AB11:AB12"/>
    <mergeCell ref="AC11:AC12"/>
    <mergeCell ref="AD11:AD12"/>
    <mergeCell ref="AE11:AE12"/>
    <mergeCell ref="B9:B10"/>
    <mergeCell ref="AA9:AA10"/>
    <mergeCell ref="AB9:AB10"/>
    <mergeCell ref="AC9:AC10"/>
    <mergeCell ref="AD9:AD10"/>
    <mergeCell ref="AE9:AE10"/>
    <mergeCell ref="AD5:AD7"/>
    <mergeCell ref="AE5:AE7"/>
    <mergeCell ref="AF5:AF7"/>
    <mergeCell ref="AF9:AF10"/>
    <mergeCell ref="AG9:AG10"/>
    <mergeCell ref="AH9:AH10"/>
    <mergeCell ref="AI9:AI10"/>
    <mergeCell ref="L5:L7"/>
    <mergeCell ref="M5:O6"/>
    <mergeCell ref="P5:Z5"/>
    <mergeCell ref="AA5:AA7"/>
    <mergeCell ref="AB5:AB7"/>
    <mergeCell ref="AC5:AC7"/>
    <mergeCell ref="B2:AL2"/>
    <mergeCell ref="B4:AL4"/>
    <mergeCell ref="B5:B8"/>
    <mergeCell ref="C5:E7"/>
    <mergeCell ref="F5:F7"/>
    <mergeCell ref="G5:G7"/>
    <mergeCell ref="H5:H7"/>
    <mergeCell ref="I5:I7"/>
    <mergeCell ref="J5:J7"/>
    <mergeCell ref="K5:K7"/>
    <mergeCell ref="AJ5:AJ7"/>
    <mergeCell ref="AK5:AK7"/>
    <mergeCell ref="AL5:AL7"/>
    <mergeCell ref="P6:R6"/>
    <mergeCell ref="S6:U6"/>
    <mergeCell ref="V6:X6"/>
    <mergeCell ref="Y6:Y7"/>
    <mergeCell ref="Z6:Z7"/>
    <mergeCell ref="AG5:AG7"/>
    <mergeCell ref="AH5:AH7"/>
    <mergeCell ref="AI5:AI7"/>
    <mergeCell ref="AD21:AD22"/>
    <mergeCell ref="AE21:AE22"/>
    <mergeCell ref="AF21:AF22"/>
    <mergeCell ref="AG21:AG22"/>
    <mergeCell ref="AH21:AH22"/>
    <mergeCell ref="AI21:AI22"/>
    <mergeCell ref="B23:B24"/>
    <mergeCell ref="AA23:AA24"/>
    <mergeCell ref="AB23:AB24"/>
    <mergeCell ref="AC23:AC24"/>
    <mergeCell ref="AD23:AD24"/>
    <mergeCell ref="AE23:AE24"/>
    <mergeCell ref="AF23:AF24"/>
    <mergeCell ref="AG23:AG24"/>
    <mergeCell ref="AH23:AH24"/>
    <mergeCell ref="AI23:AI24"/>
  </mergeCells>
  <printOptions horizontalCentered="1"/>
  <pageMargins left="0.51181102362204722" right="0.51181102362204722" top="1.1811023622047245" bottom="0.39370078740157483" header="0.31496062992125984" footer="0.31496062992125984"/>
  <pageSetup paperSize="8" scale="52" fitToHeight="0" orientation="landscape" r:id="rId1"/>
  <headerFooter>
    <oddHeader xml:space="preserve">&amp;L&amp;G&amp;R&amp;G
</oddHead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2060"/>
    <pageSetUpPr fitToPage="1"/>
  </sheetPr>
  <dimension ref="B1:J25"/>
  <sheetViews>
    <sheetView showGridLines="0" zoomScale="70" zoomScaleNormal="70" workbookViewId="0">
      <selection activeCell="H4" sqref="H4"/>
    </sheetView>
  </sheetViews>
  <sheetFormatPr defaultColWidth="14.1640625" defaultRowHeight="39.950000000000003" customHeight="1" x14ac:dyDescent="0.25"/>
  <cols>
    <col min="1" max="1" width="14.1640625" style="515"/>
    <col min="2" max="2" width="41.83203125" style="515" bestFit="1" customWidth="1"/>
    <col min="3" max="14" width="33.33203125" style="515" customWidth="1"/>
    <col min="15" max="16384" width="14.1640625" style="515"/>
  </cols>
  <sheetData>
    <row r="1" spans="2:9" ht="39.950000000000003" customHeight="1" thickBot="1" x14ac:dyDescent="0.3"/>
    <row r="2" spans="2:9" ht="39.950000000000003" customHeight="1" thickBot="1" x14ac:dyDescent="0.3">
      <c r="B2" s="1310" t="s">
        <v>1082</v>
      </c>
      <c r="C2" s="1311"/>
      <c r="D2" s="1311"/>
      <c r="E2" s="1311"/>
      <c r="F2" s="1311"/>
      <c r="G2" s="1311"/>
      <c r="H2" s="1312"/>
    </row>
    <row r="3" spans="2:9" ht="39.950000000000003" customHeight="1" thickBot="1" x14ac:dyDescent="0.3">
      <c r="B3" s="516" t="s">
        <v>1083</v>
      </c>
      <c r="C3" s="517" t="s">
        <v>1084</v>
      </c>
      <c r="D3" s="517" t="s">
        <v>1085</v>
      </c>
      <c r="E3" s="517" t="s">
        <v>1086</v>
      </c>
      <c r="F3" s="517" t="s">
        <v>245</v>
      </c>
      <c r="G3" s="517" t="s">
        <v>157</v>
      </c>
      <c r="H3" s="518" t="s">
        <v>1087</v>
      </c>
    </row>
    <row r="4" spans="2:9" ht="45" customHeight="1" x14ac:dyDescent="0.25">
      <c r="B4" s="519" t="s">
        <v>1088</v>
      </c>
      <c r="C4" s="520"/>
      <c r="D4" s="520" t="s">
        <v>1089</v>
      </c>
      <c r="E4" s="520" t="s">
        <v>1090</v>
      </c>
      <c r="F4" s="521">
        <v>0.1</v>
      </c>
      <c r="G4" s="536">
        <f>2275.11/3</f>
        <v>758.37</v>
      </c>
      <c r="H4" s="640">
        <f>F4*G4</f>
        <v>75.837000000000003</v>
      </c>
    </row>
    <row r="5" spans="2:9" ht="45" customHeight="1" thickBot="1" x14ac:dyDescent="0.3">
      <c r="B5" s="522" t="s">
        <v>1091</v>
      </c>
      <c r="C5" s="523"/>
      <c r="D5" s="523" t="s">
        <v>1089</v>
      </c>
      <c r="E5" s="523" t="s">
        <v>1090</v>
      </c>
      <c r="F5" s="524">
        <v>0.1</v>
      </c>
      <c r="G5" s="524">
        <v>1881.12</v>
      </c>
      <c r="H5" s="525">
        <f>F5*G5</f>
        <v>188.11199999999999</v>
      </c>
    </row>
    <row r="6" spans="2:9" ht="39.950000000000003" customHeight="1" thickBot="1" x14ac:dyDescent="0.3">
      <c r="B6" s="1310" t="s">
        <v>1092</v>
      </c>
      <c r="C6" s="1311"/>
      <c r="D6" s="1311"/>
      <c r="E6" s="1311"/>
      <c r="F6" s="1311"/>
      <c r="G6" s="1311"/>
      <c r="H6" s="1312"/>
    </row>
    <row r="7" spans="2:9" ht="39.950000000000003" customHeight="1" thickBot="1" x14ac:dyDescent="0.3">
      <c r="B7" s="516" t="s">
        <v>1083</v>
      </c>
      <c r="C7" s="517" t="s">
        <v>1084</v>
      </c>
      <c r="D7" s="517" t="s">
        <v>1085</v>
      </c>
      <c r="E7" s="517" t="s">
        <v>1093</v>
      </c>
      <c r="F7" s="517" t="s">
        <v>245</v>
      </c>
      <c r="G7" s="517" t="s">
        <v>157</v>
      </c>
      <c r="H7" s="518" t="s">
        <v>1087</v>
      </c>
    </row>
    <row r="8" spans="2:9" ht="45" customHeight="1" x14ac:dyDescent="0.25">
      <c r="B8" s="526" t="s">
        <v>1094</v>
      </c>
      <c r="C8" s="527"/>
      <c r="D8" s="527" t="s">
        <v>1095</v>
      </c>
      <c r="E8" s="527">
        <v>1.45</v>
      </c>
      <c r="F8" s="527">
        <v>0</v>
      </c>
      <c r="G8" s="527">
        <v>30</v>
      </c>
      <c r="H8" s="528">
        <f>E8*G8</f>
        <v>43.5</v>
      </c>
    </row>
    <row r="9" spans="2:9" ht="45" customHeight="1" x14ac:dyDescent="0.25">
      <c r="B9" s="529" t="s">
        <v>1096</v>
      </c>
      <c r="C9" s="524"/>
      <c r="D9" s="527" t="s">
        <v>1095</v>
      </c>
      <c r="E9" s="524" t="s">
        <v>36</v>
      </c>
      <c r="F9" s="524">
        <v>0.4</v>
      </c>
      <c r="G9" s="524">
        <v>117.7</v>
      </c>
      <c r="H9" s="528">
        <f>F9*G9</f>
        <v>47.080000000000005</v>
      </c>
    </row>
    <row r="10" spans="2:9" ht="45" customHeight="1" thickBot="1" x14ac:dyDescent="0.3">
      <c r="B10" s="529" t="s">
        <v>1097</v>
      </c>
      <c r="C10" s="524"/>
      <c r="D10" s="524" t="s">
        <v>1095</v>
      </c>
      <c r="E10" s="524">
        <v>1.1000000000000001</v>
      </c>
      <c r="F10" s="524" t="s">
        <v>36</v>
      </c>
      <c r="G10" s="524">
        <v>64</v>
      </c>
      <c r="H10" s="525">
        <f>E10*G10</f>
        <v>70.400000000000006</v>
      </c>
      <c r="I10" s="530"/>
    </row>
    <row r="11" spans="2:9" ht="30" customHeight="1" x14ac:dyDescent="0.25">
      <c r="B11" s="1313" t="s">
        <v>1098</v>
      </c>
      <c r="C11" s="1314"/>
      <c r="D11" s="1314"/>
      <c r="E11" s="1314"/>
      <c r="F11" s="1314"/>
      <c r="G11" s="913">
        <f>TRUNC(SUM(H4:H5),2)</f>
        <v>263.94</v>
      </c>
      <c r="H11" s="531" t="s">
        <v>3</v>
      </c>
      <c r="I11" s="530"/>
    </row>
    <row r="12" spans="2:9" ht="30" customHeight="1" x14ac:dyDescent="0.25">
      <c r="B12" s="1315" t="s">
        <v>1099</v>
      </c>
      <c r="C12" s="1316"/>
      <c r="D12" s="1316"/>
      <c r="E12" s="1316"/>
      <c r="F12" s="1316"/>
      <c r="G12" s="914">
        <f>TRUNC(H9,2)</f>
        <v>47.08</v>
      </c>
      <c r="H12" s="532" t="s">
        <v>1</v>
      </c>
      <c r="I12" s="530"/>
    </row>
    <row r="13" spans="2:9" ht="30" customHeight="1" thickBot="1" x14ac:dyDescent="0.3">
      <c r="B13" s="1308" t="s">
        <v>1100</v>
      </c>
      <c r="C13" s="1309"/>
      <c r="D13" s="1309"/>
      <c r="E13" s="1309"/>
      <c r="F13" s="1309"/>
      <c r="G13" s="915">
        <f>TRUNC(H8+H10,2)</f>
        <v>113.9</v>
      </c>
      <c r="H13" s="534" t="s">
        <v>1</v>
      </c>
      <c r="I13" s="530"/>
    </row>
    <row r="14" spans="2:9" ht="29.25" customHeight="1" thickBot="1" x14ac:dyDescent="0.3">
      <c r="B14" s="535"/>
      <c r="C14" s="535"/>
      <c r="D14" s="535"/>
      <c r="E14" s="535"/>
      <c r="F14" s="535"/>
      <c r="G14" s="535"/>
      <c r="H14" s="536"/>
      <c r="I14" s="530"/>
    </row>
    <row r="15" spans="2:9" ht="39.950000000000003" customHeight="1" thickBot="1" x14ac:dyDescent="0.3">
      <c r="B15" s="1310" t="s">
        <v>1101</v>
      </c>
      <c r="C15" s="1311"/>
      <c r="D15" s="1311"/>
      <c r="E15" s="1311"/>
      <c r="F15" s="1311"/>
      <c r="G15" s="1311"/>
      <c r="H15" s="1312"/>
    </row>
    <row r="16" spans="2:9" ht="39.75" customHeight="1" thickBot="1" x14ac:dyDescent="0.3">
      <c r="B16" s="516" t="s">
        <v>1083</v>
      </c>
      <c r="C16" s="517" t="s">
        <v>1102</v>
      </c>
      <c r="D16" s="517" t="s">
        <v>1103</v>
      </c>
      <c r="E16" s="517" t="s">
        <v>1104</v>
      </c>
      <c r="F16" s="517" t="s">
        <v>1105</v>
      </c>
      <c r="G16" s="517" t="s">
        <v>1106</v>
      </c>
      <c r="H16" s="518" t="s">
        <v>1087</v>
      </c>
    </row>
    <row r="17" spans="2:10" ht="45" customHeight="1" x14ac:dyDescent="0.25">
      <c r="B17" s="526" t="s">
        <v>1094</v>
      </c>
      <c r="C17" s="527"/>
      <c r="D17" s="527" t="s">
        <v>1107</v>
      </c>
      <c r="E17" s="537" t="s">
        <v>1108</v>
      </c>
      <c r="F17" s="527">
        <f>G8</f>
        <v>30</v>
      </c>
      <c r="G17" s="527">
        <v>0.3</v>
      </c>
      <c r="H17" s="528">
        <f>G17*F17</f>
        <v>9</v>
      </c>
    </row>
    <row r="18" spans="2:10" ht="45" customHeight="1" thickBot="1" x14ac:dyDescent="0.3">
      <c r="B18" s="526" t="s">
        <v>1109</v>
      </c>
      <c r="C18" s="527"/>
      <c r="D18" s="527" t="s">
        <v>1110</v>
      </c>
      <c r="E18" s="527" t="s">
        <v>1111</v>
      </c>
      <c r="F18" s="527">
        <v>63</v>
      </c>
      <c r="G18" s="527">
        <v>0.19600000000000001</v>
      </c>
      <c r="H18" s="528">
        <f t="shared" ref="H18" si="0">G18*F18</f>
        <v>12.348000000000001</v>
      </c>
    </row>
    <row r="19" spans="2:10" ht="30" customHeight="1" x14ac:dyDescent="0.25">
      <c r="B19" s="1313" t="s">
        <v>1112</v>
      </c>
      <c r="C19" s="1314"/>
      <c r="D19" s="1314"/>
      <c r="E19" s="1314"/>
      <c r="F19" s="1314">
        <f>SUM(F17:F18)</f>
        <v>93</v>
      </c>
      <c r="G19" s="913">
        <f>TRUNC(SUM(F17:F18),2)</f>
        <v>93</v>
      </c>
      <c r="H19" s="531" t="s">
        <v>37</v>
      </c>
      <c r="I19" s="530"/>
      <c r="J19" s="538"/>
    </row>
    <row r="20" spans="2:10" ht="30" customHeight="1" thickBot="1" x14ac:dyDescent="0.3">
      <c r="B20" s="1308" t="s">
        <v>1113</v>
      </c>
      <c r="C20" s="1309"/>
      <c r="D20" s="1309"/>
      <c r="E20" s="1309"/>
      <c r="F20" s="1309">
        <f>SUM(F18:F19)</f>
        <v>156</v>
      </c>
      <c r="G20" s="533">
        <v>0</v>
      </c>
      <c r="H20" s="534" t="s">
        <v>37</v>
      </c>
      <c r="I20" s="530"/>
      <c r="J20" s="538"/>
    </row>
    <row r="21" spans="2:10" ht="39.950000000000003" customHeight="1" thickBot="1" x14ac:dyDescent="0.3">
      <c r="B21" s="1310" t="s">
        <v>1114</v>
      </c>
      <c r="C21" s="1311"/>
      <c r="D21" s="1311"/>
      <c r="E21" s="1311"/>
      <c r="F21" s="1311"/>
      <c r="G21" s="1311"/>
      <c r="H21" s="1312"/>
      <c r="I21" s="530"/>
    </row>
    <row r="22" spans="2:10" ht="39.950000000000003" customHeight="1" thickBot="1" x14ac:dyDescent="0.3">
      <c r="B22" s="516" t="s">
        <v>1083</v>
      </c>
      <c r="C22" s="517" t="s">
        <v>1102</v>
      </c>
      <c r="D22" s="517" t="s">
        <v>1104</v>
      </c>
      <c r="E22" s="517" t="s">
        <v>1105</v>
      </c>
      <c r="F22" s="517" t="s">
        <v>1115</v>
      </c>
      <c r="G22" s="517" t="s">
        <v>1106</v>
      </c>
      <c r="H22" s="518" t="s">
        <v>1087</v>
      </c>
    </row>
    <row r="23" spans="2:10" ht="45" customHeight="1" thickBot="1" x14ac:dyDescent="0.3">
      <c r="B23" s="539" t="s">
        <v>1116</v>
      </c>
      <c r="C23" s="540"/>
      <c r="D23" s="540" t="s">
        <v>1117</v>
      </c>
      <c r="E23" s="524">
        <v>40</v>
      </c>
      <c r="F23" s="540">
        <f>E23/2</f>
        <v>20</v>
      </c>
      <c r="G23" s="541">
        <f>0.45*0.2</f>
        <v>9.0000000000000011E-2</v>
      </c>
      <c r="H23" s="542">
        <f>+E23*G23</f>
        <v>3.6000000000000005</v>
      </c>
    </row>
    <row r="24" spans="2:10" ht="30" customHeight="1" x14ac:dyDescent="0.25">
      <c r="B24" s="1313" t="s">
        <v>1118</v>
      </c>
      <c r="C24" s="1314"/>
      <c r="D24" s="1314"/>
      <c r="E24" s="1314"/>
      <c r="F24" s="1314"/>
      <c r="G24" s="916">
        <f>TRUNC(E23,2)</f>
        <v>40</v>
      </c>
      <c r="H24" s="531" t="s">
        <v>37</v>
      </c>
    </row>
    <row r="25" spans="2:10" ht="30" customHeight="1" thickBot="1" x14ac:dyDescent="0.3">
      <c r="B25" s="1308" t="s">
        <v>1119</v>
      </c>
      <c r="C25" s="1309"/>
      <c r="D25" s="1309"/>
      <c r="E25" s="1309"/>
      <c r="F25" s="1309"/>
      <c r="G25" s="917">
        <f>TRUNC(F23,2)</f>
        <v>20</v>
      </c>
      <c r="H25" s="534" t="s">
        <v>37</v>
      </c>
    </row>
  </sheetData>
  <mergeCells count="11">
    <mergeCell ref="B25:F25"/>
    <mergeCell ref="B2:H2"/>
    <mergeCell ref="B6:H6"/>
    <mergeCell ref="B11:F11"/>
    <mergeCell ref="B12:F12"/>
    <mergeCell ref="B13:F13"/>
    <mergeCell ref="B15:H15"/>
    <mergeCell ref="B19:F19"/>
    <mergeCell ref="B20:F20"/>
    <mergeCell ref="B21:H21"/>
    <mergeCell ref="B24:F24"/>
  </mergeCells>
  <printOptions horizontalCentered="1"/>
  <pageMargins left="0.51181102362204722" right="0.51181102362204722" top="0.98425196850393704" bottom="0.78740157480314965" header="0.31496062992125984" footer="0.31496062992125984"/>
  <pageSetup paperSize="9" scale="42" orientation="portrait" r:id="rId1"/>
  <headerFooter>
    <oddHeader>&amp;L&amp;G&amp;R&amp;G</oddHead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22</vt:i4>
      </vt:variant>
    </vt:vector>
  </HeadingPairs>
  <TitlesOfParts>
    <vt:vector size="39" baseType="lpstr">
      <vt:lpstr>RESUMO DES</vt:lpstr>
      <vt:lpstr>RESUMO</vt:lpstr>
      <vt:lpstr>ORÇ. SINTÉTICO</vt:lpstr>
      <vt:lpstr>Orçamento Analítico</vt:lpstr>
      <vt:lpstr>CFF</vt:lpstr>
      <vt:lpstr>CPU</vt:lpstr>
      <vt:lpstr>DMT</vt:lpstr>
      <vt:lpstr>MAT BET</vt:lpstr>
      <vt:lpstr>GRELHA</vt:lpstr>
      <vt:lpstr>PRELIMINARES</vt:lpstr>
      <vt:lpstr>DEMOLIÇÕES E RETIRADAS</vt:lpstr>
      <vt:lpstr>DRENAGEM</vt:lpstr>
      <vt:lpstr>COMPLEMENTARES</vt:lpstr>
      <vt:lpstr>DISP. DRENAGEM</vt:lpstr>
      <vt:lpstr>PAVIMENTAÇÃO</vt:lpstr>
      <vt:lpstr>CALÇADA E ACESS.</vt:lpstr>
      <vt:lpstr>SINALIZAÇÃO</vt:lpstr>
      <vt:lpstr>'CALÇADA E ACESS.'!Area_de_impressao</vt:lpstr>
      <vt:lpstr>CFF!Area_de_impressao</vt:lpstr>
      <vt:lpstr>COMPLEMENTARES!Area_de_impressao</vt:lpstr>
      <vt:lpstr>CPU!Area_de_impressao</vt:lpstr>
      <vt:lpstr>'DEMOLIÇÕES E RETIRADAS'!Area_de_impressao</vt:lpstr>
      <vt:lpstr>'DISP. DRENAGEM'!Area_de_impressao</vt:lpstr>
      <vt:lpstr>DMT!Area_de_impressao</vt:lpstr>
      <vt:lpstr>DRENAGEM!Area_de_impressao</vt:lpstr>
      <vt:lpstr>GRELHA!Area_de_impressao</vt:lpstr>
      <vt:lpstr>'MAT BET'!Area_de_impressao</vt:lpstr>
      <vt:lpstr>'ORÇ. SINTÉTICO'!Area_de_impressao</vt:lpstr>
      <vt:lpstr>'Orçamento Analítico'!Area_de_impressao</vt:lpstr>
      <vt:lpstr>PAVIMENTAÇÃO!Area_de_impressao</vt:lpstr>
      <vt:lpstr>PRELIMINARES!Area_de_impressao</vt:lpstr>
      <vt:lpstr>RESUMO!Area_de_impressao</vt:lpstr>
      <vt:lpstr>'RESUMO DES'!Area_de_impressao</vt:lpstr>
      <vt:lpstr>SINALIZAÇÃO!Area_de_impressao</vt:lpstr>
      <vt:lpstr>'CALÇADA E ACESS.'!Titulos_de_impressao</vt:lpstr>
      <vt:lpstr>CPU!Titulos_de_impressao</vt:lpstr>
      <vt:lpstr>'DISP. DRENAGEM'!Titulos_de_impressao</vt:lpstr>
      <vt:lpstr>DRENAGEM!Titulos_de_impressao</vt:lpstr>
      <vt:lpstr>'ORÇ.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Julia de Souza Menezes da Costa</cp:lastModifiedBy>
  <cp:lastPrinted>2026-03-12T20:59:22Z</cp:lastPrinted>
  <dcterms:created xsi:type="dcterms:W3CDTF">2019-05-27T20:12:35Z</dcterms:created>
  <dcterms:modified xsi:type="dcterms:W3CDTF">2026-04-30T14:09:29Z</dcterms:modified>
</cp:coreProperties>
</file>