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J1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" min="1" max="1" bestFit="1" customWidth="1"/>
    <col width="13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  <col width="13" min="11" max="11" bestFit="1" customWidth="1"/>
  </cols>
  <sheetData>
    <row customHeight="1" ht="30" r="1">
      <c r="A1" s="56"/>
      <c r="B1" s="56"/>
      <c r="C1" s="56"/>
      <c r="D1" s="56"/>
      <c r="E1" s="56"/>
      <c r="F1" s="56"/>
      <c r="G1" s="56"/>
      <c r="H1" s="56" t="inlineStr">
        <is>
          <t>Valor Final do Orçamento</t>
        </is>
      </c>
      <c r="I1" s="56"/>
      <c r="J1" s="59" t="str">
        <f>i4 + i25 + i28 + i48 + i53 + i81 + i85 + i97 + i100 + i113 + i116</f>
      </c>
    </row>
    <row customHeight="1" ht="20" r="2">
      <c r="A2" s="56"/>
      <c r="B2" s="56"/>
      <c r="C2" s="56"/>
      <c r="D2" s="56"/>
      <c r="E2" s="56"/>
      <c r="F2" s="56"/>
      <c r="G2" s="56"/>
      <c r="H2" s="56" t="inlineStr">
        <is>
          <t>BDI</t>
        </is>
      </c>
      <c r="I2" s="56"/>
      <c r="J2" s="64" t="n">
        <v>0.2624</v>
      </c>
    </row>
    <row customHeight="1" ht="30" r="3">
      <c r="A3" s="5" t="inlineStr">
        <is>
          <t>Item</t>
        </is>
      </c>
      <c r="B3" s="8" t="inlineStr">
        <is>
          <t>Código</t>
        </is>
      </c>
      <c r="C3" s="5" t="inlineStr">
        <is>
          <t>Banco</t>
        </is>
      </c>
      <c r="D3" s="5" t="inlineStr">
        <is>
          <t>Descrição</t>
        </is>
      </c>
      <c r="E3" s="6" t="inlineStr">
        <is>
          <t>Und</t>
        </is>
      </c>
      <c r="F3" s="8" t="inlineStr">
        <is>
          <t>Quant.</t>
        </is>
      </c>
      <c r="G3" s="8" t="inlineStr">
        <is>
          <t>Valor Unit</t>
        </is>
      </c>
      <c r="H3" s="8" t="inlineStr">
        <is>
          <t>Valor Unit com BDI</t>
        </is>
      </c>
      <c r="I3" s="8" t="inlineStr">
        <is>
          <t>Total</t>
        </is>
      </c>
      <c r="J3" s="8" t="inlineStr">
        <is>
          <t>Peso (%)</t>
        </is>
      </c>
    </row>
    <row customHeight="1" ht="24" r="4">
      <c r="A4" s="9" t="inlineStr">
        <is>
          <t> 1 </t>
        </is>
      </c>
      <c r="B4" s="9" t="inlineStr">
        <is>
          <t>  </t>
        </is>
      </c>
      <c r="C4" s="9"/>
      <c r="D4" s="9" t="inlineStr">
        <is>
          <t>CANTEIRO DE OBRAS</t>
        </is>
      </c>
      <c r="E4" s="10"/>
      <c r="F4" s="11" t="n">
        <v>1.0</v>
      </c>
      <c r="G4" s="11" t="inlineStr">
        <is>
          <t/>
        </is>
      </c>
      <c r="H4" s="12" t="str">
        <f>i5 + i21</f>
      </c>
      <c r="I4" s="12" t="str">
        <f>TRUNC(F4 * h4,2)</f>
      </c>
      <c r="J4" s="13" t="str">
        <f>i4 / j1</f>
      </c>
    </row>
    <row customHeight="1" ht="24" r="5">
      <c r="A5" s="9" t="inlineStr">
        <is>
          <t> 1.1 </t>
        </is>
      </c>
      <c r="B5" s="9" t="inlineStr">
        <is>
          <t>  </t>
        </is>
      </c>
      <c r="C5" s="9"/>
      <c r="D5" s="9" t="inlineStr">
        <is>
          <t>CANTEIRO DE OBRAS - SERVIÇOS GERAIS</t>
        </is>
      </c>
      <c r="E5" s="10"/>
      <c r="F5" s="11" t="n">
        <v>1.0</v>
      </c>
      <c r="G5" s="11" t="inlineStr">
        <is>
          <t/>
        </is>
      </c>
      <c r="H5" s="12" t="str">
        <f>i6 + i7 + i8 + i9 + i10 + i11 + i12 + i13 + i14 + i15 + i16 + i17 + i18 + i19 + i20</f>
      </c>
      <c r="I5" s="12" t="str">
        <f>TRUNC(F5 * h5,2)</f>
      </c>
      <c r="J5" s="13" t="str">
        <f>i5 / j1</f>
      </c>
    </row>
    <row customHeight="1" ht="26" r="6">
      <c r="A6" s="17" t="inlineStr">
        <is>
          <t> 1.1.1 </t>
        </is>
      </c>
      <c r="B6" s="17" t="inlineStr">
        <is>
          <t> 0101001101 </t>
        </is>
      </c>
      <c r="C6" s="17" t="inlineStr">
        <is>
          <t>AGESUL</t>
        </is>
      </c>
      <c r="D6" s="17" t="inlineStr">
        <is>
          <t>PLACA DE OBRA EM CHAPA GALVANIZADA N. 22, ADESIVADA</t>
        </is>
      </c>
      <c r="E6" s="18" t="inlineStr">
        <is>
          <t>m²</t>
        </is>
      </c>
      <c r="F6" s="19" t="n">
        <v>8.0</v>
      </c>
      <c r="G6" s="20" t="n">
        <v>508.06</v>
      </c>
      <c r="H6" s="20" t="str">
        <f>TRUNC(TRUNC(G6 * j2, 2) + G6, 2)</f>
      </c>
      <c r="I6" s="20" t="str">
        <f>TRUNC(F6 * h6,2)</f>
      </c>
      <c r="J6" s="21" t="str">
        <f>i6 / j1</f>
      </c>
    </row>
    <row customHeight="1" ht="24" r="7">
      <c r="A7" s="17" t="inlineStr">
        <is>
          <t> 1.1.2 </t>
        </is>
      </c>
      <c r="B7" s="17" t="inlineStr">
        <is>
          <t> Proprio93 </t>
        </is>
      </c>
      <c r="C7" s="17" t="inlineStr">
        <is>
          <t>Próprio</t>
        </is>
      </c>
      <c r="D7" s="17" t="inlineStr">
        <is>
          <t>LOCAÇÃO DE PONTO PARA REFERÊNCIA TOPOGRÁFICA</t>
        </is>
      </c>
      <c r="E7" s="18" t="inlineStr">
        <is>
          <t>un</t>
        </is>
      </c>
      <c r="F7" s="19" t="n">
        <v>138.0</v>
      </c>
      <c r="G7" s="20" t="n">
        <v>8.69</v>
      </c>
      <c r="H7" s="20" t="str">
        <f>TRUNC(TRUNC(G7 * j2, 2) + G7, 2)</f>
      </c>
      <c r="I7" s="20" t="str">
        <f>TRUNC(F7 * h7,2)</f>
      </c>
      <c r="J7" s="21" t="str">
        <f>i7 / j1</f>
      </c>
    </row>
    <row customHeight="1" ht="52" r="8">
      <c r="A8" s="17" t="inlineStr">
        <is>
          <t> 1.1.3 </t>
        </is>
      </c>
      <c r="B8" s="17" t="inlineStr">
        <is>
          <t> 0101001131 </t>
        </is>
      </c>
      <c r="C8" s="17" t="inlineStr">
        <is>
          <t>AGESUL</t>
        </is>
      </c>
      <c r="D8" s="17" t="inlineStr">
        <is>
          <t>TAPUME COM TELHA TRAPEZOIDAL  EM ACO GALVANIZADO, ESP=0,50MM, ESTRUTURA EM MADEIRA NAO APARELHADA (REAPROVEITAMENTO DA TELHA DE 3X), INCLUSO PINTURA LATEX EXTERNAMENTE</t>
        </is>
      </c>
      <c r="E8" s="18" t="inlineStr">
        <is>
          <t>m²</t>
        </is>
      </c>
      <c r="F8" s="19" t="n">
        <v>143.4</v>
      </c>
      <c r="G8" s="20" t="n">
        <v>74.92</v>
      </c>
      <c r="H8" s="20" t="str">
        <f>TRUNC(TRUNC(G8 * j2, 2) + G8, 2)</f>
      </c>
      <c r="I8" s="20" t="str">
        <f>TRUNC(F8 * h8,2)</f>
      </c>
      <c r="J8" s="21" t="str">
        <f>i8 / j1</f>
      </c>
    </row>
    <row customHeight="1" ht="52" r="9">
      <c r="A9" s="17" t="inlineStr">
        <is>
          <t> 1.1.4 </t>
        </is>
      </c>
      <c r="B9" s="17" t="inlineStr">
        <is>
          <t> 0101001136 </t>
        </is>
      </c>
      <c r="C9" s="17" t="inlineStr">
        <is>
          <t>AGESUL</t>
        </is>
      </c>
      <c r="D9" s="17" t="inlineStr">
        <is>
          <t>PORTAO PARA TAPUME COM TELHA TRAPEZOIDAL EM ACO GALVANIZADO,  ESP=0,5MM, EM ESTRUTURA DE MADEIRA, INCLUSIVE FERRAGENS (REAPROVEITAMENTO DA TELHA DE 3X), INCLUSO PINTURA LATEX EXTERNAMENTE</t>
        </is>
      </c>
      <c r="E9" s="18" t="inlineStr">
        <is>
          <t>m²</t>
        </is>
      </c>
      <c r="F9" s="19" t="n">
        <v>10.0</v>
      </c>
      <c r="G9" s="20" t="n">
        <v>79.91</v>
      </c>
      <c r="H9" s="20" t="str">
        <f>TRUNC(TRUNC(G9 * j2, 2) + G9, 2)</f>
      </c>
      <c r="I9" s="20" t="str">
        <f>TRUNC(F9 * h9,2)</f>
      </c>
      <c r="J9" s="21" t="str">
        <f>i9 / j1</f>
      </c>
    </row>
    <row customHeight="1" ht="39" r="10">
      <c r="A10" s="17" t="inlineStr">
        <is>
          <t> 1.1.5 </t>
        </is>
      </c>
      <c r="B10" s="17" t="inlineStr">
        <is>
          <t> 0101001151 </t>
        </is>
      </c>
      <c r="C10" s="17" t="inlineStr">
        <is>
          <t>AGESUL</t>
        </is>
      </c>
      <c r="D10" s="17" t="inlineStr">
        <is>
          <t>EXECUCAO DE REFEITORIO EM CANTEIRO DE OBRAS, FORA DA PROJECAO DA LAJE, EM CHAPA DE MADEIRA COMPENSADA, NAO INCLUSO MOBILIARIO E EQUIPAMENTOS</t>
        </is>
      </c>
      <c r="E10" s="18" t="inlineStr">
        <is>
          <t>m²</t>
        </is>
      </c>
      <c r="F10" s="19" t="n">
        <v>12.6</v>
      </c>
      <c r="G10" s="20" t="n">
        <v>692.57</v>
      </c>
      <c r="H10" s="20" t="str">
        <f>TRUNC(TRUNC(G10 * j2, 2) + G10, 2)</f>
      </c>
      <c r="I10" s="20" t="str">
        <f>TRUNC(F10 * h10,2)</f>
      </c>
      <c r="J10" s="21" t="str">
        <f>i10 / j1</f>
      </c>
    </row>
    <row customHeight="1" ht="52" r="11">
      <c r="A11" s="17" t="inlineStr">
        <is>
          <t> 1.1.6 </t>
        </is>
      </c>
      <c r="B11" s="17" t="inlineStr">
        <is>
          <t> 0101001156 </t>
        </is>
      </c>
      <c r="C11" s="17" t="inlineStr">
        <is>
          <t>AGESUL</t>
        </is>
      </c>
      <c r="D11" s="17" t="inlineStr">
        <is>
          <t>BEBEDOURO INDUSTRIAL DE COLUNA EM ACO INOX, CAPACIDADE DE 50 LITROS, 2 TORNEIRAS, KIT INSTALACAO E FILTRO BACTERIOLOGICO, REF. KX-05 DA KNOX OU SIMILAR (REAPROVEITAMENTO DE 6X)</t>
        </is>
      </c>
      <c r="E11" s="18" t="inlineStr">
        <is>
          <t>UN</t>
        </is>
      </c>
      <c r="F11" s="19" t="n">
        <v>1.0</v>
      </c>
      <c r="G11" s="20" t="n">
        <v>406.01</v>
      </c>
      <c r="H11" s="20" t="str">
        <f>TRUNC(TRUNC(G11 * j2, 2) + G11, 2)</f>
      </c>
      <c r="I11" s="20" t="str">
        <f>TRUNC(F11 * h11,2)</f>
      </c>
      <c r="J11" s="21" t="str">
        <f>i11 / j1</f>
      </c>
    </row>
    <row customHeight="1" ht="39" r="12">
      <c r="A12" s="17" t="inlineStr">
        <is>
          <t> 1.1.7 </t>
        </is>
      </c>
      <c r="B12" s="17" t="inlineStr">
        <is>
          <t> 0101001161 </t>
        </is>
      </c>
      <c r="C12" s="17" t="inlineStr">
        <is>
          <t>AGESUL</t>
        </is>
      </c>
      <c r="D12" s="17" t="inlineStr">
        <is>
          <t>EXECUCAO DE SANITARIO E VESTIARIO EM CANTEIRO DE OBRAS, FORA DA PROJECAO DA LAJE, EM CHAPA DE MADEIRA COMPENSADA, NAO INCLUSO MOBILIARIO</t>
        </is>
      </c>
      <c r="E12" s="18" t="inlineStr">
        <is>
          <t>m²</t>
        </is>
      </c>
      <c r="F12" s="19" t="n">
        <v>10.4</v>
      </c>
      <c r="G12" s="20" t="n">
        <v>945.73</v>
      </c>
      <c r="H12" s="20" t="str">
        <f>TRUNC(TRUNC(G12 * j2, 2) + G12, 2)</f>
      </c>
      <c r="I12" s="20" t="str">
        <f>TRUNC(F12 * h12,2)</f>
      </c>
      <c r="J12" s="21" t="str">
        <f>i12 / j1</f>
      </c>
    </row>
    <row customHeight="1" ht="39" r="13">
      <c r="A13" s="17" t="inlineStr">
        <is>
          <t> 1.1.8 </t>
        </is>
      </c>
      <c r="B13" s="17" t="inlineStr">
        <is>
          <t> 0101001166 </t>
        </is>
      </c>
      <c r="C13" s="17" t="inlineStr">
        <is>
          <t>AGESUL</t>
        </is>
      </c>
      <c r="D13" s="17" t="inlineStr">
        <is>
          <t>EXECUCAO DE CENTRAL DE FORMAS, PRODUCAO DE ARGAMASSA OU CONCRETO EM CANTEIRO DE OBRAS, NAO INCLUSO MOBILIARIO E EQUIPAMENTOS</t>
        </is>
      </c>
      <c r="E13" s="18" t="inlineStr">
        <is>
          <t>m²</t>
        </is>
      </c>
      <c r="F13" s="19" t="n">
        <v>9.0</v>
      </c>
      <c r="G13" s="20" t="n">
        <v>730.11</v>
      </c>
      <c r="H13" s="20" t="str">
        <f>TRUNC(TRUNC(G13 * j2, 2) + G13, 2)</f>
      </c>
      <c r="I13" s="20" t="str">
        <f>TRUNC(F13 * h13,2)</f>
      </c>
      <c r="J13" s="21" t="str">
        <f>i13 / j1</f>
      </c>
    </row>
    <row customHeight="1" ht="52" r="14">
      <c r="A14" s="17" t="inlineStr">
        <is>
          <t> 1.1.9 </t>
        </is>
      </c>
      <c r="B14" s="17" t="inlineStr">
        <is>
          <t> 0101001186 </t>
        </is>
      </c>
      <c r="C14" s="17" t="inlineStr">
        <is>
          <t>AGESUL</t>
        </is>
      </c>
      <c r="D14" s="17" t="inlineStr">
        <is>
          <t>LOCACAO DE CONTAINER 2,30 X 6,00 M, ALT. 2,50 M, COM 1 SANITARIO, PARA ESCRITORIO, COMPLETO, SEM DIVISORIAS INTERNAS, EXCLUSIVE TRANSPORTE/CARGA/DESCARGA</t>
        </is>
      </c>
      <c r="E14" s="18" t="inlineStr">
        <is>
          <t>MES</t>
        </is>
      </c>
      <c r="F14" s="19" t="n">
        <v>9.0</v>
      </c>
      <c r="G14" s="20" t="n">
        <v>903.5</v>
      </c>
      <c r="H14" s="20" t="str">
        <f>TRUNC(TRUNC(G14 * j2, 2) + G14, 2)</f>
      </c>
      <c r="I14" s="20" t="str">
        <f>TRUNC(F14 * h14,2)</f>
      </c>
      <c r="J14" s="21" t="str">
        <f>i14 / j1</f>
      </c>
    </row>
    <row customHeight="1" ht="39" r="15">
      <c r="A15" s="17" t="inlineStr">
        <is>
          <t> 1.1.10 </t>
        </is>
      </c>
      <c r="B15" s="17" t="inlineStr">
        <is>
          <t> 0101001181 </t>
        </is>
      </c>
      <c r="C15" s="17" t="inlineStr">
        <is>
          <t>AGESUL</t>
        </is>
      </c>
      <c r="D15" s="17" t="inlineStr">
        <is>
          <t>LOCACAO DE CONTAINER PARA DEPOSITO DE (2,30 X 6,00)M, ALT. 2,50M, SEM DIVISORIAS INTERNAS E SEM SANITARIO, EXC TRANSP/CARGA/DESCARGA</t>
        </is>
      </c>
      <c r="E15" s="18" t="inlineStr">
        <is>
          <t>MES</t>
        </is>
      </c>
      <c r="F15" s="19" t="n">
        <v>9.0</v>
      </c>
      <c r="G15" s="20" t="n">
        <v>705.85</v>
      </c>
      <c r="H15" s="20" t="str">
        <f>TRUNC(TRUNC(G15 * j2, 2) + G15, 2)</f>
      </c>
      <c r="I15" s="20" t="str">
        <f>TRUNC(F15 * h15,2)</f>
      </c>
      <c r="J15" s="21" t="str">
        <f>i15 / j1</f>
      </c>
    </row>
    <row customHeight="1" ht="52" r="16">
      <c r="A16" s="17" t="inlineStr">
        <is>
          <t> 1.1.11 </t>
        </is>
      </c>
      <c r="B16" s="17" t="inlineStr">
        <is>
          <t> 0101001256 </t>
        </is>
      </c>
      <c r="C16" s="17" t="inlineStr">
        <is>
          <t>AGESUL</t>
        </is>
      </c>
      <c r="D16" s="17" t="inlineStr">
        <is>
          <t>BAIA PARA AGREGADOS DESCOBERTA, MEDINDO (3,0 X 3,0 X 0,9)M, PAREDES EM CHAPA DE COMPENSADO RESINADA 6MM, ESTRUTURADA COM CAIBROS, PISO EM TERRENO NATURAL, REGULARIZADO E COMPACTADO</t>
        </is>
      </c>
      <c r="E16" s="18" t="inlineStr">
        <is>
          <t>UN</t>
        </is>
      </c>
      <c r="F16" s="19" t="n">
        <v>2.0</v>
      </c>
      <c r="G16" s="20" t="n">
        <v>662.62</v>
      </c>
      <c r="H16" s="20" t="str">
        <f>TRUNC(TRUNC(G16 * j2, 2) + G16, 2)</f>
      </c>
      <c r="I16" s="20" t="str">
        <f>TRUNC(F16 * h16,2)</f>
      </c>
      <c r="J16" s="21" t="str">
        <f>i16 / j1</f>
      </c>
    </row>
    <row customHeight="1" ht="26" r="17">
      <c r="A17" s="17" t="inlineStr">
        <is>
          <t> 1.1.12 </t>
        </is>
      </c>
      <c r="B17" s="17" t="inlineStr">
        <is>
          <t> 0101001168 </t>
        </is>
      </c>
      <c r="C17" s="17" t="inlineStr">
        <is>
          <t>AGESUL</t>
        </is>
      </c>
      <c r="D17" s="17" t="inlineStr">
        <is>
          <t>EXECUCAO DE CENTRAL DE ARMADURA EM CANTEIRO DE OBRA, NAO INCLUSO MOBILIARIO E EQUIPAMENTOS</t>
        </is>
      </c>
      <c r="E17" s="18" t="inlineStr">
        <is>
          <t>m²</t>
        </is>
      </c>
      <c r="F17" s="19" t="n">
        <v>15.0</v>
      </c>
      <c r="G17" s="20" t="n">
        <v>240.34</v>
      </c>
      <c r="H17" s="20" t="str">
        <f>TRUNC(TRUNC(G17 * j2, 2) + G17, 2)</f>
      </c>
      <c r="I17" s="20" t="str">
        <f>TRUNC(F17 * h17,2)</f>
      </c>
      <c r="J17" s="21" t="str">
        <f>i17 / j1</f>
      </c>
    </row>
    <row customHeight="1" ht="24" r="18">
      <c r="A18" s="17" t="inlineStr">
        <is>
          <t> 1.1.13 </t>
        </is>
      </c>
      <c r="B18" s="17" t="inlineStr">
        <is>
          <t> Proprio32 </t>
        </is>
      </c>
      <c r="C18" s="17" t="inlineStr">
        <is>
          <t>Próprio</t>
        </is>
      </c>
      <c r="D18" s="17" t="inlineStr">
        <is>
          <t>Locação de casa com 3 quartos ( mês )</t>
        </is>
      </c>
      <c r="E18" s="18" t="inlineStr">
        <is>
          <t>mês</t>
        </is>
      </c>
      <c r="F18" s="19" t="n">
        <v>9.0</v>
      </c>
      <c r="G18" s="20" t="n">
        <v>3056.34</v>
      </c>
      <c r="H18" s="20" t="str">
        <f>TRUNC(TRUNC(G18 * j2, 2) + G18, 2)</f>
      </c>
      <c r="I18" s="20" t="str">
        <f>TRUNC(F18 * h18,2)</f>
      </c>
      <c r="J18" s="21" t="str">
        <f>i18 / j1</f>
      </c>
    </row>
    <row customHeight="1" ht="39" r="19">
      <c r="A19" s="17" t="inlineStr">
        <is>
          <t> 1.1.14 </t>
        </is>
      </c>
      <c r="B19" s="17" t="inlineStr">
        <is>
          <t> 0401002030 </t>
        </is>
      </c>
      <c r="C19" s="17" t="inlineStr">
        <is>
          <t>AGESUL</t>
        </is>
      </c>
      <c r="D19" s="17" t="inlineStr">
        <is>
          <t>MOBILIZACAO E DESMOBILIZACAO DE EQUIPAMENTOS (ESCAVADEIRA HIDRAULICA, TRATOR DE ESTEIRA OU PA CARREGADEIRA)</t>
        </is>
      </c>
      <c r="E19" s="18" t="inlineStr">
        <is>
          <t>KM</t>
        </is>
      </c>
      <c r="F19" s="19" t="n">
        <v>904.0</v>
      </c>
      <c r="G19" s="20" t="n">
        <v>6.97</v>
      </c>
      <c r="H19" s="20" t="str">
        <f>TRUNC(TRUNC(G19 * j2, 2) + G19, 2)</f>
      </c>
      <c r="I19" s="20" t="str">
        <f>TRUNC(F19 * h19,2)</f>
      </c>
      <c r="J19" s="21" t="str">
        <f>i19 / j1</f>
      </c>
    </row>
    <row customHeight="1" ht="24" r="20">
      <c r="A20" s="17" t="inlineStr">
        <is>
          <t> 1.1.15 </t>
        </is>
      </c>
      <c r="B20" s="17" t="inlineStr">
        <is>
          <t> 0101001196 </t>
        </is>
      </c>
      <c r="C20" s="17" t="inlineStr">
        <is>
          <t>AGESUL</t>
        </is>
      </c>
      <c r="D20" s="17" t="inlineStr">
        <is>
          <t>MOBILIZACAO E DESMOBILIZACAO DE CONTAINER</t>
        </is>
      </c>
      <c r="E20" s="18" t="inlineStr">
        <is>
          <t>UN</t>
        </is>
      </c>
      <c r="F20" s="19" t="n">
        <v>2.0</v>
      </c>
      <c r="G20" s="20" t="n">
        <v>1083.76</v>
      </c>
      <c r="H20" s="20" t="str">
        <f>TRUNC(TRUNC(G20 * j2, 2) + G20, 2)</f>
      </c>
      <c r="I20" s="20" t="str">
        <f>TRUNC(F20 * h20,2)</f>
      </c>
      <c r="J20" s="21" t="str">
        <f>i20 / j1</f>
      </c>
    </row>
    <row customHeight="1" ht="24" r="21">
      <c r="A21" s="9" t="inlineStr">
        <is>
          <t> 1.2 </t>
        </is>
      </c>
      <c r="B21" s="9" t="inlineStr">
        <is>
          <t>  </t>
        </is>
      </c>
      <c r="C21" s="9"/>
      <c r="D21" s="9" t="inlineStr">
        <is>
          <t>CANTEIRO DE OBRAS - INSTALAÇÕES HIDRÁULICAS</t>
        </is>
      </c>
      <c r="E21" s="10"/>
      <c r="F21" s="11" t="n">
        <v>1.0</v>
      </c>
      <c r="G21" s="11" t="inlineStr">
        <is>
          <t/>
        </is>
      </c>
      <c r="H21" s="12" t="str">
        <f>i22 + i23 + i24</f>
      </c>
      <c r="I21" s="12" t="str">
        <f>TRUNC(F21 * h21,2)</f>
      </c>
      <c r="J21" s="13" t="str">
        <f>i21 / j1</f>
      </c>
    </row>
    <row customHeight="1" ht="26" r="22">
      <c r="A22" s="17" t="inlineStr">
        <is>
          <t> 1.2.1 </t>
        </is>
      </c>
      <c r="B22" s="17" t="inlineStr">
        <is>
          <t> 0101002100 </t>
        </is>
      </c>
      <c r="C22" s="17" t="inlineStr">
        <is>
          <t>AGESUL</t>
        </is>
      </c>
      <c r="D22" s="17" t="inlineStr">
        <is>
          <t>INSTALACAO PROVISORIA DE AGUA E ESGOTO PARA OBRAS DE PORTE PEQUENO</t>
        </is>
      </c>
      <c r="E22" s="18" t="inlineStr">
        <is>
          <t>UN</t>
        </is>
      </c>
      <c r="F22" s="19" t="n">
        <v>1.0</v>
      </c>
      <c r="G22" s="20" t="n">
        <v>2381.01</v>
      </c>
      <c r="H22" s="20" t="str">
        <f>TRUNC(TRUNC(G22 * j2, 2) + G22, 2)</f>
      </c>
      <c r="I22" s="20" t="str">
        <f>TRUNC(F22 * h22,2)</f>
      </c>
      <c r="J22" s="21" t="str">
        <f>i22 / j1</f>
      </c>
    </row>
    <row customHeight="1" ht="39" r="23">
      <c r="A23" s="17" t="inlineStr">
        <is>
          <t> 1.2.2 </t>
        </is>
      </c>
      <c r="B23" s="17" t="inlineStr">
        <is>
          <t> 95635 </t>
        </is>
      </c>
      <c r="C23" s="17" t="inlineStr">
        <is>
          <t>SINAPI</t>
        </is>
      </c>
      <c r="D23" s="17" t="inlineStr">
        <is>
          <t>KIT CAVALETE PARA MEDIÇÃO DE ÁGUA - ENTRADA PRINCIPAL, EM PVC 25 MM (3/4") - FORNECIMENTO E INSTALAÇÃO (EXCLUSIVE HIDRÔMETRO). AF_03/2024</t>
        </is>
      </c>
      <c r="E23" s="18" t="inlineStr">
        <is>
          <t>UN</t>
        </is>
      </c>
      <c r="F23" s="19" t="n">
        <v>1.0</v>
      </c>
      <c r="G23" s="20" t="n">
        <v>206.9</v>
      </c>
      <c r="H23" s="20" t="str">
        <f>TRUNC(TRUNC(G23 * j2, 2) + G23, 2)</f>
      </c>
      <c r="I23" s="20" t="str">
        <f>TRUNC(F23 * h23,2)</f>
      </c>
      <c r="J23" s="21" t="str">
        <f>i23 / j1</f>
      </c>
    </row>
    <row customHeight="1" ht="39" r="24">
      <c r="A24" s="17" t="inlineStr">
        <is>
          <t> 1.2.3 </t>
        </is>
      </c>
      <c r="B24" s="17" t="inlineStr">
        <is>
          <t> 0101001171 </t>
        </is>
      </c>
      <c r="C24" s="17" t="inlineStr">
        <is>
          <t>AGESUL</t>
        </is>
      </c>
      <c r="D24" s="17" t="inlineStr">
        <is>
          <t>EXECUCAO DE RESERVATORIO ELEVADO DE AGUA (2000 LITROS) EM CANTEIRO DE OBRAS, APOIADO EM ESTRUTURA DE MADEIRA</t>
        </is>
      </c>
      <c r="E24" s="18" t="inlineStr">
        <is>
          <t>UN</t>
        </is>
      </c>
      <c r="F24" s="19" t="n">
        <v>1.0</v>
      </c>
      <c r="G24" s="20" t="n">
        <v>12684.75</v>
      </c>
      <c r="H24" s="20" t="str">
        <f>TRUNC(TRUNC(G24 * j2, 2) + G24, 2)</f>
      </c>
      <c r="I24" s="20" t="str">
        <f>TRUNC(F24 * h24,2)</f>
      </c>
      <c r="J24" s="21" t="str">
        <f>i24 / j1</f>
      </c>
    </row>
    <row customHeight="1" ht="24" r="25">
      <c r="A25" s="9" t="inlineStr">
        <is>
          <t> 2 </t>
        </is>
      </c>
      <c r="B25" s="9" t="inlineStr">
        <is>
          <t>  </t>
        </is>
      </c>
      <c r="C25" s="9"/>
      <c r="D25" s="9" t="inlineStr">
        <is>
          <t>DEMOLIÇÕES E RETIRADAS</t>
        </is>
      </c>
      <c r="E25" s="10"/>
      <c r="F25" s="11" t="n">
        <v>1.0</v>
      </c>
      <c r="G25" s="11" t="inlineStr">
        <is>
          <t/>
        </is>
      </c>
      <c r="H25" s="12" t="str">
        <f>i26 + i27</f>
      </c>
      <c r="I25" s="12" t="str">
        <f>TRUNC(F25 * h25,2)</f>
      </c>
      <c r="J25" s="13" t="str">
        <f>i25 / j1</f>
      </c>
    </row>
    <row customHeight="1" ht="24" r="26">
      <c r="A26" s="17" t="inlineStr">
        <is>
          <t> 2.1 </t>
        </is>
      </c>
      <c r="B26" s="17" t="inlineStr">
        <is>
          <t> 0201002160 </t>
        </is>
      </c>
      <c r="C26" s="17" t="inlineStr">
        <is>
          <t>AGESUL</t>
        </is>
      </c>
      <c r="D26" s="17" t="inlineStr">
        <is>
          <t>CARGA MANUAL DE ENTULHO EM CACAMBA</t>
        </is>
      </c>
      <c r="E26" s="18" t="inlineStr">
        <is>
          <t>m³</t>
        </is>
      </c>
      <c r="F26" s="19" t="n">
        <v>144.0</v>
      </c>
      <c r="G26" s="20" t="n">
        <v>14.51</v>
      </c>
      <c r="H26" s="20" t="str">
        <f>TRUNC(TRUNC(G26 * j2, 2) + G26, 2)</f>
      </c>
      <c r="I26" s="20" t="str">
        <f>TRUNC(F26 * h26,2)</f>
      </c>
      <c r="J26" s="21" t="str">
        <f>i26 / j1</f>
      </c>
    </row>
    <row customHeight="1" ht="24" r="27">
      <c r="A27" s="17" t="inlineStr">
        <is>
          <t> 2.2 </t>
        </is>
      </c>
      <c r="B27" s="17" t="inlineStr">
        <is>
          <t> 0201002161 </t>
        </is>
      </c>
      <c r="C27" s="17" t="inlineStr">
        <is>
          <t>AGESUL</t>
        </is>
      </c>
      <c r="D27" s="17" t="inlineStr">
        <is>
          <t>LOCACAO DE CACAMBA (4M3) (7 DIAS)</t>
        </is>
      </c>
      <c r="E27" s="18" t="inlineStr">
        <is>
          <t>UN</t>
        </is>
      </c>
      <c r="F27" s="19" t="n">
        <v>36.0</v>
      </c>
      <c r="G27" s="20" t="n">
        <v>350.0</v>
      </c>
      <c r="H27" s="20" t="str">
        <f>TRUNC(TRUNC(G27 * j2, 2) + G27, 2)</f>
      </c>
      <c r="I27" s="20" t="str">
        <f>TRUNC(F27 * h27,2)</f>
      </c>
      <c r="J27" s="21" t="str">
        <f>i27 / j1</f>
      </c>
    </row>
    <row customHeight="1" ht="24" r="28">
      <c r="A28" s="9" t="inlineStr">
        <is>
          <t> 3 </t>
        </is>
      </c>
      <c r="B28" s="9" t="inlineStr">
        <is>
          <t>  </t>
        </is>
      </c>
      <c r="C28" s="9"/>
      <c r="D28" s="9" t="inlineStr">
        <is>
          <t>INFRAESTRUTURA</t>
        </is>
      </c>
      <c r="E28" s="10"/>
      <c r="F28" s="11" t="n">
        <v>1.0</v>
      </c>
      <c r="G28" s="11" t="inlineStr">
        <is>
          <t/>
        </is>
      </c>
      <c r="H28" s="12" t="str">
        <f>i29 + i32 + i36 + i38 + i40 + i43 + i45</f>
      </c>
      <c r="I28" s="12" t="str">
        <f>TRUNC(F28 * h28,2)</f>
      </c>
      <c r="J28" s="13" t="str">
        <f>i28 / j1</f>
      </c>
    </row>
    <row customHeight="1" ht="24" r="29">
      <c r="A29" s="9" t="inlineStr">
        <is>
          <t> 3.1 </t>
        </is>
      </c>
      <c r="B29" s="9" t="inlineStr">
        <is>
          <t>  </t>
        </is>
      </c>
      <c r="C29" s="9"/>
      <c r="D29" s="9" t="inlineStr">
        <is>
          <t>ESCAVAÇÕES E CORTES DO TERRENO</t>
        </is>
      </c>
      <c r="E29" s="10"/>
      <c r="F29" s="11" t="n">
        <v>1.0</v>
      </c>
      <c r="G29" s="11" t="inlineStr">
        <is>
          <t/>
        </is>
      </c>
      <c r="H29" s="12" t="str">
        <f>i30 + i31</f>
      </c>
      <c r="I29" s="12" t="str">
        <f>TRUNC(F29 * h29,2)</f>
      </c>
      <c r="J29" s="13" t="str">
        <f>i29 / j1</f>
      </c>
    </row>
    <row customHeight="1" ht="65" r="30">
      <c r="A30" s="17" t="inlineStr">
        <is>
          <t> 3.1.1 </t>
        </is>
      </c>
      <c r="B30" s="17" t="inlineStr">
        <is>
          <t> 102279 </t>
        </is>
      </c>
      <c r="C30" s="17" t="inlineStr">
        <is>
          <t>SINAPI</t>
        </is>
      </c>
      <c r="D30" s="17" t="inlineStr">
        <is>
          <t>ESCAVAÇÃO MECANIZADA DE VALA COM PROF. ATÉ 1,5 M (MÉDIA MONTANTE E JUSANTE/UMA COMPOSIÇÃO POR TRECHO), ESCAVADEIRA (0,8 M3),LARG. MENOR QUE 1,5 M, EM SOLO DE 1A CATEGORIA, LOCAIS COM BAIXO NÍVEL DE INTERFERÊNCIA. AF_09/2024</t>
        </is>
      </c>
      <c r="E30" s="18" t="inlineStr">
        <is>
          <t>m³</t>
        </is>
      </c>
      <c r="F30" s="19" t="n">
        <v>1519.46</v>
      </c>
      <c r="G30" s="20" t="n">
        <v>6.83</v>
      </c>
      <c r="H30" s="20" t="str">
        <f>TRUNC(TRUNC(G30 * j2, 2) + G30, 2)</f>
      </c>
      <c r="I30" s="20" t="str">
        <f>TRUNC(F30 * h30,2)</f>
      </c>
      <c r="J30" s="21" t="str">
        <f>i30 / j1</f>
      </c>
    </row>
    <row customHeight="1" ht="65" r="31">
      <c r="A31" s="17" t="inlineStr">
        <is>
          <t> 3.1.2 </t>
        </is>
      </c>
      <c r="B31" s="17" t="inlineStr">
        <is>
          <t> 93368 </t>
        </is>
      </c>
      <c r="C31" s="17" t="inlineStr">
        <is>
          <t>SINAPI</t>
        </is>
      </c>
      <c r="D31" s="17" t="inlineStr">
        <is>
          <t>REATERRO MECANIZADO DE VALA COM ESCAVADEIRA HIDRÁULICA (CAPACIDADE DA CAÇAMBA: 0,8 M³/POTÊNCIA: 111 HP), LARGURA ATÉ 1,5 M, PROFUNDIDADE DE 1,5 A 3,0 M, COM SOLO (SEM SUBSTITUIÇÃO) DE 1ª CATEGORIA, COM COMPACTADOR DE SOLOS DE PERCUSSÃO. AF_08/2023</t>
        </is>
      </c>
      <c r="E31" s="18" t="inlineStr">
        <is>
          <t>m³</t>
        </is>
      </c>
      <c r="F31" s="19" t="n">
        <v>1519.46</v>
      </c>
      <c r="G31" s="20" t="n">
        <v>20.54</v>
      </c>
      <c r="H31" s="20" t="str">
        <f>TRUNC(TRUNC(G31 * j2, 2) + G31, 2)</f>
      </c>
      <c r="I31" s="20" t="str">
        <f>TRUNC(F31 * h31,2)</f>
      </c>
      <c r="J31" s="21" t="str">
        <f>i31 / j1</f>
      </c>
    </row>
    <row customHeight="1" ht="24" r="32">
      <c r="A32" s="9" t="inlineStr">
        <is>
          <t> 3.2 </t>
        </is>
      </c>
      <c r="B32" s="9" t="inlineStr">
        <is>
          <t>  </t>
        </is>
      </c>
      <c r="C32" s="9"/>
      <c r="D32" s="9" t="inlineStr">
        <is>
          <t>REDE DE LINHA DE DUTOS</t>
        </is>
      </c>
      <c r="E32" s="10"/>
      <c r="F32" s="11" t="n">
        <v>1.0</v>
      </c>
      <c r="G32" s="11" t="inlineStr">
        <is>
          <t/>
        </is>
      </c>
      <c r="H32" s="12" t="str">
        <f>i33 + i34 + i35</f>
      </c>
      <c r="I32" s="12" t="str">
        <f>TRUNC(F32 * h32,2)</f>
      </c>
      <c r="J32" s="13" t="str">
        <f>i32 / j1</f>
      </c>
    </row>
    <row customHeight="1" ht="65" r="33">
      <c r="A33" s="17" t="inlineStr">
        <is>
          <t> 3.2.1 </t>
        </is>
      </c>
      <c r="B33" s="17" t="inlineStr">
        <is>
          <t> Proprio33 </t>
        </is>
      </c>
      <c r="C33" s="17" t="inlineStr">
        <is>
          <t>Próprio</t>
        </is>
      </c>
      <c r="D33" s="17" t="inlineStr">
        <is>
          <t>Construção de linhas de dutos tráfego leve de 1 x 3" (75mm), Kanaflex, Peveduto ou similar, envelopada em areia, nos trechos entre as caixas de passagem CP-A e as curvas metálicas das luminárias de bordo da pista ( m )</t>
        </is>
      </c>
      <c r="E33" s="18" t="inlineStr">
        <is>
          <t>m</t>
        </is>
      </c>
      <c r="F33" s="19" t="n">
        <v>2515.23</v>
      </c>
      <c r="G33" s="20" t="n">
        <v>49.4</v>
      </c>
      <c r="H33" s="20" t="str">
        <f>TRUNC(TRUNC(G33 * j2, 2) + G33, 2)</f>
      </c>
      <c r="I33" s="20" t="str">
        <f>TRUNC(F33 * h33,2)</f>
      </c>
      <c r="J33" s="21" t="str">
        <f>i33 / j1</f>
      </c>
    </row>
    <row customHeight="1" ht="65" r="34">
      <c r="A34" s="17" t="inlineStr">
        <is>
          <t> 3.2.2 </t>
        </is>
      </c>
      <c r="B34" s="17" t="inlineStr">
        <is>
          <t> Proprio34 </t>
        </is>
      </c>
      <c r="C34" s="17" t="inlineStr">
        <is>
          <t>Próprio</t>
        </is>
      </c>
      <c r="D34" s="17" t="inlineStr">
        <is>
          <t>Construção de linhas de dutos tráfego leve de 2 x 3"" (75mm), Kanaflex, Peveduto ou similar, envelopada em areia, nos trechos entre as caixas de passagem CP-A e as curvas metálicas das luminárias de bordo da pista  ( m )</t>
        </is>
      </c>
      <c r="E34" s="18" t="inlineStr">
        <is>
          <t>m</t>
        </is>
      </c>
      <c r="F34" s="19" t="n">
        <v>1126.8</v>
      </c>
      <c r="G34" s="20" t="n">
        <v>76.82</v>
      </c>
      <c r="H34" s="20" t="str">
        <f>TRUNC(TRUNC(G34 * j2, 2) + G34, 2)</f>
      </c>
      <c r="I34" s="20" t="str">
        <f>TRUNC(F34 * h34,2)</f>
      </c>
      <c r="J34" s="21" t="str">
        <f>i34 / j1</f>
      </c>
    </row>
    <row customHeight="1" ht="65" r="35">
      <c r="A35" s="17" t="inlineStr">
        <is>
          <t> 3.2.3 </t>
        </is>
      </c>
      <c r="B35" s="17" t="inlineStr">
        <is>
          <t> Proprio91 </t>
        </is>
      </c>
      <c r="C35" s="17" t="inlineStr">
        <is>
          <t>Próprio</t>
        </is>
      </c>
      <c r="D35" s="17" t="inlineStr">
        <is>
          <t>Construção de linhas de dutos tráfego leve de 3 x 3"" (75mm), Kanaflex, Peveduto ou similar, envelopada em areia, nos trechos entre as caixas de passagem CP-A e as curvas metálicas das luminárias de bordo da pista ( m )</t>
        </is>
      </c>
      <c r="E35" s="18" t="inlineStr">
        <is>
          <t>m</t>
        </is>
      </c>
      <c r="F35" s="19" t="n">
        <v>551.3</v>
      </c>
      <c r="G35" s="20" t="n">
        <v>104.24</v>
      </c>
      <c r="H35" s="20" t="str">
        <f>TRUNC(TRUNC(G35 * j2, 2) + G35, 2)</f>
      </c>
      <c r="I35" s="20" t="str">
        <f>TRUNC(F35 * h35,2)</f>
      </c>
      <c r="J35" s="21" t="str">
        <f>i35 / j1</f>
      </c>
    </row>
    <row customHeight="1" ht="24" r="36">
      <c r="A36" s="9" t="inlineStr">
        <is>
          <t> 3.3 </t>
        </is>
      </c>
      <c r="B36" s="9" t="inlineStr">
        <is>
          <t>  </t>
        </is>
      </c>
      <c r="C36" s="9"/>
      <c r="D36" s="9" t="inlineStr">
        <is>
          <t>CAIXAS DE CONCRETO</t>
        </is>
      </c>
      <c r="E36" s="10"/>
      <c r="F36" s="11" t="n">
        <v>1.0</v>
      </c>
      <c r="G36" s="11" t="inlineStr">
        <is>
          <t/>
        </is>
      </c>
      <c r="H36" s="12" t="str">
        <f>i37</f>
      </c>
      <c r="I36" s="12" t="str">
        <f>TRUNC(F36 * h36,2)</f>
      </c>
      <c r="J36" s="13" t="str">
        <f>i36 / j1</f>
      </c>
    </row>
    <row customHeight="1" ht="52" r="37">
      <c r="A37" s="17" t="inlineStr">
        <is>
          <t> 3.3.1 </t>
        </is>
      </c>
      <c r="B37" s="17" t="inlineStr">
        <is>
          <t> Proprio35 </t>
        </is>
      </c>
      <c r="C37" s="17" t="inlineStr">
        <is>
          <t>Próprio</t>
        </is>
      </c>
      <c r="D37" s="17" t="inlineStr">
        <is>
          <t>Caixa de concreto de pré moldada d=30cm h=40cm, com tampa de ferro fundido, envolocro de concreto fck=15mpa, para receber as luminárias de cabeceira de pista, conforme projeto ( un )</t>
        </is>
      </c>
      <c r="E37" s="18" t="inlineStr">
        <is>
          <t>un</t>
        </is>
      </c>
      <c r="F37" s="19" t="n">
        <v>26.0</v>
      </c>
      <c r="G37" s="20" t="n">
        <v>416.14</v>
      </c>
      <c r="H37" s="20" t="str">
        <f>TRUNC(TRUNC(G37 * j2, 2) + G37, 2)</f>
      </c>
      <c r="I37" s="20" t="str">
        <f>TRUNC(F37 * h37,2)</f>
      </c>
      <c r="J37" s="21" t="str">
        <f>i37 / j1</f>
      </c>
    </row>
    <row customHeight="1" ht="24" r="38">
      <c r="A38" s="9" t="inlineStr">
        <is>
          <t> 3.4 </t>
        </is>
      </c>
      <c r="B38" s="9" t="inlineStr">
        <is>
          <t>  </t>
        </is>
      </c>
      <c r="C38" s="9"/>
      <c r="D38" s="9" t="inlineStr">
        <is>
          <t>MACIÇO DE CONCRETO</t>
        </is>
      </c>
      <c r="E38" s="10"/>
      <c r="F38" s="11" t="n">
        <v>1.0</v>
      </c>
      <c r="G38" s="11" t="inlineStr">
        <is>
          <t/>
        </is>
      </c>
      <c r="H38" s="12" t="str">
        <f>i39</f>
      </c>
      <c r="I38" s="12" t="str">
        <f>TRUNC(F38 * h38,2)</f>
      </c>
      <c r="J38" s="13" t="str">
        <f>i38 / j1</f>
      </c>
    </row>
    <row customHeight="1" ht="26" r="39">
      <c r="A39" s="17" t="inlineStr">
        <is>
          <t> 3.4.1 </t>
        </is>
      </c>
      <c r="B39" s="17" t="inlineStr">
        <is>
          <t> Proprio36 </t>
        </is>
      </c>
      <c r="C39" s="17" t="inlineStr">
        <is>
          <t>Próprio</t>
        </is>
      </c>
      <c r="D39" s="17" t="inlineStr">
        <is>
          <t>Bloco de concreto enterrado de (50x50x60)cm , conforme detalhe de projeto ( un )</t>
        </is>
      </c>
      <c r="E39" s="18" t="inlineStr">
        <is>
          <t>un</t>
        </is>
      </c>
      <c r="F39" s="19" t="n">
        <v>113.0</v>
      </c>
      <c r="G39" s="20" t="n">
        <v>310.61</v>
      </c>
      <c r="H39" s="20" t="str">
        <f>TRUNC(TRUNC(G39 * j2, 2) + G39, 2)</f>
      </c>
      <c r="I39" s="20" t="str">
        <f>TRUNC(F39 * h39,2)</f>
      </c>
      <c r="J39" s="21" t="str">
        <f>i39 / j1</f>
      </c>
    </row>
    <row customHeight="1" ht="24" r="40">
      <c r="A40" s="9" t="inlineStr">
        <is>
          <t> 3.5 </t>
        </is>
      </c>
      <c r="B40" s="9" t="inlineStr">
        <is>
          <t>  </t>
        </is>
      </c>
      <c r="C40" s="9"/>
      <c r="D40" s="9" t="inlineStr">
        <is>
          <t>CAIXAS DE PASSAGENS</t>
        </is>
      </c>
      <c r="E40" s="10"/>
      <c r="F40" s="11" t="n">
        <v>1.0</v>
      </c>
      <c r="G40" s="11" t="inlineStr">
        <is>
          <t/>
        </is>
      </c>
      <c r="H40" s="12" t="str">
        <f>i41 + i42</f>
      </c>
      <c r="I40" s="12" t="str">
        <f>TRUNC(F40 * h40,2)</f>
      </c>
      <c r="J40" s="13" t="str">
        <f>i40 / j1</f>
      </c>
    </row>
    <row customHeight="1" ht="39" r="41">
      <c r="A41" s="17" t="inlineStr">
        <is>
          <t> 3.5.1 </t>
        </is>
      </c>
      <c r="B41" s="17" t="inlineStr">
        <is>
          <t> Proprio37 </t>
        </is>
      </c>
      <c r="C41" s="17" t="inlineStr">
        <is>
          <t>Próprio</t>
        </is>
      </c>
      <c r="D41" s="17" t="inlineStr">
        <is>
          <t>Caixa de passagem tipo A - em tubo de concreto armado d=60cm e h=1,00m, com tampa de concreto, conforme projeto ( un )</t>
        </is>
      </c>
      <c r="E41" s="18" t="inlineStr">
        <is>
          <t>un</t>
        </is>
      </c>
      <c r="F41" s="19" t="n">
        <v>113.0</v>
      </c>
      <c r="G41" s="20" t="n">
        <v>470.25</v>
      </c>
      <c r="H41" s="20" t="str">
        <f>TRUNC(TRUNC(G41 * j2, 2) + G41, 2)</f>
      </c>
      <c r="I41" s="20" t="str">
        <f>TRUNC(F41 * h41,2)</f>
      </c>
      <c r="J41" s="21" t="str">
        <f>i41 / j1</f>
      </c>
    </row>
    <row customHeight="1" ht="52" r="42">
      <c r="A42" s="17" t="inlineStr">
        <is>
          <t> 3.5.2 </t>
        </is>
      </c>
      <c r="B42" s="17" t="inlineStr">
        <is>
          <t> Proprio38 </t>
        </is>
      </c>
      <c r="C42" s="17" t="inlineStr">
        <is>
          <t>Próprio</t>
        </is>
      </c>
      <c r="D42" s="17" t="inlineStr">
        <is>
          <t>Caixa de passagem tipo B - em alvenaria de tijolo maciço, revestida e impermeabilizada, tampa de ferro fundido articulada, nas dimensões de (1,20 x 1,20 x 1,50)m ( un )</t>
        </is>
      </c>
      <c r="E42" s="18" t="inlineStr">
        <is>
          <t>un</t>
        </is>
      </c>
      <c r="F42" s="19" t="n">
        <v>23.0</v>
      </c>
      <c r="G42" s="20" t="n">
        <v>3812.06</v>
      </c>
      <c r="H42" s="20" t="str">
        <f>TRUNC(TRUNC(G42 * j2, 2) + G42, 2)</f>
      </c>
      <c r="I42" s="20" t="str">
        <f>TRUNC(F42 * h42,2)</f>
      </c>
      <c r="J42" s="21" t="str">
        <f>i42 / j1</f>
      </c>
    </row>
    <row customHeight="1" ht="24" r="43">
      <c r="A43" s="9" t="inlineStr">
        <is>
          <t> 3.6 </t>
        </is>
      </c>
      <c r="B43" s="9" t="inlineStr">
        <is>
          <t>  </t>
        </is>
      </c>
      <c r="C43" s="9"/>
      <c r="D43" s="9" t="inlineStr">
        <is>
          <t>SISTEMA DE ATERRAMENTO</t>
        </is>
      </c>
      <c r="E43" s="10"/>
      <c r="F43" s="11" t="n">
        <v>1.0</v>
      </c>
      <c r="G43" s="11" t="inlineStr">
        <is>
          <t/>
        </is>
      </c>
      <c r="H43" s="12" t="str">
        <f>i44</f>
      </c>
      <c r="I43" s="12" t="str">
        <f>TRUNC(F43 * h43,2)</f>
      </c>
      <c r="J43" s="13" t="str">
        <f>i43 / j1</f>
      </c>
    </row>
    <row customHeight="1" ht="39" r="44">
      <c r="A44" s="17" t="inlineStr">
        <is>
          <t> 3.6.1 </t>
        </is>
      </c>
      <c r="B44" s="17" t="inlineStr">
        <is>
          <t> Proprio39 </t>
        </is>
      </c>
      <c r="C44" s="17" t="inlineStr">
        <is>
          <t>Próprio</t>
        </is>
      </c>
      <c r="D44" s="17" t="inlineStr">
        <is>
          <t>Execução de poço de aterramento utilizando tubo de concreto DN 300MM, h=0,60m, conforme detalhe de projeto ( un )</t>
        </is>
      </c>
      <c r="E44" s="18" t="inlineStr">
        <is>
          <t>un</t>
        </is>
      </c>
      <c r="F44" s="19" t="n">
        <v>30.0</v>
      </c>
      <c r="G44" s="20" t="n">
        <v>214.91</v>
      </c>
      <c r="H44" s="20" t="str">
        <f>TRUNC(TRUNC(G44 * j2, 2) + G44, 2)</f>
      </c>
      <c r="I44" s="20" t="str">
        <f>TRUNC(F44 * h44,2)</f>
      </c>
      <c r="J44" s="21" t="str">
        <f>i44 / j1</f>
      </c>
    </row>
    <row customHeight="1" ht="24" r="45">
      <c r="A45" s="9" t="inlineStr">
        <is>
          <t> 3.7 </t>
        </is>
      </c>
      <c r="B45" s="9" t="inlineStr">
        <is>
          <t>  </t>
        </is>
      </c>
      <c r="C45" s="9"/>
      <c r="D45" s="9" t="inlineStr">
        <is>
          <t>ATERRAMENTO E LIGAÇÕES</t>
        </is>
      </c>
      <c r="E45" s="10"/>
      <c r="F45" s="11" t="n">
        <v>1.0</v>
      </c>
      <c r="G45" s="11" t="inlineStr">
        <is>
          <t/>
        </is>
      </c>
      <c r="H45" s="12" t="str">
        <f>i46 + i47</f>
      </c>
      <c r="I45" s="12" t="str">
        <f>TRUNC(F45 * h45,2)</f>
      </c>
      <c r="J45" s="13" t="str">
        <f>i45 / j1</f>
      </c>
    </row>
    <row customHeight="1" ht="26" r="46">
      <c r="A46" s="17" t="inlineStr">
        <is>
          <t> 3.7.1 </t>
        </is>
      </c>
      <c r="B46" s="17" t="inlineStr">
        <is>
          <t> Proprio40 </t>
        </is>
      </c>
      <c r="C46" s="17" t="inlineStr">
        <is>
          <t>Próprio</t>
        </is>
      </c>
      <c r="D46" s="17" t="inlineStr">
        <is>
          <t>Cabo de cobre nu 10 mm², enterrada - Fornecimento e instalação ( m )</t>
        </is>
      </c>
      <c r="E46" s="18" t="inlineStr">
        <is>
          <t>m</t>
        </is>
      </c>
      <c r="F46" s="19" t="n">
        <v>5694.12</v>
      </c>
      <c r="G46" s="20" t="n">
        <v>15.55</v>
      </c>
      <c r="H46" s="20" t="str">
        <f>TRUNC(TRUNC(G46 * j2, 2) + G46, 2)</f>
      </c>
      <c r="I46" s="20" t="str">
        <f>TRUNC(F46 * h46,2)</f>
      </c>
      <c r="J46" s="21" t="str">
        <f>i46 / j1</f>
      </c>
    </row>
    <row customHeight="1" ht="26" r="47">
      <c r="A47" s="17" t="inlineStr">
        <is>
          <t> 3.7.2 </t>
        </is>
      </c>
      <c r="B47" s="17" t="inlineStr">
        <is>
          <t> 1201007111 </t>
        </is>
      </c>
      <c r="C47" s="17" t="inlineStr">
        <is>
          <t>AGESUL</t>
        </is>
      </c>
      <c r="D47" s="17" t="inlineStr">
        <is>
          <t>TERMINAL OU CONECTOR DE PRESSAO - PARA CABO 10MM2 - FORNECIMENTO E INSTALACAO</t>
        </is>
      </c>
      <c r="E47" s="18" t="inlineStr">
        <is>
          <t>UN</t>
        </is>
      </c>
      <c r="F47" s="19" t="n">
        <v>30.0</v>
      </c>
      <c r="G47" s="20" t="n">
        <v>16.74</v>
      </c>
      <c r="H47" s="20" t="str">
        <f>TRUNC(TRUNC(G47 * j2, 2) + G47, 2)</f>
      </c>
      <c r="I47" s="20" t="str">
        <f>TRUNC(F47 * h47,2)</f>
      </c>
      <c r="J47" s="21" t="str">
        <f>i47 / j1</f>
      </c>
    </row>
    <row customHeight="1" ht="24" r="48">
      <c r="A48" s="9" t="inlineStr">
        <is>
          <t> 4 </t>
        </is>
      </c>
      <c r="B48" s="9" t="inlineStr">
        <is>
          <t>  </t>
        </is>
      </c>
      <c r="C48" s="9"/>
      <c r="D48" s="9" t="inlineStr">
        <is>
          <t>CASA DE FORÇA</t>
        </is>
      </c>
      <c r="E48" s="10"/>
      <c r="F48" s="11" t="n">
        <v>1.0</v>
      </c>
      <c r="G48" s="11" t="inlineStr">
        <is>
          <t/>
        </is>
      </c>
      <c r="H48" s="12" t="str">
        <f>i49 + i50 + i51 + i52</f>
      </c>
      <c r="I48" s="12" t="str">
        <f>TRUNC(F48 * h48,2)</f>
      </c>
      <c r="J48" s="13" t="str">
        <f>i48 / j1</f>
      </c>
    </row>
    <row customHeight="1" ht="65" r="49">
      <c r="A49" s="17" t="inlineStr">
        <is>
          <t> 4.1 </t>
        </is>
      </c>
      <c r="B49" s="17" t="inlineStr">
        <is>
          <t> Proprio41 </t>
        </is>
      </c>
      <c r="C49" s="17" t="inlineStr">
        <is>
          <t>Próprio</t>
        </is>
      </c>
      <c r="D49" s="17" t="inlineStr">
        <is>
          <t>Construção da Subestação (KF) de 12m², incluindo instalação elétrica, quadro de distribuição completo com barramentos e disjuntores, sistema de aterramento geral, bloco autônomo de iluminação de emergência e acessórios, conforme  projeto  ( cj )</t>
        </is>
      </c>
      <c r="E49" s="18" t="inlineStr">
        <is>
          <t>cj</t>
        </is>
      </c>
      <c r="F49" s="19" t="n">
        <v>1.0</v>
      </c>
      <c r="G49" s="20" t="n">
        <v>78964.69</v>
      </c>
      <c r="H49" s="20" t="str">
        <f>TRUNC(TRUNC(G49 * j2, 2) + G49, 2)</f>
      </c>
      <c r="I49" s="20" t="str">
        <f>TRUNC(F49 * h49,2)</f>
      </c>
      <c r="J49" s="21" t="str">
        <f>i49 / j1</f>
      </c>
    </row>
    <row customHeight="1" ht="26" r="50">
      <c r="A50" s="17" t="inlineStr">
        <is>
          <t> 4.2 </t>
        </is>
      </c>
      <c r="B50" s="17" t="inlineStr">
        <is>
          <t> 1201007111 </t>
        </is>
      </c>
      <c r="C50" s="17" t="inlineStr">
        <is>
          <t>AGESUL</t>
        </is>
      </c>
      <c r="D50" s="17" t="inlineStr">
        <is>
          <t>TERMINAL OU CONECTOR DE PRESSAO - PARA CABO 10MM2 - FORNECIMENTO E INSTALACAO</t>
        </is>
      </c>
      <c r="E50" s="18" t="inlineStr">
        <is>
          <t>UN</t>
        </is>
      </c>
      <c r="F50" s="19" t="n">
        <v>8.0</v>
      </c>
      <c r="G50" s="20" t="n">
        <v>16.74</v>
      </c>
      <c r="H50" s="20" t="str">
        <f>TRUNC(TRUNC(G50 * j2, 2) + G50, 2)</f>
      </c>
      <c r="I50" s="20" t="str">
        <f>TRUNC(F50 * h50,2)</f>
      </c>
      <c r="J50" s="21" t="str">
        <f>i50 / j1</f>
      </c>
    </row>
    <row customHeight="1" ht="39" r="51">
      <c r="A51" s="17" t="inlineStr">
        <is>
          <t> 4.3 </t>
        </is>
      </c>
      <c r="B51" s="17" t="inlineStr">
        <is>
          <t> 92980 </t>
        </is>
      </c>
      <c r="C51" s="17" t="inlineStr">
        <is>
          <t>SINAPI</t>
        </is>
      </c>
      <c r="D51" s="17" t="inlineStr">
        <is>
          <t>CABO DE COBRE FLEXÍVEL ISOLADO, 10 MM², ANTI-CHAMA 0,6/1,0 KV, PARA DISTRIBUIÇÃO - FORNECIMENTO E INSTALAÇÃO. AF_10/2020</t>
        </is>
      </c>
      <c r="E51" s="18" t="inlineStr">
        <is>
          <t>M</t>
        </is>
      </c>
      <c r="F51" s="19" t="n">
        <v>36.0</v>
      </c>
      <c r="G51" s="20" t="n">
        <v>11.03</v>
      </c>
      <c r="H51" s="20" t="str">
        <f>TRUNC(TRUNC(G51 * j2, 2) + G51, 2)</f>
      </c>
      <c r="I51" s="20" t="str">
        <f>TRUNC(F51 * h51,2)</f>
      </c>
      <c r="J51" s="21" t="str">
        <f>i51 / j1</f>
      </c>
    </row>
    <row customHeight="1" ht="91" r="52">
      <c r="A52" s="17" t="inlineStr">
        <is>
          <t> 4.4 </t>
        </is>
      </c>
      <c r="B52" s="17" t="inlineStr">
        <is>
          <t> Proprio44 </t>
        </is>
      </c>
      <c r="C52" s="17" t="inlineStr">
        <is>
          <t>Próprio</t>
        </is>
      </c>
      <c r="D52" s="17" t="inlineStr">
        <is>
          <t>Quadro de distribuição metálico de embutir com entrada subterrânea , contactoras , trilhos , anilhas identificadoras, disjuntores, dps , chaves seletoras no painel com lâmpada de sinalização quando ligado conforme diagrama unifilar (prancha 09 / blz / 2024) fornecimento , montagem e instalação ( un )</t>
        </is>
      </c>
      <c r="E52" s="18" t="inlineStr">
        <is>
          <t>un</t>
        </is>
      </c>
      <c r="F52" s="19" t="n">
        <v>1.0</v>
      </c>
      <c r="G52" s="20" t="n">
        <v>2783.48</v>
      </c>
      <c r="H52" s="20" t="str">
        <f>TRUNC(TRUNC(G52 * j2, 2) + G52, 2)</f>
      </c>
      <c r="I52" s="20" t="str">
        <f>TRUNC(F52 * h52,2)</f>
      </c>
      <c r="J52" s="21" t="str">
        <f>i52 / j1</f>
      </c>
    </row>
    <row customHeight="1" ht="24" r="53">
      <c r="A53" s="9" t="inlineStr">
        <is>
          <t> 5 </t>
        </is>
      </c>
      <c r="B53" s="9" t="inlineStr">
        <is>
          <t>  </t>
        </is>
      </c>
      <c r="C53" s="9"/>
      <c r="D53" s="9" t="inlineStr">
        <is>
          <t>SINALIZAÇÃO LUMINOSA DA PISTA</t>
        </is>
      </c>
      <c r="E53" s="10"/>
      <c r="F53" s="11" t="n">
        <v>1.0</v>
      </c>
      <c r="G53" s="11" t="inlineStr">
        <is>
          <t/>
        </is>
      </c>
      <c r="H53" s="12" t="str">
        <f>i54 + i56 + i77</f>
      </c>
      <c r="I53" s="12" t="str">
        <f>TRUNC(F53 * h53,2)</f>
      </c>
      <c r="J53" s="13" t="str">
        <f>i53 / j1</f>
      </c>
    </row>
    <row customHeight="1" ht="24" r="54">
      <c r="A54" s="9" t="inlineStr">
        <is>
          <t> 5.1 </t>
        </is>
      </c>
      <c r="B54" s="9" t="inlineStr">
        <is>
          <t>  </t>
        </is>
      </c>
      <c r="C54" s="9"/>
      <c r="D54" s="9" t="inlineStr">
        <is>
          <t>CABOS DE ENERGIA E COMANDO DO BALIZAMENTO</t>
        </is>
      </c>
      <c r="E54" s="10"/>
      <c r="F54" s="11" t="n">
        <v>1.0</v>
      </c>
      <c r="G54" s="11" t="inlineStr">
        <is>
          <t/>
        </is>
      </c>
      <c r="H54" s="12" t="str">
        <f>i55</f>
      </c>
      <c r="I54" s="12" t="str">
        <f>TRUNC(F54 * h54,2)</f>
      </c>
      <c r="J54" s="13" t="str">
        <f>i54 / j1</f>
      </c>
    </row>
    <row customHeight="1" ht="39" r="55">
      <c r="A55" s="17" t="inlineStr">
        <is>
          <t> 5.1.1 </t>
        </is>
      </c>
      <c r="B55" s="17" t="inlineStr">
        <is>
          <t> Proprio45 </t>
        </is>
      </c>
      <c r="C55" s="17" t="inlineStr">
        <is>
          <t>Próprio</t>
        </is>
      </c>
      <c r="D55" s="17" t="inlineStr">
        <is>
          <t>Cabo de cobre unipolar 10 mm², blindado, isolação 3,6/6 KV EPR, cobertura em PVC - Fornecimento e instalação ( m )</t>
        </is>
      </c>
      <c r="E55" s="18" t="inlineStr">
        <is>
          <t>m</t>
        </is>
      </c>
      <c r="F55" s="19" t="n">
        <v>3800.0</v>
      </c>
      <c r="G55" s="20" t="n">
        <v>35.42</v>
      </c>
      <c r="H55" s="20" t="str">
        <f>TRUNC(TRUNC(G55 * j2, 2) + G55, 2)</f>
      </c>
      <c r="I55" s="20" t="str">
        <f>TRUNC(F55 * h55,2)</f>
      </c>
      <c r="J55" s="21" t="str">
        <f>i55 / j1</f>
      </c>
    </row>
    <row customHeight="1" ht="24" r="56">
      <c r="A56" s="9" t="inlineStr">
        <is>
          <t> 5.2 </t>
        </is>
      </c>
      <c r="B56" s="9" t="inlineStr">
        <is>
          <t>  </t>
        </is>
      </c>
      <c r="C56" s="9"/>
      <c r="D56" s="9" t="inlineStr">
        <is>
          <t>INSTALAÇÃO DAS UNIDADES DE LUZ</t>
        </is>
      </c>
      <c r="E56" s="10"/>
      <c r="F56" s="11" t="n">
        <v>1.0</v>
      </c>
      <c r="G56" s="11" t="inlineStr">
        <is>
          <t/>
        </is>
      </c>
      <c r="H56" s="12" t="str">
        <f>i57 + i58 + i59 + i60 + i61 + i62 + i63 + i64 + i65 + i66 + i67 + i68 + i69 + i70 + i71 + i72 + i73 + i74 + i75 + i76</f>
      </c>
      <c r="I56" s="12" t="str">
        <f>TRUNC(F56 * h56,2)</f>
      </c>
      <c r="J56" s="13" t="str">
        <f>i56 / j1</f>
      </c>
    </row>
    <row customHeight="1" ht="39" r="57">
      <c r="A57" s="17" t="inlineStr">
        <is>
          <t> 5.2.1 </t>
        </is>
      </c>
      <c r="B57" s="17" t="inlineStr">
        <is>
          <t> Proprio46 </t>
        </is>
      </c>
      <c r="C57" s="17" t="inlineStr">
        <is>
          <t>Próprio</t>
        </is>
      </c>
      <c r="D57" s="17" t="inlineStr">
        <is>
          <t>LUMINÁRIA ELEVADA DE MÉDIA INTENSIDADE LED 6.6A COM GLOBO AZUL, METROL OU SIMILAR, CONFORME NORMA AC 150/5346-46. - FORNECIMENTO E INSTALAÇÃO.</t>
        </is>
      </c>
      <c r="E57" s="18" t="inlineStr">
        <is>
          <t>un</t>
        </is>
      </c>
      <c r="F57" s="19" t="n">
        <v>30.0</v>
      </c>
      <c r="G57" s="20" t="n">
        <v>2971.57</v>
      </c>
      <c r="H57" s="20" t="str">
        <f>TRUNC(TRUNC(G57 * j2, 2) + G57, 2)</f>
      </c>
      <c r="I57" s="20" t="str">
        <f>TRUNC(F57 * h57,2)</f>
      </c>
      <c r="J57" s="21" t="str">
        <f>i57 / j1</f>
      </c>
    </row>
    <row customHeight="1" ht="52" r="58">
      <c r="A58" s="17" t="inlineStr">
        <is>
          <t> 5.2.2 </t>
        </is>
      </c>
      <c r="B58" s="17" t="inlineStr">
        <is>
          <t> Proprio49 </t>
        </is>
      </c>
      <c r="C58" s="17" t="inlineStr">
        <is>
          <t>Próprio</t>
        </is>
      </c>
      <c r="D58" s="17" t="inlineStr">
        <is>
          <t>LUMINÁRIA ELEVADA DE MÉDIA INTENSIDADE LED 6.6A COM GLOBO CLARO/AMARELO, METROL OU SIMILAR, CONFORME NORMA AC 150/5346-46 - FORNECIMENTO E INSTALAÇÃO.</t>
        </is>
      </c>
      <c r="E58" s="18" t="inlineStr">
        <is>
          <t>un</t>
        </is>
      </c>
      <c r="F58" s="19" t="n">
        <v>31.0</v>
      </c>
      <c r="G58" s="20" t="n">
        <v>4219.58</v>
      </c>
      <c r="H58" s="20" t="str">
        <f>TRUNC(TRUNC(G58 * j2, 2) + G58, 2)</f>
      </c>
      <c r="I58" s="20" t="str">
        <f>TRUNC(F58 * h58,2)</f>
      </c>
      <c r="J58" s="21" t="str">
        <f>i58 / j1</f>
      </c>
    </row>
    <row customHeight="1" ht="39" r="59">
      <c r="A59" s="17" t="inlineStr">
        <is>
          <t> 5.2.3 </t>
        </is>
      </c>
      <c r="B59" s="17" t="inlineStr">
        <is>
          <t> Proprio50 </t>
        </is>
      </c>
      <c r="C59" s="17" t="inlineStr">
        <is>
          <t>Próprio</t>
        </is>
      </c>
      <c r="D59" s="17" t="inlineStr">
        <is>
          <t>LUMINÁRIA ELEVADA DE MÉDIA INTENSIDADE LED 6.6A COM GLOBO CLARO, METROL OU SIMILAR, CONFORME NORMA AC 150/5346-46. - FORNECIMENTO E INSTALAÇÃO.</t>
        </is>
      </c>
      <c r="E59" s="18" t="inlineStr">
        <is>
          <t>un</t>
        </is>
      </c>
      <c r="F59" s="19" t="n">
        <v>14.0</v>
      </c>
      <c r="G59" s="20" t="n">
        <v>2971.57</v>
      </c>
      <c r="H59" s="20" t="str">
        <f>TRUNC(TRUNC(G59 * j2, 2) + G59, 2)</f>
      </c>
      <c r="I59" s="20" t="str">
        <f>TRUNC(F59 * h59,2)</f>
      </c>
      <c r="J59" s="21" t="str">
        <f>i59 / j1</f>
      </c>
    </row>
    <row customHeight="1" ht="52" r="60">
      <c r="A60" s="17" t="inlineStr">
        <is>
          <t> 5.2.4 </t>
        </is>
      </c>
      <c r="B60" s="17" t="inlineStr">
        <is>
          <t> Proprio51 </t>
        </is>
      </c>
      <c r="C60" s="17" t="inlineStr">
        <is>
          <t>Próprio</t>
        </is>
      </c>
      <c r="D60" s="17" t="inlineStr">
        <is>
          <t>LUMINÁRIA ELEVADA DE MÉDIA INTENSIDADE LED 6.6A COM GLOBO VERDE/VERMELHO, METROL OU SIMILAR, CONFORME NORMA AC 150/5346-46. - FORNECIMENTO E INSTALAÇÃO.</t>
        </is>
      </c>
      <c r="E60" s="18" t="inlineStr">
        <is>
          <t>un</t>
        </is>
      </c>
      <c r="F60" s="19" t="n">
        <v>18.0</v>
      </c>
      <c r="G60" s="20" t="n">
        <v>4219.58</v>
      </c>
      <c r="H60" s="20" t="str">
        <f>TRUNC(TRUNC(G60 * j2, 2) + G60, 2)</f>
      </c>
      <c r="I60" s="20" t="str">
        <f>TRUNC(F60 * h60,2)</f>
      </c>
      <c r="J60" s="21" t="str">
        <f>i60 / j1</f>
      </c>
    </row>
    <row customHeight="1" ht="39" r="61">
      <c r="A61" s="17" t="inlineStr">
        <is>
          <t> 5.2.5 </t>
        </is>
      </c>
      <c r="B61" s="17" t="inlineStr">
        <is>
          <t> Proprio90 </t>
        </is>
      </c>
      <c r="C61" s="17" t="inlineStr">
        <is>
          <t>Próprio</t>
        </is>
      </c>
      <c r="D61" s="17" t="inlineStr">
        <is>
          <t>LUMINÁRIA ELEVADA DE MÉDIA INTENSIDADE LED 6.6A COM GLOBO VERMELHO, METROL OU SIMILAR, CONFORME NORMA AC 150/5346-46. - FORNECIMENTO E INSTALAÇÃO.</t>
        </is>
      </c>
      <c r="E61" s="18" t="inlineStr">
        <is>
          <t>un</t>
        </is>
      </c>
      <c r="F61" s="19" t="n">
        <v>20.0</v>
      </c>
      <c r="G61" s="20" t="n">
        <v>2971.57</v>
      </c>
      <c r="H61" s="20" t="str">
        <f>TRUNC(TRUNC(G61 * j2, 2) + G61, 2)</f>
      </c>
      <c r="I61" s="20" t="str">
        <f>TRUNC(F61 * h61,2)</f>
      </c>
      <c r="J61" s="21" t="str">
        <f>i61 / j1</f>
      </c>
    </row>
    <row customHeight="1" ht="39" r="62">
      <c r="A62" s="17" t="inlineStr">
        <is>
          <t> 5.2.6 </t>
        </is>
      </c>
      <c r="B62" s="17" t="inlineStr">
        <is>
          <t> Proprio52 </t>
        </is>
      </c>
      <c r="C62" s="17" t="inlineStr">
        <is>
          <t>Próprio</t>
        </is>
      </c>
      <c r="D62" s="17" t="inlineStr">
        <is>
          <t>Cabo de cobre flexível isolado 2 x 2,50mm², blindado, anti-chamas 0,6/1KV - fornecimento e instalação ( m )</t>
        </is>
      </c>
      <c r="E62" s="18" t="inlineStr">
        <is>
          <t>m</t>
        </is>
      </c>
      <c r="F62" s="19" t="n">
        <v>1014.75</v>
      </c>
      <c r="G62" s="20" t="n">
        <v>15.92</v>
      </c>
      <c r="H62" s="20" t="str">
        <f>TRUNC(TRUNC(G62 * j2, 2) + G62, 2)</f>
      </c>
      <c r="I62" s="20" t="str">
        <f>TRUNC(F62 * h62,2)</f>
      </c>
      <c r="J62" s="21" t="str">
        <f>i62 / j1</f>
      </c>
    </row>
    <row customHeight="1" ht="52" r="63">
      <c r="A63" s="17" t="inlineStr">
        <is>
          <t> 5.2.7 </t>
        </is>
      </c>
      <c r="B63" s="17" t="inlineStr">
        <is>
          <t> Proprio53 </t>
        </is>
      </c>
      <c r="C63" s="17" t="inlineStr">
        <is>
          <t>Próprio</t>
        </is>
      </c>
      <c r="D63" s="17" t="inlineStr">
        <is>
          <t>Transformador de isolamento, 10/15w 5kv, 6.6A/6.6A, conforme AC 150/5345-47B/FAA/2005, XFMR W/Earthing da ADB ou similar - fornecimento e instalação ( un )</t>
        </is>
      </c>
      <c r="E63" s="18" t="inlineStr">
        <is>
          <t>un</t>
        </is>
      </c>
      <c r="F63" s="19" t="n">
        <v>113.0</v>
      </c>
      <c r="G63" s="20" t="n">
        <v>1249.22</v>
      </c>
      <c r="H63" s="20" t="str">
        <f>TRUNC(TRUNC(G63 * j2, 2) + G63, 2)</f>
      </c>
      <c r="I63" s="20" t="str">
        <f>TRUNC(F63 * h63,2)</f>
      </c>
      <c r="J63" s="21" t="str">
        <f>i63 / j1</f>
      </c>
    </row>
    <row customHeight="1" ht="65" r="64">
      <c r="A64" s="17" t="inlineStr">
        <is>
          <t> 5.2.8 </t>
        </is>
      </c>
      <c r="B64" s="17" t="inlineStr">
        <is>
          <t> Proprio54 </t>
        </is>
      </c>
      <c r="C64" s="17" t="inlineStr">
        <is>
          <t>Próprio</t>
        </is>
      </c>
      <c r="D64" s="17" t="inlineStr">
        <is>
          <t>Kit Conector primário (plugue e receptáculo) para conexão de cabo 10mm² 14/18.5mm no Shield, conforme NBR 8673/1996 ou AC 150/5345-26C/FAA/2000, L-823 da ADB ou similar - Fornecimento e instalação ( un )</t>
        </is>
      </c>
      <c r="E64" s="18" t="inlineStr">
        <is>
          <t>un</t>
        </is>
      </c>
      <c r="F64" s="19" t="n">
        <v>113.0</v>
      </c>
      <c r="G64" s="20" t="n">
        <v>272.28</v>
      </c>
      <c r="H64" s="20" t="str">
        <f>TRUNC(TRUNC(G64 * j2, 2) + G64, 2)</f>
      </c>
      <c r="I64" s="20" t="str">
        <f>TRUNC(F64 * h64,2)</f>
      </c>
      <c r="J64" s="21" t="str">
        <f>i64 / j1</f>
      </c>
    </row>
    <row customHeight="1" ht="52" r="65">
      <c r="A65" s="17" t="inlineStr">
        <is>
          <t> 5.2.9 </t>
        </is>
      </c>
      <c r="B65" s="17" t="inlineStr">
        <is>
          <t> Proprio55 </t>
        </is>
      </c>
      <c r="C65" s="17" t="inlineStr">
        <is>
          <t>Próprio</t>
        </is>
      </c>
      <c r="D65" s="17" t="inlineStr">
        <is>
          <t>Base metálica, Ø24", 2-2" TC @0-180DR , ref. 867B24C2NO da ADB ou similar, conforme norma AC 150/5345-42F/FAA/2006 - fornecimento e instalação ( un )</t>
        </is>
      </c>
      <c r="E65" s="18" t="inlineStr">
        <is>
          <t>un</t>
        </is>
      </c>
      <c r="F65" s="19" t="n">
        <v>113.0</v>
      </c>
      <c r="G65" s="20" t="n">
        <v>3976.08</v>
      </c>
      <c r="H65" s="20" t="str">
        <f>TRUNC(TRUNC(G65 * j2, 2) + G65, 2)</f>
      </c>
      <c r="I65" s="20" t="str">
        <f>TRUNC(F65 * h65,2)</f>
      </c>
      <c r="J65" s="21" t="str">
        <f>i65 / j1</f>
      </c>
    </row>
    <row customHeight="1" ht="26" r="66">
      <c r="A66" s="17" t="inlineStr">
        <is>
          <t> 5.2.10 </t>
        </is>
      </c>
      <c r="B66" s="17" t="inlineStr">
        <is>
          <t> Proprio56 </t>
        </is>
      </c>
      <c r="C66" s="17" t="inlineStr">
        <is>
          <t>Próprio</t>
        </is>
      </c>
      <c r="D66" s="17" t="inlineStr">
        <is>
          <t>Parafuso de aço inox 3/8" x 3/4" para placa suporte - fornecimento e instalação ( un )</t>
        </is>
      </c>
      <c r="E66" s="18" t="inlineStr">
        <is>
          <t>un</t>
        </is>
      </c>
      <c r="F66" s="19" t="n">
        <v>452.0</v>
      </c>
      <c r="G66" s="20" t="n">
        <v>10.61</v>
      </c>
      <c r="H66" s="20" t="str">
        <f>TRUNC(TRUNC(G66 * j2, 2) + G66, 2)</f>
      </c>
      <c r="I66" s="20" t="str">
        <f>TRUNC(F66 * h66,2)</f>
      </c>
      <c r="J66" s="21" t="str">
        <f>i66 / j1</f>
      </c>
    </row>
    <row customHeight="1" ht="26" r="67">
      <c r="A67" s="17" t="inlineStr">
        <is>
          <t> 5.2.11 </t>
        </is>
      </c>
      <c r="B67" s="17" t="inlineStr">
        <is>
          <t> Proprio57 </t>
        </is>
      </c>
      <c r="C67" s="17" t="inlineStr">
        <is>
          <t>Próprio</t>
        </is>
      </c>
      <c r="D67" s="17" t="inlineStr">
        <is>
          <t>Arruela lisa aço inox de 3/8"para placa suporte - fornecimento e instalação ( un )</t>
        </is>
      </c>
      <c r="E67" s="18" t="inlineStr">
        <is>
          <t>un</t>
        </is>
      </c>
      <c r="F67" s="19" t="n">
        <v>452.0</v>
      </c>
      <c r="G67" s="20" t="n">
        <v>1.36</v>
      </c>
      <c r="H67" s="20" t="str">
        <f>TRUNC(TRUNC(G67 * j2, 2) + G67, 2)</f>
      </c>
      <c r="I67" s="20" t="str">
        <f>TRUNC(F67 * h67,2)</f>
      </c>
      <c r="J67" s="21" t="str">
        <f>i67 / j1</f>
      </c>
    </row>
    <row customHeight="1" ht="52" r="68">
      <c r="A68" s="17" t="inlineStr">
        <is>
          <t> 5.2.12 </t>
        </is>
      </c>
      <c r="B68" s="17" t="inlineStr">
        <is>
          <t> Proprio58 </t>
        </is>
      </c>
      <c r="C68" s="17" t="inlineStr">
        <is>
          <t>Próprio</t>
        </is>
      </c>
      <c r="D68" s="17" t="inlineStr">
        <is>
          <t>Placa suporte  ø 12” com acessorios para fixação da luminária elevada de balizamento, ref. 867 b da adb ou similar,  conforme norma ac 150/5345-42f/faa/2006.- fornecimento e instalação ( un )</t>
        </is>
      </c>
      <c r="E68" s="18" t="inlineStr">
        <is>
          <t>un</t>
        </is>
      </c>
      <c r="F68" s="19" t="n">
        <v>113.0</v>
      </c>
      <c r="G68" s="20" t="n">
        <v>1155.69</v>
      </c>
      <c r="H68" s="20" t="str">
        <f>TRUNC(TRUNC(G68 * j2, 2) + G68, 2)</f>
      </c>
      <c r="I68" s="20" t="str">
        <f>TRUNC(F68 * h68,2)</f>
      </c>
      <c r="J68" s="21" t="str">
        <f>i68 / j1</f>
      </c>
    </row>
    <row customHeight="1" ht="39" r="69">
      <c r="A69" s="17" t="inlineStr">
        <is>
          <t> 5.2.13 </t>
        </is>
      </c>
      <c r="B69" s="17" t="inlineStr">
        <is>
          <t> Proprio59 </t>
        </is>
      </c>
      <c r="C69" s="17" t="inlineStr">
        <is>
          <t>Próprio</t>
        </is>
      </c>
      <c r="D69" s="17" t="inlineStr">
        <is>
          <t>Curva 90 graus de ferro galvanizado, com rosca BSP fêmea, de 2" - fornecimento e instalação ( un )</t>
        </is>
      </c>
      <c r="E69" s="18" t="inlineStr">
        <is>
          <t>un</t>
        </is>
      </c>
      <c r="F69" s="19" t="n">
        <v>113.0</v>
      </c>
      <c r="G69" s="20" t="n">
        <v>148.94</v>
      </c>
      <c r="H69" s="20" t="str">
        <f>TRUNC(TRUNC(G69 * j2, 2) + G69, 2)</f>
      </c>
      <c r="I69" s="20" t="str">
        <f>TRUNC(F69 * h69,2)</f>
      </c>
      <c r="J69" s="21" t="str">
        <f>i69 / j1</f>
      </c>
    </row>
    <row customHeight="1" ht="65" r="70">
      <c r="A70" s="17" t="inlineStr">
        <is>
          <t> 5.2.14 </t>
        </is>
      </c>
      <c r="B70" s="17" t="inlineStr">
        <is>
          <t> Proprio60 </t>
        </is>
      </c>
      <c r="C70" s="17" t="inlineStr">
        <is>
          <t>Próprio</t>
        </is>
      </c>
      <c r="D70" s="17" t="inlineStr">
        <is>
          <t>Construção de linhas de dutos tráfego leve de 1 x 2" (50mm), Kanaflex, Peveduto ou similar, envelopada em areia, nos trechos entre as caixas de passagem CP-A e as curvas metálicas das luminárias de bordo da pista ( m ) ( m )</t>
        </is>
      </c>
      <c r="E70" s="18" t="inlineStr">
        <is>
          <t>m</t>
        </is>
      </c>
      <c r="F70" s="19" t="n">
        <v>678.0</v>
      </c>
      <c r="G70" s="20" t="n">
        <v>33.04</v>
      </c>
      <c r="H70" s="20" t="str">
        <f>TRUNC(TRUNC(G70 * j2, 2) + G70, 2)</f>
      </c>
      <c r="I70" s="20" t="str">
        <f>TRUNC(F70 * h70,2)</f>
      </c>
      <c r="J70" s="21" t="str">
        <f>i70 / j1</f>
      </c>
    </row>
    <row customHeight="1" ht="26" r="71">
      <c r="A71" s="17" t="inlineStr">
        <is>
          <t> 5.2.15 </t>
        </is>
      </c>
      <c r="B71" s="17" t="inlineStr">
        <is>
          <t> 1201007111 </t>
        </is>
      </c>
      <c r="C71" s="17" t="inlineStr">
        <is>
          <t>AGESUL</t>
        </is>
      </c>
      <c r="D71" s="17" t="inlineStr">
        <is>
          <t>TERMINAL OU CONECTOR DE PRESSAO - PARA CABO 10MM2 - FORNECIMENTO E INSTALACAO</t>
        </is>
      </c>
      <c r="E71" s="18" t="inlineStr">
        <is>
          <t>UN</t>
        </is>
      </c>
      <c r="F71" s="19" t="n">
        <v>226.0</v>
      </c>
      <c r="G71" s="20" t="n">
        <v>16.74</v>
      </c>
      <c r="H71" s="20" t="str">
        <f>TRUNC(TRUNC(G71 * j2, 2) + G71, 2)</f>
      </c>
      <c r="I71" s="20" t="str">
        <f>TRUNC(F71 * h71,2)</f>
      </c>
      <c r="J71" s="21" t="str">
        <f>i71 / j1</f>
      </c>
    </row>
    <row customHeight="1" ht="39" r="72">
      <c r="A72" s="17" t="inlineStr">
        <is>
          <t> 5.2.16 </t>
        </is>
      </c>
      <c r="B72" s="17" t="inlineStr">
        <is>
          <t> Proprio61 </t>
        </is>
      </c>
      <c r="C72" s="17" t="inlineStr">
        <is>
          <t>Próprio</t>
        </is>
      </c>
      <c r="D72" s="17" t="inlineStr">
        <is>
          <t>Luva, em ferro galvanizado, dn 50 (2"), conexão rosqueada, instalado em prumadas - fornecimento e instalação. Af_10/2020 ( un )</t>
        </is>
      </c>
      <c r="E72" s="18" t="inlineStr">
        <is>
          <t>un</t>
        </is>
      </c>
      <c r="F72" s="19" t="n">
        <v>113.0</v>
      </c>
      <c r="G72" s="20" t="n">
        <v>66.91</v>
      </c>
      <c r="H72" s="20" t="str">
        <f>TRUNC(TRUNC(G72 * j2, 2) + G72, 2)</f>
      </c>
      <c r="I72" s="20" t="str">
        <f>TRUNC(F72 * h72,2)</f>
      </c>
      <c r="J72" s="21" t="str">
        <f>i72 / j1</f>
      </c>
    </row>
    <row customHeight="1" ht="39" r="73">
      <c r="A73" s="17" t="inlineStr">
        <is>
          <t> 5.2.17 </t>
        </is>
      </c>
      <c r="B73" s="17" t="inlineStr">
        <is>
          <t> Proprio62 </t>
        </is>
      </c>
      <c r="C73" s="17" t="inlineStr">
        <is>
          <t>Próprio</t>
        </is>
      </c>
      <c r="D73" s="17" t="inlineStr">
        <is>
          <t>Bucha de redução de ferro galvanizado, com rosca BSP, de 2" x 1 1/2" - fornecimento e instalação ( un )</t>
        </is>
      </c>
      <c r="E73" s="18" t="inlineStr">
        <is>
          <t>un</t>
        </is>
      </c>
      <c r="F73" s="19" t="n">
        <v>113.0</v>
      </c>
      <c r="G73" s="20" t="n">
        <v>46.81</v>
      </c>
      <c r="H73" s="20" t="str">
        <f>TRUNC(TRUNC(G73 * j2, 2) + G73, 2)</f>
      </c>
      <c r="I73" s="20" t="str">
        <f>TRUNC(F73 * h73,2)</f>
      </c>
      <c r="J73" s="21" t="str">
        <f>i73 / j1</f>
      </c>
    </row>
    <row customHeight="1" ht="39" r="74">
      <c r="A74" s="17" t="inlineStr">
        <is>
          <t> 5.2.18 </t>
        </is>
      </c>
      <c r="B74" s="17" t="inlineStr">
        <is>
          <t> Proprio63 </t>
        </is>
      </c>
      <c r="C74" s="17" t="inlineStr">
        <is>
          <t>Próprio</t>
        </is>
      </c>
      <c r="D74" s="17" t="inlineStr">
        <is>
          <t>Bandeja metálica em ferro galvanizado para instalação em tubo de concreto Ø ,060m - fornecimento e instalação ( un )</t>
        </is>
      </c>
      <c r="E74" s="18" t="inlineStr">
        <is>
          <t>un</t>
        </is>
      </c>
      <c r="F74" s="19" t="n">
        <v>113.0</v>
      </c>
      <c r="G74" s="20" t="n">
        <v>272.28</v>
      </c>
      <c r="H74" s="20" t="str">
        <f>TRUNC(TRUNC(G74 * j2, 2) + G74, 2)</f>
      </c>
      <c r="I74" s="20" t="str">
        <f>TRUNC(F74 * h74,2)</f>
      </c>
      <c r="J74" s="21" t="str">
        <f>i74 / j1</f>
      </c>
    </row>
    <row customHeight="1" ht="24" r="75">
      <c r="A75" s="17" t="inlineStr">
        <is>
          <t> 5.2.19 </t>
        </is>
      </c>
      <c r="B75" s="17" t="inlineStr">
        <is>
          <t> Proprio64 </t>
        </is>
      </c>
      <c r="C75" s="17" t="inlineStr">
        <is>
          <t>Próprio</t>
        </is>
      </c>
      <c r="D75" s="17" t="inlineStr">
        <is>
          <t>Fita isolante auto fusão 3M ou similar ( m )</t>
        </is>
      </c>
      <c r="E75" s="18" t="inlineStr">
        <is>
          <t>m</t>
        </is>
      </c>
      <c r="F75" s="19" t="n">
        <v>200.0</v>
      </c>
      <c r="G75" s="20" t="n">
        <v>2.05</v>
      </c>
      <c r="H75" s="20" t="str">
        <f>TRUNC(TRUNC(G75 * j2, 2) + G75, 2)</f>
      </c>
      <c r="I75" s="20" t="str">
        <f>TRUNC(F75 * h75,2)</f>
      </c>
      <c r="J75" s="21" t="str">
        <f>i75 / j1</f>
      </c>
    </row>
    <row customHeight="1" ht="24" r="76">
      <c r="A76" s="17" t="inlineStr">
        <is>
          <t> 5.2.20 </t>
        </is>
      </c>
      <c r="B76" s="17" t="inlineStr">
        <is>
          <t> Proprio65 </t>
        </is>
      </c>
      <c r="C76" s="17" t="inlineStr">
        <is>
          <t>Próprio</t>
        </is>
      </c>
      <c r="D76" s="17" t="inlineStr">
        <is>
          <t>Fita isolante 3M ou similar ( m )</t>
        </is>
      </c>
      <c r="E76" s="18" t="inlineStr">
        <is>
          <t>m</t>
        </is>
      </c>
      <c r="F76" s="19" t="n">
        <v>100.0</v>
      </c>
      <c r="G76" s="20" t="n">
        <v>1.02</v>
      </c>
      <c r="H76" s="20" t="str">
        <f>TRUNC(TRUNC(G76 * j2, 2) + G76, 2)</f>
      </c>
      <c r="I76" s="20" t="str">
        <f>TRUNC(F76 * h76,2)</f>
      </c>
      <c r="J76" s="21" t="str">
        <f>i76 / j1</f>
      </c>
    </row>
    <row customHeight="1" ht="24" r="77">
      <c r="A77" s="9" t="inlineStr">
        <is>
          <t> 5.3 </t>
        </is>
      </c>
      <c r="B77" s="9" t="inlineStr">
        <is>
          <t>  </t>
        </is>
      </c>
      <c r="C77" s="9"/>
      <c r="D77" s="9" t="inlineStr">
        <is>
          <t>INSTALAÇÃO DAS LUZES DE AUXILIO AO POUSO - PAPI</t>
        </is>
      </c>
      <c r="E77" s="10"/>
      <c r="F77" s="11" t="n">
        <v>1.0</v>
      </c>
      <c r="G77" s="11" t="inlineStr">
        <is>
          <t/>
        </is>
      </c>
      <c r="H77" s="12" t="str">
        <f>i78 + i79 + i80</f>
      </c>
      <c r="I77" s="12" t="str">
        <f>TRUNC(F77 * h77,2)</f>
      </c>
      <c r="J77" s="13" t="str">
        <f>i77 / j1</f>
      </c>
    </row>
    <row customHeight="1" ht="39" r="78">
      <c r="A78" s="17" t="inlineStr">
        <is>
          <t> 5.3.1 </t>
        </is>
      </c>
      <c r="B78" s="17" t="inlineStr">
        <is>
          <t> Proprio95 </t>
        </is>
      </c>
      <c r="C78" s="17" t="inlineStr">
        <is>
          <t>Próprio</t>
        </is>
      </c>
      <c r="D78" s="17" t="inlineStr">
        <is>
          <t>INDICADOR DE TRAJETORIA DE APROXIMAÇÃO DE PRECISÃO (PAPI) - FORNECIMENTO E INSTALAÇÃO, INCLUSO VOO DO GEIV</t>
        </is>
      </c>
      <c r="E78" s="18" t="inlineStr">
        <is>
          <t>un</t>
        </is>
      </c>
      <c r="F78" s="19" t="n">
        <v>1.0</v>
      </c>
      <c r="G78" s="20" t="n">
        <v>431051.38</v>
      </c>
      <c r="H78" s="20" t="str">
        <f>TRUNC(TRUNC(G78 * j2, 2) + G78, 2)</f>
      </c>
      <c r="I78" s="20" t="str">
        <f>TRUNC(F78 * h78,2)</f>
      </c>
      <c r="J78" s="21" t="str">
        <f>i78 / j1</f>
      </c>
    </row>
    <row customHeight="1" ht="24" r="79">
      <c r="A79" s="17" t="inlineStr">
        <is>
          <t> 5.3.2 </t>
        </is>
      </c>
      <c r="B79" s="17" t="inlineStr">
        <is>
          <t> AV2007 </t>
        </is>
      </c>
      <c r="C79" s="17" t="inlineStr">
        <is>
          <t>Próprio</t>
        </is>
      </c>
      <c r="D79" s="17" t="inlineStr">
        <is>
          <t>Base em concreto armado para PAPI</t>
        </is>
      </c>
      <c r="E79" s="18" t="inlineStr">
        <is>
          <t>un</t>
        </is>
      </c>
      <c r="F79" s="19" t="n">
        <v>4.0</v>
      </c>
      <c r="G79" s="20" t="n">
        <v>1684.11</v>
      </c>
      <c r="H79" s="20" t="str">
        <f>TRUNC(TRUNC(G79 * j2, 2) + G79, 2)</f>
      </c>
      <c r="I79" s="20" t="str">
        <f>TRUNC(F79 * h79,2)</f>
      </c>
      <c r="J79" s="21" t="str">
        <f>i79 / j1</f>
      </c>
    </row>
    <row customHeight="1" ht="39" r="80">
      <c r="A80" s="17" t="inlineStr">
        <is>
          <t> 5.3.3 </t>
        </is>
      </c>
      <c r="B80" s="17" t="inlineStr">
        <is>
          <t> Proprio45 </t>
        </is>
      </c>
      <c r="C80" s="17" t="inlineStr">
        <is>
          <t>Próprio</t>
        </is>
      </c>
      <c r="D80" s="17" t="inlineStr">
        <is>
          <t>Cabo de cobre unipolar 10 mm², blindado, isolação 3,6/6 KV EPR, cobertura em PVC - Fornecimento e instalação ( m )</t>
        </is>
      </c>
      <c r="E80" s="18" t="inlineStr">
        <is>
          <t>m</t>
        </is>
      </c>
      <c r="F80" s="19" t="n">
        <v>3870.76</v>
      </c>
      <c r="G80" s="20" t="n">
        <v>35.42</v>
      </c>
      <c r="H80" s="20" t="str">
        <f>TRUNC(TRUNC(G80 * j2, 2) + G80, 2)</f>
      </c>
      <c r="I80" s="20" t="str">
        <f>TRUNC(F80 * h80,2)</f>
      </c>
      <c r="J80" s="21" t="str">
        <f>i80 / j1</f>
      </c>
    </row>
    <row customHeight="1" ht="26" r="81">
      <c r="A81" s="9" t="inlineStr">
        <is>
          <t> 6 </t>
        </is>
      </c>
      <c r="B81" s="9" t="inlineStr">
        <is>
          <t>  </t>
        </is>
      </c>
      <c r="C81" s="9"/>
      <c r="D81" s="9" t="inlineStr">
        <is>
          <t>INSTALAÇÃO E MONTAGEM DOS EQUIPAMENTOS NA SUBESTAÇÃO (KF)</t>
        </is>
      </c>
      <c r="E81" s="10"/>
      <c r="F81" s="11" t="n">
        <v>1.0</v>
      </c>
      <c r="G81" s="11" t="inlineStr">
        <is>
          <t/>
        </is>
      </c>
      <c r="H81" s="12" t="str">
        <f>i82 + i83 + i84</f>
      </c>
      <c r="I81" s="12" t="str">
        <f>TRUNC(F81 * h81,2)</f>
      </c>
      <c r="J81" s="13" t="str">
        <f>i81 / j1</f>
      </c>
    </row>
    <row customHeight="1" ht="65" r="82">
      <c r="A82" s="17" t="inlineStr">
        <is>
          <t> 6.1 </t>
        </is>
      </c>
      <c r="B82" s="17" t="inlineStr">
        <is>
          <t> Proprio66 </t>
        </is>
      </c>
      <c r="C82" s="17" t="inlineStr">
        <is>
          <t>Próprio</t>
        </is>
      </c>
      <c r="D82" s="17" t="inlineStr">
        <is>
          <t>Regulador de corrente constante 6,6A, 4KW,5S, 220V,L828 , 60HZ,,  com cinco níveis de brilho, conforme norma AC 150/5345-10F/FAA/2005, ref. PN CRT6604N5B000,  da ADB ou similar - fornecimento e instalação  ( un )</t>
        </is>
      </c>
      <c r="E82" s="18" t="inlineStr">
        <is>
          <t>un</t>
        </is>
      </c>
      <c r="F82" s="19" t="n">
        <v>1.0</v>
      </c>
      <c r="G82" s="20" t="n">
        <v>68790.71</v>
      </c>
      <c r="H82" s="20" t="str">
        <f>TRUNC(TRUNC(G82 * j2, 2) + G82, 2)</f>
      </c>
      <c r="I82" s="20" t="str">
        <f>TRUNC(F82 * h82,2)</f>
      </c>
      <c r="J82" s="21" t="str">
        <f>i82 / j1</f>
      </c>
    </row>
    <row customHeight="1" ht="39" r="83">
      <c r="A83" s="17" t="inlineStr">
        <is>
          <t> 6.2 </t>
        </is>
      </c>
      <c r="B83" s="17" t="inlineStr">
        <is>
          <t> 91933 </t>
        </is>
      </c>
      <c r="C83" s="17" t="inlineStr">
        <is>
          <t>SINAPI</t>
        </is>
      </c>
      <c r="D83" s="17" t="inlineStr">
        <is>
          <t>CABO DE COBRE FLEXÍVEL ISOLADO, 10 MM², ANTI-CHAMA 0,6/1,0 KV, PARA CIRCUITOS TERMINAIS - FORNECIMENTO E INSTALAÇÃO. AF_03/2023</t>
        </is>
      </c>
      <c r="E83" s="18" t="inlineStr">
        <is>
          <t>M</t>
        </is>
      </c>
      <c r="F83" s="19" t="n">
        <v>40.0</v>
      </c>
      <c r="G83" s="20" t="n">
        <v>16.64</v>
      </c>
      <c r="H83" s="20" t="str">
        <f>TRUNC(TRUNC(G83 * j2, 2) + G83, 2)</f>
      </c>
      <c r="I83" s="20" t="str">
        <f>TRUNC(F83 * h83,2)</f>
      </c>
      <c r="J83" s="21" t="str">
        <f>i83 / j1</f>
      </c>
    </row>
    <row customHeight="1" ht="65" r="84">
      <c r="A84" s="17" t="inlineStr">
        <is>
          <t> 6.3 </t>
        </is>
      </c>
      <c r="B84" s="17" t="inlineStr">
        <is>
          <t> Proprio67 </t>
        </is>
      </c>
      <c r="C84" s="17" t="inlineStr">
        <is>
          <t>Próprio</t>
        </is>
      </c>
      <c r="D84" s="17" t="inlineStr">
        <is>
          <t>Grupo gerador com partida automática de 15,5KVA, 220/127V, 60HZ, incluso painel de paralelismo com rede e partida em emergência menor que 15 segundos, da MWM ou similar, incluindo todos os acessórios de montagem e instalação ( un )</t>
        </is>
      </c>
      <c r="E84" s="18" t="inlineStr">
        <is>
          <t>un</t>
        </is>
      </c>
      <c r="F84" s="19" t="n">
        <v>1.0</v>
      </c>
      <c r="G84" s="20" t="n">
        <v>79276.63</v>
      </c>
      <c r="H84" s="20" t="str">
        <f>TRUNC(TRUNC(G84 * j2, 2) + G84, 2)</f>
      </c>
      <c r="I84" s="20" t="str">
        <f>TRUNC(F84 * h84,2)</f>
      </c>
      <c r="J84" s="21" t="str">
        <f>i84 / j1</f>
      </c>
    </row>
    <row customHeight="1" ht="24" r="85">
      <c r="A85" s="9" t="inlineStr">
        <is>
          <t> 7 </t>
        </is>
      </c>
      <c r="B85" s="9" t="inlineStr">
        <is>
          <t>  </t>
        </is>
      </c>
      <c r="C85" s="9"/>
      <c r="D85" s="9" t="inlineStr">
        <is>
          <t>FAROL DO AERODROMO</t>
        </is>
      </c>
      <c r="E85" s="10"/>
      <c r="F85" s="11" t="n">
        <v>1.0</v>
      </c>
      <c r="G85" s="11" t="inlineStr">
        <is>
          <t/>
        </is>
      </c>
      <c r="H85" s="12" t="str">
        <f>i86 + i87 + i88 + i89 + i90 + i91 + i92 + i93 + i94 + i95 + i96</f>
      </c>
      <c r="I85" s="12" t="str">
        <f>TRUNC(F85 * h85,2)</f>
      </c>
      <c r="J85" s="13" t="str">
        <f>i85 / j1</f>
      </c>
    </row>
    <row customHeight="1" ht="39" r="86">
      <c r="A86" s="17" t="inlineStr">
        <is>
          <t> 7.1 </t>
        </is>
      </c>
      <c r="B86" s="17" t="inlineStr">
        <is>
          <t> Proprio68 </t>
        </is>
      </c>
      <c r="C86" s="17" t="inlineStr">
        <is>
          <t>Próprio</t>
        </is>
      </c>
      <c r="D86" s="17" t="inlineStr">
        <is>
          <t>FAROL ROTATIVO P/AERODROMO C/ 02 LAMP. 1000W/220V60HZ, METROL OU SIMILAR - FORNECIMENTO E INSTALAÇÃO.</t>
        </is>
      </c>
      <c r="E86" s="18" t="inlineStr">
        <is>
          <t>un</t>
        </is>
      </c>
      <c r="F86" s="19" t="n">
        <v>1.0</v>
      </c>
      <c r="G86" s="20" t="n">
        <v>48592.8</v>
      </c>
      <c r="H86" s="20" t="str">
        <f>TRUNC(TRUNC(G86 * j2, 2) + G86, 2)</f>
      </c>
      <c r="I86" s="20" t="str">
        <f>TRUNC(F86 * h86,2)</f>
      </c>
      <c r="J86" s="21" t="str">
        <f>i86 / j1</f>
      </c>
    </row>
    <row customHeight="1" ht="39" r="87">
      <c r="A87" s="17" t="inlineStr">
        <is>
          <t> 7.2 </t>
        </is>
      </c>
      <c r="B87" s="17" t="inlineStr">
        <is>
          <t> Proprio69 </t>
        </is>
      </c>
      <c r="C87" s="17" t="inlineStr">
        <is>
          <t>Próprio</t>
        </is>
      </c>
      <c r="D87" s="17" t="inlineStr">
        <is>
          <t>Poste de concreto seção circular comprimento = 14m, carga nominal no topo 400 kgf, inclusive escavação, transporte, fornecimento e instalação ( un )</t>
        </is>
      </c>
      <c r="E87" s="18" t="inlineStr">
        <is>
          <t>un</t>
        </is>
      </c>
      <c r="F87" s="19" t="n">
        <v>1.0</v>
      </c>
      <c r="G87" s="20" t="n">
        <v>4353.51</v>
      </c>
      <c r="H87" s="20" t="str">
        <f>TRUNC(TRUNC(G87 * j2, 2) + G87, 2)</f>
      </c>
      <c r="I87" s="20" t="str">
        <f>TRUNC(F87 * h87,2)</f>
      </c>
      <c r="J87" s="21" t="str">
        <f>i87 / j1</f>
      </c>
    </row>
    <row customHeight="1" ht="39" r="88">
      <c r="A88" s="17" t="inlineStr">
        <is>
          <t> 7.3 </t>
        </is>
      </c>
      <c r="B88" s="17" t="inlineStr">
        <is>
          <t> Proprio70 </t>
        </is>
      </c>
      <c r="C88" s="17" t="inlineStr">
        <is>
          <t>Próprio</t>
        </is>
      </c>
      <c r="D88" s="17" t="inlineStr">
        <is>
          <t>Escada tipo marinheiro em aço CA-50 9,52mm incluso pintura com fundo anticorrosivo tipo zarcão ( m )</t>
        </is>
      </c>
      <c r="E88" s="18" t="inlineStr">
        <is>
          <t>m</t>
        </is>
      </c>
      <c r="F88" s="19" t="n">
        <v>12.0</v>
      </c>
      <c r="G88" s="20" t="n">
        <v>87.15</v>
      </c>
      <c r="H88" s="20" t="str">
        <f>TRUNC(TRUNC(G88 * j2, 2) + G88, 2)</f>
      </c>
      <c r="I88" s="20" t="str">
        <f>TRUNC(F88 * h88,2)</f>
      </c>
      <c r="J88" s="21" t="str">
        <f>i88 / j1</f>
      </c>
    </row>
    <row customHeight="1" ht="65" r="89">
      <c r="A89" s="17" t="inlineStr">
        <is>
          <t> 7.4 </t>
        </is>
      </c>
      <c r="B89" s="17" t="inlineStr">
        <is>
          <t> Proprio79 </t>
        </is>
      </c>
      <c r="C89" s="17" t="inlineStr">
        <is>
          <t>Próprio</t>
        </is>
      </c>
      <c r="D89" s="17" t="inlineStr">
        <is>
          <t>Guarda-corpo de aço galvanizado de 1,10m de altura, montantes tubulares de 1.1/2  espaçados de 1,20m, travessa superior de 2 , gradil formado por barras chatas em ferro de 32x4,8mm, fixado com chumbador mecânico. Af_04/2019_ps ( m )</t>
        </is>
      </c>
      <c r="E89" s="18" t="inlineStr">
        <is>
          <t>m</t>
        </is>
      </c>
      <c r="F89" s="19" t="n">
        <v>12.0</v>
      </c>
      <c r="G89" s="20" t="n">
        <v>481.48</v>
      </c>
      <c r="H89" s="20" t="str">
        <f>TRUNC(TRUNC(G89 * j2, 2) + G89, 2)</f>
      </c>
      <c r="I89" s="20" t="str">
        <f>TRUNC(F89 * h89,2)</f>
      </c>
      <c r="J89" s="21" t="str">
        <f>i89 / j1</f>
      </c>
    </row>
    <row customHeight="1" ht="39" r="90">
      <c r="A90" s="17" t="inlineStr">
        <is>
          <t> 7.5 </t>
        </is>
      </c>
      <c r="B90" s="17" t="inlineStr">
        <is>
          <t> Proprio80 </t>
        </is>
      </c>
      <c r="C90" s="17" t="inlineStr">
        <is>
          <t>Próprio</t>
        </is>
      </c>
      <c r="D90" s="17" t="inlineStr">
        <is>
          <t>Gradil em ferro fixado em vãos de janelas, formado por barras chatas de 25x4,8 mm. Af_04/2019 ( m² )</t>
        </is>
      </c>
      <c r="E90" s="18" t="inlineStr">
        <is>
          <t>m²</t>
        </is>
      </c>
      <c r="F90" s="19" t="n">
        <v>4.85</v>
      </c>
      <c r="G90" s="20" t="n">
        <v>609.07</v>
      </c>
      <c r="H90" s="20" t="str">
        <f>TRUNC(TRUNC(G90 * j2, 2) + G90, 2)</f>
      </c>
      <c r="I90" s="20" t="str">
        <f>TRUNC(F90 * h90,2)</f>
      </c>
      <c r="J90" s="21" t="str">
        <f>i90 / j1</f>
      </c>
    </row>
    <row customHeight="1" ht="39" r="91">
      <c r="A91" s="17" t="inlineStr">
        <is>
          <t> 7.6 </t>
        </is>
      </c>
      <c r="B91" s="17" t="inlineStr">
        <is>
          <t> Proprio81 </t>
        </is>
      </c>
      <c r="C91" s="17" t="inlineStr">
        <is>
          <t>Próprio</t>
        </is>
      </c>
      <c r="D91" s="17" t="inlineStr">
        <is>
          <t>Haste de aterramento, diâmetro 5/8", com 3 metros - fornecimento e instalação. Af_08/2023 ( un )</t>
        </is>
      </c>
      <c r="E91" s="18" t="inlineStr">
        <is>
          <t>un</t>
        </is>
      </c>
      <c r="F91" s="19" t="n">
        <v>4.0</v>
      </c>
      <c r="G91" s="20" t="n">
        <v>71.72</v>
      </c>
      <c r="H91" s="20" t="str">
        <f>TRUNC(TRUNC(G91 * j2, 2) + G91, 2)</f>
      </c>
      <c r="I91" s="20" t="str">
        <f>TRUNC(F91 * h91,2)</f>
      </c>
      <c r="J91" s="21" t="str">
        <f>i91 / j1</f>
      </c>
    </row>
    <row customHeight="1" ht="26" r="92">
      <c r="A92" s="17" t="inlineStr">
        <is>
          <t> 7.7 </t>
        </is>
      </c>
      <c r="B92" s="17" t="inlineStr">
        <is>
          <t> Proprio82 </t>
        </is>
      </c>
      <c r="C92" s="17" t="inlineStr">
        <is>
          <t>Próprio</t>
        </is>
      </c>
      <c r="D92" s="17" t="inlineStr">
        <is>
          <t>Captor tipo franklin para spda - fornecimento e instalação. Af_08/2023 ( un )</t>
        </is>
      </c>
      <c r="E92" s="18" t="inlineStr">
        <is>
          <t>un</t>
        </is>
      </c>
      <c r="F92" s="19" t="n">
        <v>4.0</v>
      </c>
      <c r="G92" s="20" t="n">
        <v>156.53</v>
      </c>
      <c r="H92" s="20" t="str">
        <f>TRUNC(TRUNC(G92 * j2, 2) + G92, 2)</f>
      </c>
      <c r="I92" s="20" t="str">
        <f>TRUNC(F92 * h92,2)</f>
      </c>
      <c r="J92" s="21" t="str">
        <f>i92 / j1</f>
      </c>
    </row>
    <row customHeight="1" ht="26" r="93">
      <c r="A93" s="17" t="inlineStr">
        <is>
          <t> 7.8 </t>
        </is>
      </c>
      <c r="B93" s="17" t="inlineStr">
        <is>
          <t> 1201003085 </t>
        </is>
      </c>
      <c r="C93" s="17" t="inlineStr">
        <is>
          <t>AGESUL</t>
        </is>
      </c>
      <c r="D93" s="17" t="inlineStr">
        <is>
          <t>CORDOALHA DE COBRE NU 25 MM2, NAO ENTERRADA, COM ISOLADOR - FORNECIMENTO E INSTALACAO</t>
        </is>
      </c>
      <c r="E93" s="18" t="inlineStr">
        <is>
          <t>M</t>
        </is>
      </c>
      <c r="F93" s="19" t="n">
        <v>20.0</v>
      </c>
      <c r="G93" s="20" t="n">
        <v>50.42</v>
      </c>
      <c r="H93" s="20" t="str">
        <f>TRUNC(TRUNC(G93 * j2, 2) + G93, 2)</f>
      </c>
      <c r="I93" s="20" t="str">
        <f>TRUNC(F93 * h93,2)</f>
      </c>
      <c r="J93" s="21" t="str">
        <f>i93 / j1</f>
      </c>
    </row>
    <row customHeight="1" ht="39" r="94">
      <c r="A94" s="17" t="inlineStr">
        <is>
          <t> 7.9 </t>
        </is>
      </c>
      <c r="B94" s="17" t="inlineStr">
        <is>
          <t> 91933 </t>
        </is>
      </c>
      <c r="C94" s="17" t="inlineStr">
        <is>
          <t>SINAPI</t>
        </is>
      </c>
      <c r="D94" s="17" t="inlineStr">
        <is>
          <t>CABO DE COBRE FLEXÍVEL ISOLADO, 10 MM², ANTI-CHAMA 0,6/1,0 KV, PARA CIRCUITOS TERMINAIS - FORNECIMENTO E INSTALAÇÃO. AF_03/2023</t>
        </is>
      </c>
      <c r="E94" s="18" t="inlineStr">
        <is>
          <t>M</t>
        </is>
      </c>
      <c r="F94" s="19" t="n">
        <v>300.0</v>
      </c>
      <c r="G94" s="20" t="n">
        <v>16.64</v>
      </c>
      <c r="H94" s="20" t="str">
        <f>TRUNC(TRUNC(G94 * j2, 2) + G94, 2)</f>
      </c>
      <c r="I94" s="20" t="str">
        <f>TRUNC(F94 * h94,2)</f>
      </c>
      <c r="J94" s="21" t="str">
        <f>i94 / j1</f>
      </c>
    </row>
    <row customHeight="1" ht="39" r="95">
      <c r="A95" s="17" t="inlineStr">
        <is>
          <t> 7.10 </t>
        </is>
      </c>
      <c r="B95" s="17" t="inlineStr">
        <is>
          <t> Proprio83 </t>
        </is>
      </c>
      <c r="C95" s="17" t="inlineStr">
        <is>
          <t>Próprio</t>
        </is>
      </c>
      <c r="D95" s="17" t="inlineStr">
        <is>
          <t>Cabo de cobre flexível isolado 2 x 2,50mm², blindado, anti-chamas 0,6/1KV - fornecimento e instalação ( m )</t>
        </is>
      </c>
      <c r="E95" s="18" t="inlineStr">
        <is>
          <t>m</t>
        </is>
      </c>
      <c r="F95" s="19" t="n">
        <v>50.0</v>
      </c>
      <c r="G95" s="20" t="n">
        <v>15.92</v>
      </c>
      <c r="H95" s="20" t="str">
        <f>TRUNC(TRUNC(G95 * j2, 2) + G95, 2)</f>
      </c>
      <c r="I95" s="20" t="str">
        <f>TRUNC(F95 * h95,2)</f>
      </c>
      <c r="J95" s="21" t="str">
        <f>i95 / j1</f>
      </c>
    </row>
    <row customHeight="1" ht="39" r="96">
      <c r="A96" s="17" t="inlineStr">
        <is>
          <t> 7.11 </t>
        </is>
      </c>
      <c r="B96" s="17" t="inlineStr">
        <is>
          <t> 1201004046 </t>
        </is>
      </c>
      <c r="C96" s="17" t="inlineStr">
        <is>
          <t>AGESUL</t>
        </is>
      </c>
      <c r="D96" s="17" t="inlineStr">
        <is>
          <t>ELETRODUTO EM ACO GALVANIZADO PRE-ZINCADO, SEMI-PESADO, DIAMETRO 2", PAREDE DE 0,90 MM - FORNECIMENTO E INSTALACAO</t>
        </is>
      </c>
      <c r="E96" s="18" t="inlineStr">
        <is>
          <t>M</t>
        </is>
      </c>
      <c r="F96" s="19" t="n">
        <v>160.0</v>
      </c>
      <c r="G96" s="20" t="n">
        <v>84.2</v>
      </c>
      <c r="H96" s="20" t="str">
        <f>TRUNC(TRUNC(G96 * j2, 2) + G96, 2)</f>
      </c>
      <c r="I96" s="20" t="str">
        <f>TRUNC(F96 * h96,2)</f>
      </c>
      <c r="J96" s="21" t="str">
        <f>i96 / j1</f>
      </c>
    </row>
    <row customHeight="1" ht="24" r="97">
      <c r="A97" s="9" t="inlineStr">
        <is>
          <t> 8 </t>
        </is>
      </c>
      <c r="B97" s="9" t="inlineStr">
        <is>
          <t>  </t>
        </is>
      </c>
      <c r="C97" s="9"/>
      <c r="D97" s="9" t="inlineStr">
        <is>
          <t>BIRUTA ILUMINADA</t>
        </is>
      </c>
      <c r="E97" s="10"/>
      <c r="F97" s="11" t="n">
        <v>1.0</v>
      </c>
      <c r="G97" s="11" t="inlineStr">
        <is>
          <t/>
        </is>
      </c>
      <c r="H97" s="12" t="str">
        <f>i98 + i99</f>
      </c>
      <c r="I97" s="12" t="str">
        <f>TRUNC(F97 * h97,2)</f>
      </c>
      <c r="J97" s="13" t="str">
        <f>i97 / j1</f>
      </c>
    </row>
    <row customHeight="1" ht="117" r="98">
      <c r="A98" s="17" t="inlineStr">
        <is>
          <t> 8.1 </t>
        </is>
      </c>
      <c r="B98" s="17" t="inlineStr">
        <is>
          <t> Proprio84 </t>
        </is>
      </c>
      <c r="C98" s="17" t="inlineStr">
        <is>
          <t>Próprio</t>
        </is>
      </c>
      <c r="D98" s="17" t="inlineStr">
        <is>
          <t>Sistema indicador visual de condições de vento de superfície (biruta iluminada), inc. conjunto de biruta, mod. SHX-40, cesta em aço inox, cone de vento em nylon, base articulada e frangível, mastro h=5m c/rolamentos auto-lubrificados e conj. de iluminação externa, mod. HPRJ-10, composto de 04 refletores de 15W,  sinalizador de obstáculo a LED, luz vermelha, da marca Sunlab Power, Metrol ou similar ( cj )</t>
        </is>
      </c>
      <c r="E98" s="18" t="inlineStr">
        <is>
          <t>cj</t>
        </is>
      </c>
      <c r="F98" s="19" t="n">
        <v>1.0</v>
      </c>
      <c r="G98" s="20" t="n">
        <v>21190.04</v>
      </c>
      <c r="H98" s="20" t="str">
        <f>TRUNC(TRUNC(G98 * j2, 2) + G98, 2)</f>
      </c>
      <c r="I98" s="20" t="str">
        <f>TRUNC(F98 * h98,2)</f>
      </c>
      <c r="J98" s="21" t="str">
        <f>i98 / j1</f>
      </c>
    </row>
    <row customHeight="1" ht="39" r="99">
      <c r="A99" s="17" t="inlineStr">
        <is>
          <t> 8.2 </t>
        </is>
      </c>
      <c r="B99" s="17" t="inlineStr">
        <is>
          <t> 91931 </t>
        </is>
      </c>
      <c r="C99" s="17" t="inlineStr">
        <is>
          <t>SINAPI</t>
        </is>
      </c>
      <c r="D99" s="17" t="inlineStr">
        <is>
          <t>CABO DE COBRE FLEXÍVEL ISOLADO, 6 MM², ANTI-CHAMA 0,6/1,0 KV, PARA CIRCUITOS TERMINAIS - FORNECIMENTO E INSTALAÇÃO. AF_03/2023</t>
        </is>
      </c>
      <c r="E99" s="18" t="inlineStr">
        <is>
          <t>M</t>
        </is>
      </c>
      <c r="F99" s="19" t="n">
        <v>420.0</v>
      </c>
      <c r="G99" s="20" t="n">
        <v>10.4</v>
      </c>
      <c r="H99" s="20" t="str">
        <f>TRUNC(TRUNC(G99 * j2, 2) + G99, 2)</f>
      </c>
      <c r="I99" s="20" t="str">
        <f>TRUNC(F99 * h99,2)</f>
      </c>
      <c r="J99" s="21" t="str">
        <f>i99 / j1</f>
      </c>
    </row>
    <row customHeight="1" ht="26" r="100">
      <c r="A100" s="9" t="inlineStr">
        <is>
          <t> 9 </t>
        </is>
      </c>
      <c r="B100" s="9" t="inlineStr">
        <is>
          <t>  </t>
        </is>
      </c>
      <c r="C100" s="9"/>
      <c r="D100" s="9" t="inlineStr">
        <is>
          <t>ILUMINAÇÃO DO PÁTIO DE ESTACIONAMENTO DAS AERONAVES</t>
        </is>
      </c>
      <c r="E100" s="10"/>
      <c r="F100" s="11" t="n">
        <v>1.0</v>
      </c>
      <c r="G100" s="11" t="inlineStr">
        <is>
          <t/>
        </is>
      </c>
      <c r="H100" s="12" t="str">
        <f>i101 + i102 + i103 + i104 + i105 + i106 + i107 + i108 + i109 + i110 + i111 + i112</f>
      </c>
      <c r="I100" s="12" t="str">
        <f>TRUNC(F100 * h100,2)</f>
      </c>
      <c r="J100" s="13" t="str">
        <f>i100 / j1</f>
      </c>
    </row>
    <row customHeight="1" ht="39" r="101">
      <c r="A101" s="17" t="inlineStr">
        <is>
          <t> 9.1 </t>
        </is>
      </c>
      <c r="B101" s="17" t="inlineStr">
        <is>
          <t> 1201008062 </t>
        </is>
      </c>
      <c r="C101" s="17" t="inlineStr">
        <is>
          <t>AGESUL</t>
        </is>
      </c>
      <c r="D101" s="17" t="inlineStr">
        <is>
          <t>POSTE DE CONCRETO SECAO CIRCULAR COMPRIMENTO = 11M, CARGA NOMINAL NO TOPO 400 KGF, INCLUSIVE ESCAVACAO, TRANSPORTE, FORNECIMENTO E INSTALACAO</t>
        </is>
      </c>
      <c r="E101" s="18" t="inlineStr">
        <is>
          <t>UN</t>
        </is>
      </c>
      <c r="F101" s="19" t="n">
        <v>3.0</v>
      </c>
      <c r="G101" s="20" t="n">
        <v>2843.05</v>
      </c>
      <c r="H101" s="20" t="str">
        <f>TRUNC(TRUNC(G101 * j2, 2) + G101, 2)</f>
      </c>
      <c r="I101" s="20" t="str">
        <f>TRUNC(F101 * h101,2)</f>
      </c>
      <c r="J101" s="21" t="str">
        <f>i101 / j1</f>
      </c>
    </row>
    <row customHeight="1" ht="39" r="102">
      <c r="A102" s="17" t="inlineStr">
        <is>
          <t> 9.2 </t>
        </is>
      </c>
      <c r="B102" s="17" t="inlineStr">
        <is>
          <t> Proprio70 </t>
        </is>
      </c>
      <c r="C102" s="17" t="inlineStr">
        <is>
          <t>Próprio</t>
        </is>
      </c>
      <c r="D102" s="17" t="inlineStr">
        <is>
          <t>Escada tipo marinheiro em aço CA-50 9,52mm incluso pintura com fundo anticorrosivo tipo zarcão ( m )</t>
        </is>
      </c>
      <c r="E102" s="18" t="inlineStr">
        <is>
          <t>m</t>
        </is>
      </c>
      <c r="F102" s="19" t="n">
        <v>30.0</v>
      </c>
      <c r="G102" s="20" t="n">
        <v>87.15</v>
      </c>
      <c r="H102" s="20" t="str">
        <f>TRUNC(TRUNC(G102 * j2, 2) + G102, 2)</f>
      </c>
      <c r="I102" s="20" t="str">
        <f>TRUNC(F102 * h102,2)</f>
      </c>
      <c r="J102" s="21" t="str">
        <f>i102 / j1</f>
      </c>
    </row>
    <row customHeight="1" ht="65" r="103">
      <c r="A103" s="17" t="inlineStr">
        <is>
          <t> 9.3 </t>
        </is>
      </c>
      <c r="B103" s="17" t="inlineStr">
        <is>
          <t> 99839 </t>
        </is>
      </c>
      <c r="C103" s="17" t="inlineStr">
        <is>
          <t>SINAPI</t>
        </is>
      </c>
      <c r="D103" s="17" t="inlineStr">
        <is>
          <t>GUARDA-CORPO DE AÇO GALVANIZADO DE 1,10M DE ALTURA, MONTANTES TUBULARES DE 1.1/2  ESPAÇADOS DE 1,20M, TRAVESSA SUPERIOR DE 2 , GRADIL FORMADO POR BARRAS CHATAS EM FERRO DE 32X4,8MM, FIXADO COM CHUMBADOR MECÂNICO. AF_04/2019_PS</t>
        </is>
      </c>
      <c r="E103" s="18" t="inlineStr">
        <is>
          <t>M</t>
        </is>
      </c>
      <c r="F103" s="19" t="n">
        <v>30.0</v>
      </c>
      <c r="G103" s="20" t="n">
        <v>481.48</v>
      </c>
      <c r="H103" s="20" t="str">
        <f>TRUNC(TRUNC(G103 * j2, 2) + G103, 2)</f>
      </c>
      <c r="I103" s="20" t="str">
        <f>TRUNC(F103 * h103,2)</f>
      </c>
      <c r="J103" s="21" t="str">
        <f>i103 / j1</f>
      </c>
    </row>
    <row customHeight="1" ht="26" r="104">
      <c r="A104" s="17" t="inlineStr">
        <is>
          <t> 9.4 </t>
        </is>
      </c>
      <c r="B104" s="17" t="inlineStr">
        <is>
          <t> 99861 </t>
        </is>
      </c>
      <c r="C104" s="17" t="inlineStr">
        <is>
          <t>SINAPI</t>
        </is>
      </c>
      <c r="D104" s="17" t="inlineStr">
        <is>
          <t>GRADIL EM FERRO FIXADO EM VÃOS DE JANELAS, FORMADO POR BARRAS CHATAS DE 25X4,8 MM. AF_04/2019</t>
        </is>
      </c>
      <c r="E104" s="18" t="inlineStr">
        <is>
          <t>m²</t>
        </is>
      </c>
      <c r="F104" s="19" t="n">
        <v>7.02</v>
      </c>
      <c r="G104" s="20" t="n">
        <v>609.07</v>
      </c>
      <c r="H104" s="20" t="str">
        <f>TRUNC(TRUNC(G104 * j2, 2) + G104, 2)</f>
      </c>
      <c r="I104" s="20" t="str">
        <f>TRUNC(F104 * h104,2)</f>
      </c>
      <c r="J104" s="21" t="str">
        <f>i104 / j1</f>
      </c>
    </row>
    <row customHeight="1" ht="26" r="105">
      <c r="A105" s="17" t="inlineStr">
        <is>
          <t> 9.5 </t>
        </is>
      </c>
      <c r="B105" s="17" t="inlineStr">
        <is>
          <t> 96985 </t>
        </is>
      </c>
      <c r="C105" s="17" t="inlineStr">
        <is>
          <t>SINAPI</t>
        </is>
      </c>
      <c r="D105" s="17" t="inlineStr">
        <is>
          <t>HASTE DE ATERRAMENTO, DIÂMETRO 5/8", COM 3 METROS - FORNECIMENTO E INSTALAÇÃO. AF_08/2023</t>
        </is>
      </c>
      <c r="E105" s="18" t="inlineStr">
        <is>
          <t>UN</t>
        </is>
      </c>
      <c r="F105" s="19" t="n">
        <v>9.0</v>
      </c>
      <c r="G105" s="20" t="n">
        <v>71.72</v>
      </c>
      <c r="H105" s="20" t="str">
        <f>TRUNC(TRUNC(G105 * j2, 2) + G105, 2)</f>
      </c>
      <c r="I105" s="20" t="str">
        <f>TRUNC(F105 * h105,2)</f>
      </c>
      <c r="J105" s="21" t="str">
        <f>i105 / j1</f>
      </c>
    </row>
    <row customHeight="1" ht="26" r="106">
      <c r="A106" s="17" t="inlineStr">
        <is>
          <t> 9.6 </t>
        </is>
      </c>
      <c r="B106" s="17" t="inlineStr">
        <is>
          <t> 96989 </t>
        </is>
      </c>
      <c r="C106" s="17" t="inlineStr">
        <is>
          <t>SINAPI</t>
        </is>
      </c>
      <c r="D106" s="17" t="inlineStr">
        <is>
          <t>CAPTOR TIPO FRANKLIN PARA SPDA - FORNECIMENTO E INSTALAÇÃO. AF_08/2023</t>
        </is>
      </c>
      <c r="E106" s="18" t="inlineStr">
        <is>
          <t>UN</t>
        </is>
      </c>
      <c r="F106" s="19" t="n">
        <v>6.0</v>
      </c>
      <c r="G106" s="20" t="n">
        <v>156.53</v>
      </c>
      <c r="H106" s="20" t="str">
        <f>TRUNC(TRUNC(G106 * j2, 2) + G106, 2)</f>
      </c>
      <c r="I106" s="20" t="str">
        <f>TRUNC(F106 * h106,2)</f>
      </c>
      <c r="J106" s="21" t="str">
        <f>i106 / j1</f>
      </c>
    </row>
    <row customHeight="1" ht="26" r="107">
      <c r="A107" s="17" t="inlineStr">
        <is>
          <t> 9.7 </t>
        </is>
      </c>
      <c r="B107" s="17" t="inlineStr">
        <is>
          <t> 1201003085 </t>
        </is>
      </c>
      <c r="C107" s="17" t="inlineStr">
        <is>
          <t>AGESUL</t>
        </is>
      </c>
      <c r="D107" s="17" t="inlineStr">
        <is>
          <t>CORDOALHA DE COBRE NU 25 MM2, NAO ENTERRADA, COM ISOLADOR - FORNECIMENTO E INSTALACAO</t>
        </is>
      </c>
      <c r="E107" s="18" t="inlineStr">
        <is>
          <t>M</t>
        </is>
      </c>
      <c r="F107" s="19" t="n">
        <v>30.0</v>
      </c>
      <c r="G107" s="20" t="n">
        <v>50.42</v>
      </c>
      <c r="H107" s="20" t="str">
        <f>TRUNC(TRUNC(G107 * j2, 2) + G107, 2)</f>
      </c>
      <c r="I107" s="20" t="str">
        <f>TRUNC(F107 * h107,2)</f>
      </c>
      <c r="J107" s="21" t="str">
        <f>i107 / j1</f>
      </c>
    </row>
    <row customHeight="1" ht="39" r="108">
      <c r="A108" s="17" t="inlineStr">
        <is>
          <t> 9.8 </t>
        </is>
      </c>
      <c r="B108" s="17" t="inlineStr">
        <is>
          <t> 1201001133 </t>
        </is>
      </c>
      <c r="C108" s="17" t="inlineStr">
        <is>
          <t>AGESUL</t>
        </is>
      </c>
      <c r="D108" s="17" t="inlineStr">
        <is>
          <t>REFLETOR RETANGULAR FECHADO LED, REF. FLOOD LIGHT IP 68, 200W, 21.000LMS, COM DOIS MODULOS DA RCA, DIGITAL LED OU SIMILAR - FORNECIMENTO E INSTALACAO</t>
        </is>
      </c>
      <c r="E108" s="18" t="inlineStr">
        <is>
          <t>UN</t>
        </is>
      </c>
      <c r="F108" s="19" t="n">
        <v>12.0</v>
      </c>
      <c r="G108" s="20" t="n">
        <v>335.82</v>
      </c>
      <c r="H108" s="20" t="str">
        <f>TRUNC(TRUNC(G108 * j2, 2) + G108, 2)</f>
      </c>
      <c r="I108" s="20" t="str">
        <f>TRUNC(F108 * h108,2)</f>
      </c>
      <c r="J108" s="21" t="str">
        <f>i108 / j1</f>
      </c>
    </row>
    <row customHeight="1" ht="39" r="109">
      <c r="A109" s="17" t="inlineStr">
        <is>
          <t> 9.9 </t>
        </is>
      </c>
      <c r="B109" s="17" t="inlineStr">
        <is>
          <t> 91933 </t>
        </is>
      </c>
      <c r="C109" s="17" t="inlineStr">
        <is>
          <t>SINAPI</t>
        </is>
      </c>
      <c r="D109" s="17" t="inlineStr">
        <is>
          <t>CABO DE COBRE FLEXÍVEL ISOLADO, 10 MM², ANTI-CHAMA 0,6/1,0 KV, PARA CIRCUITOS TERMINAIS - FORNECIMENTO E INSTALAÇÃO. AF_03/2023</t>
        </is>
      </c>
      <c r="E109" s="18" t="inlineStr">
        <is>
          <t>M</t>
        </is>
      </c>
      <c r="F109" s="19" t="n">
        <v>300.0</v>
      </c>
      <c r="G109" s="20" t="n">
        <v>16.64</v>
      </c>
      <c r="H109" s="20" t="str">
        <f>TRUNC(TRUNC(G109 * j2, 2) + G109, 2)</f>
      </c>
      <c r="I109" s="20" t="str">
        <f>TRUNC(F109 * h109,2)</f>
      </c>
      <c r="J109" s="21" t="str">
        <f>i109 / j1</f>
      </c>
    </row>
    <row customHeight="1" ht="39" r="110">
      <c r="A110" s="17" t="inlineStr">
        <is>
          <t> 9.10 </t>
        </is>
      </c>
      <c r="B110" s="17" t="inlineStr">
        <is>
          <t> Proprio52 </t>
        </is>
      </c>
      <c r="C110" s="17" t="inlineStr">
        <is>
          <t>Próprio</t>
        </is>
      </c>
      <c r="D110" s="17" t="inlineStr">
        <is>
          <t>Cabo de cobre flexível isolado 2 x 2,50mm², blindado, anti-chamas 0,6/1KV - fornecimento e instalação ( m )</t>
        </is>
      </c>
      <c r="E110" s="18" t="inlineStr">
        <is>
          <t>m</t>
        </is>
      </c>
      <c r="F110" s="19" t="n">
        <v>150.0</v>
      </c>
      <c r="G110" s="20" t="n">
        <v>15.92</v>
      </c>
      <c r="H110" s="20" t="str">
        <f>TRUNC(TRUNC(G110 * j2, 2) + G110, 2)</f>
      </c>
      <c r="I110" s="20" t="str">
        <f>TRUNC(F110 * h110,2)</f>
      </c>
      <c r="J110" s="21" t="str">
        <f>i110 / j1</f>
      </c>
    </row>
    <row customHeight="1" ht="39" r="111">
      <c r="A111" s="17" t="inlineStr">
        <is>
          <t> 9.11 </t>
        </is>
      </c>
      <c r="B111" s="17" t="inlineStr">
        <is>
          <t> 1201004046 </t>
        </is>
      </c>
      <c r="C111" s="17" t="inlineStr">
        <is>
          <t>AGESUL</t>
        </is>
      </c>
      <c r="D111" s="17" t="inlineStr">
        <is>
          <t>ELETRODUTO EM ACO GALVANIZADO PRE-ZINCADO, SEMI-PESADO, DIAMETRO 2", PAREDE DE 0,90 MM - FORNECIMENTO E INSTALACAO</t>
        </is>
      </c>
      <c r="E111" s="18" t="inlineStr">
        <is>
          <t>M</t>
        </is>
      </c>
      <c r="F111" s="19" t="n">
        <v>180.0</v>
      </c>
      <c r="G111" s="20" t="n">
        <v>84.2</v>
      </c>
      <c r="H111" s="20" t="str">
        <f>TRUNC(TRUNC(G111 * j2, 2) + G111, 2)</f>
      </c>
      <c r="I111" s="20" t="str">
        <f>TRUNC(F111 * h111,2)</f>
      </c>
      <c r="J111" s="21" t="str">
        <f>i111 / j1</f>
      </c>
    </row>
    <row customHeight="1" ht="26" r="112">
      <c r="A112" s="17" t="inlineStr">
        <is>
          <t> 9.12 </t>
        </is>
      </c>
      <c r="B112" s="17" t="inlineStr">
        <is>
          <t> 1201007111 </t>
        </is>
      </c>
      <c r="C112" s="17" t="inlineStr">
        <is>
          <t>AGESUL</t>
        </is>
      </c>
      <c r="D112" s="17" t="inlineStr">
        <is>
          <t>TERMINAL OU CONECTOR DE PRESSAO - PARA CABO 10MM2 - FORNECIMENTO E INSTALACAO</t>
        </is>
      </c>
      <c r="E112" s="18" t="inlineStr">
        <is>
          <t>UN</t>
        </is>
      </c>
      <c r="F112" s="19" t="n">
        <v>9.0</v>
      </c>
      <c r="G112" s="20" t="n">
        <v>16.74</v>
      </c>
      <c r="H112" s="20" t="str">
        <f>TRUNC(TRUNC(G112 * j2, 2) + G112, 2)</f>
      </c>
      <c r="I112" s="20" t="str">
        <f>TRUNC(F112 * h112,2)</f>
      </c>
      <c r="J112" s="21" t="str">
        <f>i112 / j1</f>
      </c>
    </row>
    <row customHeight="1" ht="24" r="113">
      <c r="A113" s="9" t="inlineStr">
        <is>
          <t> 10 </t>
        </is>
      </c>
      <c r="B113" s="9" t="inlineStr">
        <is>
          <t>  </t>
        </is>
      </c>
      <c r="C113" s="9"/>
      <c r="D113" s="9" t="inlineStr">
        <is>
          <t>ENTRADA DE ENERGIA</t>
        </is>
      </c>
      <c r="E113" s="10"/>
      <c r="F113" s="11" t="n">
        <v>1.0</v>
      </c>
      <c r="G113" s="11" t="inlineStr">
        <is>
          <t/>
        </is>
      </c>
      <c r="H113" s="12" t="str">
        <f>i114 + i115</f>
      </c>
      <c r="I113" s="12" t="str">
        <f>TRUNC(F113 * h113,2)</f>
      </c>
      <c r="J113" s="13" t="str">
        <f>i113 / j1</f>
      </c>
    </row>
    <row customHeight="1" ht="52" r="114">
      <c r="A114" s="17" t="inlineStr">
        <is>
          <t> 10.1 </t>
        </is>
      </c>
      <c r="B114" s="17" t="inlineStr">
        <is>
          <t> 94994 </t>
        </is>
      </c>
      <c r="C114" s="17" t="inlineStr">
        <is>
          <t>SINAPI</t>
        </is>
      </c>
      <c r="D114" s="17" t="inlineStr">
        <is>
          <t>EXECUÇÃO DE PASSEIO (CALÇADA) OU PISO DE CONCRETO COM CONCRETO MOLDADO IN LOCO, FEITO EM OBRA, ACABAMENTO CONVENCIONAL, ESPESSURA 8 CM, ARMADO. AF_08/2022</t>
        </is>
      </c>
      <c r="E114" s="18" t="inlineStr">
        <is>
          <t>m²</t>
        </is>
      </c>
      <c r="F114" s="19" t="n">
        <v>34.0</v>
      </c>
      <c r="G114" s="20" t="n">
        <v>91.59</v>
      </c>
      <c r="H114" s="20" t="str">
        <f>TRUNC(TRUNC(G114 * j2, 2) + G114, 2)</f>
      </c>
      <c r="I114" s="20" t="str">
        <f>TRUNC(F114 * h114,2)</f>
      </c>
      <c r="J114" s="21" t="str">
        <f>i114 / j1</f>
      </c>
    </row>
    <row customHeight="1" ht="65" r="115">
      <c r="A115" s="17" t="inlineStr">
        <is>
          <t> 10.2 </t>
        </is>
      </c>
      <c r="B115" s="17" t="inlineStr">
        <is>
          <t> 1201009013 </t>
        </is>
      </c>
      <c r="C115" s="17" t="inlineStr">
        <is>
          <t>AGESUL</t>
        </is>
      </c>
      <c r="D115" s="17" t="inlineStr">
        <is>
          <t>ENTRADA DE SERVICO, EM BAIXA TENSAO, COM CAIXA DE MEDICAO INSTALADA EM MURETA DE ALVENARIA (1 1/2 VEZ), MEDINDO (1,20 X 2,10)M, CONFORME PADRAO ENERGISA, NA(S) ESPECIFICACAO(OES):- TRIFASICO 0 A 14,00 KW</t>
        </is>
      </c>
      <c r="E115" s="18" t="inlineStr">
        <is>
          <t>UN</t>
        </is>
      </c>
      <c r="F115" s="19" t="n">
        <v>1.0</v>
      </c>
      <c r="G115" s="20" t="n">
        <v>5351.36</v>
      </c>
      <c r="H115" s="20" t="str">
        <f>TRUNC(TRUNC(G115 * j2, 2) + G115, 2)</f>
      </c>
      <c r="I115" s="20" t="str">
        <f>TRUNC(F115 * h115,2)</f>
      </c>
      <c r="J115" s="21" t="str">
        <f>i115 / j1</f>
      </c>
    </row>
    <row customHeight="1" ht="24" r="116">
      <c r="A116" s="9" t="inlineStr">
        <is>
          <t> 11 </t>
        </is>
      </c>
      <c r="B116" s="9" t="inlineStr">
        <is>
          <t>  </t>
        </is>
      </c>
      <c r="C116" s="9"/>
      <c r="D116" s="9" t="inlineStr">
        <is>
          <t>ADMINISTRAÇÃO LOCAL</t>
        </is>
      </c>
      <c r="E116" s="10"/>
      <c r="F116" s="11" t="n">
        <v>1.0</v>
      </c>
      <c r="G116" s="11" t="inlineStr">
        <is>
          <t/>
        </is>
      </c>
      <c r="H116" s="12" t="str">
        <f>i117 + i118 + i119</f>
      </c>
      <c r="I116" s="12" t="str">
        <f>TRUNC(F116 * h116,2)</f>
      </c>
      <c r="J116" s="13" t="str">
        <f>i116 / j1</f>
      </c>
    </row>
    <row customHeight="1" ht="26" r="117">
      <c r="A117" s="17" t="inlineStr">
        <is>
          <t> 11.1 </t>
        </is>
      </c>
      <c r="B117" s="17" t="inlineStr">
        <is>
          <t> 90778 </t>
        </is>
      </c>
      <c r="C117" s="17" t="inlineStr">
        <is>
          <t>SINAPI</t>
        </is>
      </c>
      <c r="D117" s="17" t="inlineStr">
        <is>
          <t>ENGENHEIRO CIVIL DE OBRA PLENO COM ENCARGOS COMPLEMENTARES</t>
        </is>
      </c>
      <c r="E117" s="18" t="inlineStr">
        <is>
          <t>H</t>
        </is>
      </c>
      <c r="F117" s="19" t="n">
        <v>600.0</v>
      </c>
      <c r="G117" s="20" t="n">
        <v>132.67</v>
      </c>
      <c r="H117" s="20" t="str">
        <f>TRUNC(TRUNC(G117 * j2, 2) + G117, 2)</f>
      </c>
      <c r="I117" s="20" t="str">
        <f>TRUNC(F117 * h117,2)</f>
      </c>
      <c r="J117" s="21" t="str">
        <f>i117 / j1</f>
      </c>
    </row>
    <row customHeight="1" ht="24" r="118">
      <c r="A118" s="17" t="inlineStr">
        <is>
          <t> 11.2 </t>
        </is>
      </c>
      <c r="B118" s="17" t="inlineStr">
        <is>
          <t> 90780 </t>
        </is>
      </c>
      <c r="C118" s="17" t="inlineStr">
        <is>
          <t>SINAPI</t>
        </is>
      </c>
      <c r="D118" s="17" t="inlineStr">
        <is>
          <t>MESTRE DE OBRAS COM ENCARGOS COMPLEMENTARES</t>
        </is>
      </c>
      <c r="E118" s="18" t="inlineStr">
        <is>
          <t>H</t>
        </is>
      </c>
      <c r="F118" s="19" t="n">
        <v>1728.0</v>
      </c>
      <c r="G118" s="20" t="n">
        <v>37.36</v>
      </c>
      <c r="H118" s="20" t="str">
        <f>TRUNC(TRUNC(G118 * j2, 2) + G118, 2)</f>
      </c>
      <c r="I118" s="20" t="str">
        <f>TRUNC(F118 * h118,2)</f>
      </c>
      <c r="J118" s="21" t="str">
        <f>i118 / j1</f>
      </c>
    </row>
    <row customHeight="1" ht="24" r="119">
      <c r="A119" s="45" t="inlineStr">
        <is>
          <t> 11.3 </t>
        </is>
      </c>
      <c r="B119" s="45" t="inlineStr">
        <is>
          <t> IM02820 </t>
        </is>
      </c>
      <c r="C119" s="45" t="inlineStr">
        <is>
          <t>Próprio</t>
        </is>
      </c>
      <c r="D119" s="45" t="inlineStr">
        <is>
          <t>Locação de Veículo leve</t>
        </is>
      </c>
      <c r="E119" s="46" t="inlineStr">
        <is>
          <t>mês</t>
        </is>
      </c>
      <c r="F119" s="47" t="n">
        <v>9.0</v>
      </c>
      <c r="G119" s="48" t="n">
        <v>2693.32</v>
      </c>
      <c r="H119" s="48" t="str">
        <f>TRUNC(TRUNC(G119 * j2, 2) + G119, 2)</f>
      </c>
      <c r="I119" s="48" t="str">
        <f>TRUNC(F119 * h119,2)</f>
      </c>
      <c r="J119" s="49" t="str">
        <f>i119 / j1</f>
      </c>
    </row>
  </sheetData>
  <sheetCalcPr fullCalcOnLoad="1"/>
  <mergeCells count="2">
    <mergeCell ref="h1:i1"/>
    <mergeCell ref="h2:i2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&amp;CMinha Empresa
CNPJ:  &amp;R</oddHeader>
    <oddFooter>&amp;L &amp;C  -  -  / MS
(67) 99687-2974 / brunoa@agesul.ms.gov.br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2026-03-18T17:56:52Z</dcterms:created>
  <cp:revision>0</cp:revision>
</cp:coreProperties>
</file>