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embeddings/oleObject1.bin" ContentType="application/vnd.openxmlformats-officedocument.oleObject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S:\TRABALHO\00. Projetos\16. CEL SAPUCAIA\01. ANTUNES-LARANJEIRA\07-ENV\R02 - APROVADO\2-Relatórios\1-Planilhas\"/>
    </mc:Choice>
  </mc:AlternateContent>
  <xr:revisionPtr revIDLastSave="0" documentId="13_ncr:1_{194D4E57-F87D-4FDE-B911-C9D116F32156}" xr6:coauthVersionLast="47" xr6:coauthVersionMax="47" xr10:uidLastSave="{00000000-0000-0000-0000-000000000000}"/>
  <bookViews>
    <workbookView xWindow="-120" yWindow="-120" windowWidth="29040" windowHeight="15720" tabRatio="688" xr2:uid="{2A78B3EB-BB38-43D2-9006-EAE16A2E74C4}"/>
  </bookViews>
  <sheets>
    <sheet name="DMT" sheetId="9" r:id="rId1"/>
    <sheet name="MAT BET" sheetId="90" r:id="rId2"/>
    <sheet name="GRELHA" sheetId="111" r:id="rId3"/>
    <sheet name="PRELIMINARES - JDML+JDA-E2" sheetId="10" r:id="rId4"/>
    <sheet name="DEMOLIÇÃO - JDML" sheetId="104" r:id="rId5"/>
    <sheet name="COORD RETIRADAS" sheetId="89" state="hidden" r:id="rId6"/>
    <sheet name="DRENO - JDA-E2" sheetId="113" r:id="rId7"/>
    <sheet name="DRENAGEM - JDML" sheetId="86" r:id="rId8"/>
    <sheet name="DRENAGEM - JDA-E2" sheetId="112" r:id="rId9"/>
    <sheet name="DISP. DRENAGEM - JDML" sheetId="85" r:id="rId10"/>
    <sheet name="DISP. DRENAGEM - JDA-E2" sheetId="114" r:id="rId11"/>
    <sheet name="REMENDO - JDML" sheetId="109" r:id="rId12"/>
    <sheet name="RECAPEAMENTO - JDML" sheetId="110" r:id="rId13"/>
    <sheet name="PAVIMENTAÇÃO - JDML" sheetId="99" r:id="rId14"/>
    <sheet name="PAVIMENTAÇÃO - JDA-E2" sheetId="115" r:id="rId15"/>
    <sheet name="CALÇADA E ACESS. - JDML" sheetId="101" r:id="rId16"/>
    <sheet name="CALÇADA - JDA-E2" sheetId="116" r:id="rId17"/>
    <sheet name="SINALIZAÇÃO - JDML" sheetId="103" r:id="rId18"/>
    <sheet name="SINALIZAÇÃO - JDA-E2" sheetId="117" r:id="rId19"/>
  </sheets>
  <externalReferences>
    <externalReference r:id="rId20"/>
    <externalReference r:id="rId21"/>
  </externalReferences>
  <definedNames>
    <definedName name="\c" localSheetId="15">#REF!</definedName>
    <definedName name="\c" localSheetId="4">#REF!</definedName>
    <definedName name="\c" localSheetId="9">#REF!</definedName>
    <definedName name="\c" localSheetId="0">#REF!</definedName>
    <definedName name="\c" localSheetId="7">#REF!</definedName>
    <definedName name="\c" localSheetId="2">#REF!</definedName>
    <definedName name="\c" localSheetId="1">#REF!</definedName>
    <definedName name="\c" localSheetId="12">#REF!</definedName>
    <definedName name="\c" localSheetId="11">#REF!</definedName>
    <definedName name="\c" localSheetId="17">#REF!</definedName>
    <definedName name="\c">#REF!</definedName>
    <definedName name="\D" localSheetId="17">#REF!</definedName>
    <definedName name="\D">#REF!</definedName>
    <definedName name="\G" localSheetId="17">#REF!</definedName>
    <definedName name="\G">#REF!</definedName>
    <definedName name="\I" localSheetId="15">#REF!</definedName>
    <definedName name="\I" localSheetId="4">#REF!</definedName>
    <definedName name="\I" localSheetId="9">#REF!</definedName>
    <definedName name="\I" localSheetId="7">#REF!</definedName>
    <definedName name="\I" localSheetId="2">#REF!</definedName>
    <definedName name="\I" localSheetId="1">#REF!</definedName>
    <definedName name="\I" localSheetId="12">#REF!</definedName>
    <definedName name="\I" localSheetId="11">#REF!</definedName>
    <definedName name="\I" localSheetId="17">#REF!</definedName>
    <definedName name="\I">#REF!</definedName>
    <definedName name="\M" localSheetId="17">#REF!</definedName>
    <definedName name="\M">#REF!</definedName>
    <definedName name="\p" localSheetId="15">#REF!</definedName>
    <definedName name="\p" localSheetId="4">#REF!</definedName>
    <definedName name="\p" localSheetId="9">#REF!</definedName>
    <definedName name="\p" localSheetId="0">#REF!</definedName>
    <definedName name="\p" localSheetId="7">#REF!</definedName>
    <definedName name="\p" localSheetId="2">#REF!</definedName>
    <definedName name="\p" localSheetId="1">#REF!</definedName>
    <definedName name="\p" localSheetId="12">#REF!</definedName>
    <definedName name="\p" localSheetId="11">#REF!</definedName>
    <definedName name="\p" localSheetId="17">#REF!</definedName>
    <definedName name="\p">#REF!</definedName>
    <definedName name="\R" localSheetId="17">#REF!</definedName>
    <definedName name="\R">#REF!</definedName>
    <definedName name="\S" localSheetId="4">#REF!</definedName>
    <definedName name="\S" localSheetId="9">#REF!</definedName>
    <definedName name="\S" localSheetId="2">#REF!</definedName>
    <definedName name="\S" localSheetId="1">#REF!</definedName>
    <definedName name="\S" localSheetId="17">#REF!</definedName>
    <definedName name="\S">#REF!</definedName>
    <definedName name="\t" localSheetId="4">#REF!</definedName>
    <definedName name="\t" localSheetId="9">#REF!</definedName>
    <definedName name="\t" localSheetId="2">#REF!</definedName>
    <definedName name="\t" localSheetId="1">#REF!</definedName>
    <definedName name="\t" localSheetId="17">#REF!</definedName>
    <definedName name="\t">#REF!</definedName>
    <definedName name="\Y" localSheetId="17">#REF!</definedName>
    <definedName name="\Y">#REF!</definedName>
    <definedName name="_" localSheetId="17">#REF!</definedName>
    <definedName name="_">#REF!</definedName>
    <definedName name="______ms299" localSheetId="2">#REF!</definedName>
    <definedName name="______ms299" localSheetId="1">#REF!</definedName>
    <definedName name="______ms299" localSheetId="17">#REF!</definedName>
    <definedName name="______ms299">#REF!</definedName>
    <definedName name="_____PL1" localSheetId="15">#REF!</definedName>
    <definedName name="_____PL1" localSheetId="4">#REF!</definedName>
    <definedName name="_____PL1" localSheetId="9">#REF!</definedName>
    <definedName name="_____PL1" localSheetId="7">#REF!</definedName>
    <definedName name="_____PL1" localSheetId="2">#REF!</definedName>
    <definedName name="_____PL1" localSheetId="1">#REF!</definedName>
    <definedName name="_____PL1" localSheetId="12">#REF!</definedName>
    <definedName name="_____PL1" localSheetId="11">#REF!</definedName>
    <definedName name="_____PL1" localSheetId="17">#REF!</definedName>
    <definedName name="_____PL1">#REF!</definedName>
    <definedName name="_____sub1" localSheetId="2">#REF!</definedName>
    <definedName name="_____sub1" localSheetId="1">#REF!</definedName>
    <definedName name="_____sub1" localSheetId="17">#REF!</definedName>
    <definedName name="_____sub1">#REF!</definedName>
    <definedName name="_____sub3" localSheetId="2">#REF!</definedName>
    <definedName name="_____sub3" localSheetId="1">#REF!</definedName>
    <definedName name="_____sub3" localSheetId="17">#REF!</definedName>
    <definedName name="_____sub3">#REF!</definedName>
    <definedName name="____PL1" localSheetId="15">#REF!</definedName>
    <definedName name="____PL1" localSheetId="4">#REF!</definedName>
    <definedName name="____PL1" localSheetId="9">#REF!</definedName>
    <definedName name="____PL1" localSheetId="2">#REF!</definedName>
    <definedName name="____PL1" localSheetId="1">#REF!</definedName>
    <definedName name="____PL1" localSheetId="12">#REF!</definedName>
    <definedName name="____PL1" localSheetId="17">#REF!</definedName>
    <definedName name="____PL1">#REF!</definedName>
    <definedName name="____PNV2002" localSheetId="15">#REF!</definedName>
    <definedName name="____PNV2002" localSheetId="4">#REF!</definedName>
    <definedName name="____PNV2002" localSheetId="9">#REF!</definedName>
    <definedName name="____PNV2002" localSheetId="2">#REF!</definedName>
    <definedName name="____PNV2002" localSheetId="1">#REF!</definedName>
    <definedName name="____PNV2002" localSheetId="12">#REF!</definedName>
    <definedName name="____PNV2002" localSheetId="17">#REF!</definedName>
    <definedName name="____PNV2002">#REF!</definedName>
    <definedName name="____PNV2003" localSheetId="15">#REF!</definedName>
    <definedName name="____PNV2003" localSheetId="4">#REF!</definedName>
    <definedName name="____PNV2003" localSheetId="9">#REF!</definedName>
    <definedName name="____PNV2003" localSheetId="2">#REF!</definedName>
    <definedName name="____PNV2003" localSheetId="1">#REF!</definedName>
    <definedName name="____PNV2003" localSheetId="12">#REF!</definedName>
    <definedName name="____PNV2003" localSheetId="17">#REF!</definedName>
    <definedName name="____PNV2003">#REF!</definedName>
    <definedName name="____SE2" localSheetId="2">#REF!</definedName>
    <definedName name="____SE2" localSheetId="1">#REF!</definedName>
    <definedName name="____SE2" localSheetId="17">#REF!</definedName>
    <definedName name="____SE2">#REF!</definedName>
    <definedName name="____sub1" localSheetId="2">#REF!</definedName>
    <definedName name="____sub1" localSheetId="1">#REF!</definedName>
    <definedName name="____sub1" localSheetId="17">#REF!</definedName>
    <definedName name="____sub1">#REF!</definedName>
    <definedName name="____sub2" localSheetId="2">#REF!</definedName>
    <definedName name="____sub2" localSheetId="1">#REF!</definedName>
    <definedName name="____sub2" localSheetId="17">#REF!</definedName>
    <definedName name="____sub2">#REF!</definedName>
    <definedName name="____sub3" localSheetId="2">#REF!</definedName>
    <definedName name="____sub3" localSheetId="1">#REF!</definedName>
    <definedName name="____sub3" localSheetId="17">#REF!</definedName>
    <definedName name="____sub3">#REF!</definedName>
    <definedName name="____sub4" localSheetId="2">#REF!</definedName>
    <definedName name="____sub4" localSheetId="1">#REF!</definedName>
    <definedName name="____sub4" localSheetId="17">#REF!</definedName>
    <definedName name="____sub4">#REF!</definedName>
    <definedName name="___ms299" localSheetId="2">#REF!</definedName>
    <definedName name="___ms299" localSheetId="1">#REF!</definedName>
    <definedName name="___ms299" localSheetId="17">#REF!</definedName>
    <definedName name="___ms299">#REF!</definedName>
    <definedName name="___PL1" localSheetId="15">#REF!</definedName>
    <definedName name="___PL1" localSheetId="4">#REF!</definedName>
    <definedName name="___PL1" localSheetId="9">#REF!</definedName>
    <definedName name="___PL1" localSheetId="2">#REF!</definedName>
    <definedName name="___PL1" localSheetId="1">#REF!</definedName>
    <definedName name="___PL1" localSheetId="12">#REF!</definedName>
    <definedName name="___PL1" localSheetId="17">#REF!</definedName>
    <definedName name="___PL1">#REF!</definedName>
    <definedName name="___PNV2002" localSheetId="15">#REF!</definedName>
    <definedName name="___PNV2002" localSheetId="4">#REF!</definedName>
    <definedName name="___PNV2002" localSheetId="9">#REF!</definedName>
    <definedName name="___PNV2002" localSheetId="2">#REF!</definedName>
    <definedName name="___PNV2002" localSheetId="1">#REF!</definedName>
    <definedName name="___PNV2002" localSheetId="12">#REF!</definedName>
    <definedName name="___PNV2002" localSheetId="17">#REF!</definedName>
    <definedName name="___PNV2002">#REF!</definedName>
    <definedName name="___PNV2003" localSheetId="15">#REF!</definedName>
    <definedName name="___PNV2003" localSheetId="4">#REF!</definedName>
    <definedName name="___PNV2003" localSheetId="9">#REF!</definedName>
    <definedName name="___PNV2003" localSheetId="2">#REF!</definedName>
    <definedName name="___PNV2003" localSheetId="1">#REF!</definedName>
    <definedName name="___PNV2003" localSheetId="12">#REF!</definedName>
    <definedName name="___PNV2003" localSheetId="17">#REF!</definedName>
    <definedName name="___PNV2003">#REF!</definedName>
    <definedName name="___R" localSheetId="2">#REF!</definedName>
    <definedName name="___R" localSheetId="1">#REF!</definedName>
    <definedName name="___R" localSheetId="17">#REF!</definedName>
    <definedName name="___R">#REF!</definedName>
    <definedName name="___SE2" localSheetId="2">#REF!</definedName>
    <definedName name="___SE2" localSheetId="1">#REF!</definedName>
    <definedName name="___SE2" localSheetId="17">#REF!</definedName>
    <definedName name="___SE2">#REF!</definedName>
    <definedName name="___sub1" localSheetId="2">#REF!</definedName>
    <definedName name="___sub1" localSheetId="1">#REF!</definedName>
    <definedName name="___sub1" localSheetId="17">#REF!</definedName>
    <definedName name="___sub1">#REF!</definedName>
    <definedName name="___sub2" localSheetId="2">#REF!</definedName>
    <definedName name="___sub2" localSheetId="1">#REF!</definedName>
    <definedName name="___sub2" localSheetId="17">#REF!</definedName>
    <definedName name="___sub2">#REF!</definedName>
    <definedName name="___sub3" localSheetId="2">#REF!</definedName>
    <definedName name="___sub3" localSheetId="1">#REF!</definedName>
    <definedName name="___sub3" localSheetId="17">#REF!</definedName>
    <definedName name="___sub3">#REF!</definedName>
    <definedName name="___sub4" localSheetId="2">#REF!</definedName>
    <definedName name="___sub4" localSheetId="1">#REF!</definedName>
    <definedName name="___sub4" localSheetId="17">#REF!</definedName>
    <definedName name="___sub4">#REF!</definedName>
    <definedName name="__eu2" localSheetId="15" hidden="1">{#N/A,#N/A,FALSE,"MO (2)"}</definedName>
    <definedName name="__eu2" localSheetId="8" hidden="1">{#N/A,#N/A,FALSE,"MO (2)"}</definedName>
    <definedName name="__eu2" localSheetId="6" hidden="1">{#N/A,#N/A,FALSE,"MO (2)"}</definedName>
    <definedName name="__eu2" localSheetId="2" hidden="1">{#N/A,#N/A,FALSE,"MO (2)"}</definedName>
    <definedName name="__eu2" localSheetId="13" hidden="1">{#N/A,#N/A,FALSE,"MO (2)"}</definedName>
    <definedName name="__eu2" localSheetId="12" hidden="1">{#N/A,#N/A,FALSE,"MO (2)"}</definedName>
    <definedName name="__eu2" localSheetId="17" hidden="1">{#N/A,#N/A,FALSE,"MO (2)"}</definedName>
    <definedName name="__eu2" hidden="1">{#N/A,#N/A,FALSE,"MO (2)"}</definedName>
    <definedName name="__MDO1" localSheetId="2">#REF!</definedName>
    <definedName name="__MDO1" localSheetId="1">#REF!</definedName>
    <definedName name="__MDO1" localSheetId="17">#REF!</definedName>
    <definedName name="__MDO1">#REF!</definedName>
    <definedName name="__MDO2" localSheetId="2">#REF!</definedName>
    <definedName name="__MDO2" localSheetId="1">#REF!</definedName>
    <definedName name="__MDO2" localSheetId="17">#REF!</definedName>
    <definedName name="__MDO2">#REF!</definedName>
    <definedName name="__ms299" localSheetId="2">#REF!</definedName>
    <definedName name="__ms299" localSheetId="1">#REF!</definedName>
    <definedName name="__ms299" localSheetId="17">#REF!</definedName>
    <definedName name="__ms299">#REF!</definedName>
    <definedName name="__PL1" localSheetId="15">#REF!</definedName>
    <definedName name="__PL1" localSheetId="4">#REF!</definedName>
    <definedName name="__PL1" localSheetId="9">#REF!</definedName>
    <definedName name="__PL1" localSheetId="2">#REF!</definedName>
    <definedName name="__PL1" localSheetId="1">#REF!</definedName>
    <definedName name="__PL1" localSheetId="12">#REF!</definedName>
    <definedName name="__PL1" localSheetId="17">#REF!</definedName>
    <definedName name="__PL1">#REF!</definedName>
    <definedName name="__PNV2002" localSheetId="15">#REF!</definedName>
    <definedName name="__PNV2002" localSheetId="4">#REF!</definedName>
    <definedName name="__PNV2002" localSheetId="9">#REF!</definedName>
    <definedName name="__PNV2002" localSheetId="2">#REF!</definedName>
    <definedName name="__PNV2002" localSheetId="1">#REF!</definedName>
    <definedName name="__PNV2002" localSheetId="12">#REF!</definedName>
    <definedName name="__PNV2002" localSheetId="17">#REF!</definedName>
    <definedName name="__PNV2002">#REF!</definedName>
    <definedName name="__PNV2003" localSheetId="15">#REF!</definedName>
    <definedName name="__PNV2003" localSheetId="4">#REF!</definedName>
    <definedName name="__PNV2003" localSheetId="9">#REF!</definedName>
    <definedName name="__PNV2003" localSheetId="2">#REF!</definedName>
    <definedName name="__PNV2003" localSheetId="1">#REF!</definedName>
    <definedName name="__PNV2003" localSheetId="12">#REF!</definedName>
    <definedName name="__PNV2003" localSheetId="17">#REF!</definedName>
    <definedName name="__PNV2003">#REF!</definedName>
    <definedName name="__R" localSheetId="2">#REF!</definedName>
    <definedName name="__R" localSheetId="1">#REF!</definedName>
    <definedName name="__R" localSheetId="17">#REF!</definedName>
    <definedName name="__R">#REF!</definedName>
    <definedName name="__SE2" localSheetId="2">#REF!</definedName>
    <definedName name="__SE2" localSheetId="1">#REF!</definedName>
    <definedName name="__SE2" localSheetId="17">#REF!</definedName>
    <definedName name="__SE2">#REF!</definedName>
    <definedName name="__sub1" localSheetId="2">#REF!</definedName>
    <definedName name="__sub1" localSheetId="1">#REF!</definedName>
    <definedName name="__sub1" localSheetId="17">#REF!</definedName>
    <definedName name="__sub1">#REF!</definedName>
    <definedName name="__sub2" localSheetId="2">#REF!</definedName>
    <definedName name="__sub2" localSheetId="1">#REF!</definedName>
    <definedName name="__sub2" localSheetId="17">#REF!</definedName>
    <definedName name="__sub2">#REF!</definedName>
    <definedName name="__sub3" localSheetId="2">#REF!</definedName>
    <definedName name="__sub3" localSheetId="1">#REF!</definedName>
    <definedName name="__sub3" localSheetId="17">#REF!</definedName>
    <definedName name="__sub3">#REF!</definedName>
    <definedName name="__sub4" localSheetId="2">#REF!</definedName>
    <definedName name="__sub4" localSheetId="1">#REF!</definedName>
    <definedName name="__sub4" localSheetId="17">#REF!</definedName>
    <definedName name="__sub4">#REF!</definedName>
    <definedName name="_00001" localSheetId="2">#REF!</definedName>
    <definedName name="_00001" localSheetId="1">#REF!</definedName>
    <definedName name="_00001" localSheetId="17">#REF!</definedName>
    <definedName name="_00001">#REF!</definedName>
    <definedName name="_01_09_96" localSheetId="15">#REF!</definedName>
    <definedName name="_01_09_96" localSheetId="4">#REF!</definedName>
    <definedName name="_01_09_96" localSheetId="9">#REF!</definedName>
    <definedName name="_01_09_96" localSheetId="2">#REF!</definedName>
    <definedName name="_01_09_96" localSheetId="1">#REF!</definedName>
    <definedName name="_01_09_96" localSheetId="12">#REF!</definedName>
    <definedName name="_01_09_96" localSheetId="17">#REF!</definedName>
    <definedName name="_01_09_96">#REF!</definedName>
    <definedName name="_02" localSheetId="15">#REF!</definedName>
    <definedName name="_02" localSheetId="4">#REF!</definedName>
    <definedName name="_02" localSheetId="9">#REF!</definedName>
    <definedName name="_02" localSheetId="0">#REF!</definedName>
    <definedName name="_02" localSheetId="2">#REF!</definedName>
    <definedName name="_02" localSheetId="1">#REF!</definedName>
    <definedName name="_02" localSheetId="12">#REF!</definedName>
    <definedName name="_02" localSheetId="17">#REF!</definedName>
    <definedName name="_02">#REF!</definedName>
    <definedName name="_1830201">#N/A</definedName>
    <definedName name="_21.03.06" localSheetId="2">#REF!</definedName>
    <definedName name="_21.03.06" localSheetId="1">#REF!</definedName>
    <definedName name="_21.03.06" localSheetId="17">#REF!</definedName>
    <definedName name="_21.03.06">#REF!</definedName>
    <definedName name="_21.03.07" localSheetId="2">#REF!</definedName>
    <definedName name="_21.03.07" localSheetId="1">#REF!</definedName>
    <definedName name="_21.03.07" localSheetId="17">#REF!</definedName>
    <definedName name="_21.03.07">#REF!</definedName>
    <definedName name="_21.03.08" localSheetId="2">#REF!</definedName>
    <definedName name="_21.03.08" localSheetId="1">#REF!</definedName>
    <definedName name="_21.03.08" localSheetId="17">#REF!</definedName>
    <definedName name="_21.03.08">#REF!</definedName>
    <definedName name="_21.04.02" localSheetId="2">#REF!</definedName>
    <definedName name="_21.04.02" localSheetId="1">#REF!</definedName>
    <definedName name="_21.04.02" localSheetId="17">#REF!</definedName>
    <definedName name="_21.04.02">#REF!</definedName>
    <definedName name="_21.05.01" localSheetId="2">#REF!</definedName>
    <definedName name="_21.05.01" localSheetId="1">#REF!</definedName>
    <definedName name="_21.05.01" localSheetId="17">#REF!</definedName>
    <definedName name="_21.05.01">#REF!</definedName>
    <definedName name="_21.05.02" localSheetId="2">#REF!</definedName>
    <definedName name="_21.05.02" localSheetId="1">#REF!</definedName>
    <definedName name="_21.05.02" localSheetId="17">#REF!</definedName>
    <definedName name="_21.05.02">#REF!</definedName>
    <definedName name="_21.05.05" localSheetId="2">#REF!</definedName>
    <definedName name="_21.05.05" localSheetId="1">#REF!</definedName>
    <definedName name="_21.05.05" localSheetId="17">#REF!</definedName>
    <definedName name="_21.05.05">#REF!</definedName>
    <definedName name="_21.05.07" localSheetId="2">#REF!</definedName>
    <definedName name="_21.05.07" localSheetId="1">#REF!</definedName>
    <definedName name="_21.05.07" localSheetId="17">#REF!</definedName>
    <definedName name="_21.05.07">#REF!</definedName>
    <definedName name="_21.37.01.06" localSheetId="2">#REF!</definedName>
    <definedName name="_21.37.01.06" localSheetId="1">#REF!</definedName>
    <definedName name="_21.37.01.06" localSheetId="17">#REF!</definedName>
    <definedName name="_21.37.01.06">#REF!</definedName>
    <definedName name="_21.37.01.07" localSheetId="2">#REF!</definedName>
    <definedName name="_21.37.01.07" localSheetId="1">#REF!</definedName>
    <definedName name="_21.37.01.07" localSheetId="17">#REF!</definedName>
    <definedName name="_21.37.01.07">#REF!</definedName>
    <definedName name="_21.88.19.01" localSheetId="2">#REF!</definedName>
    <definedName name="_21.88.19.01" localSheetId="1">#REF!</definedName>
    <definedName name="_21.88.19.01" localSheetId="17">#REF!</definedName>
    <definedName name="_21.88.19.01">#REF!</definedName>
    <definedName name="_21.88.35.02" localSheetId="2">#REF!</definedName>
    <definedName name="_21.88.35.02" localSheetId="1">#REF!</definedName>
    <definedName name="_21.88.35.02" localSheetId="17">#REF!</definedName>
    <definedName name="_21.88.35.02">#REF!</definedName>
    <definedName name="_22.01.01" localSheetId="2">#REF!</definedName>
    <definedName name="_22.01.01" localSheetId="1">#REF!</definedName>
    <definedName name="_22.01.01" localSheetId="17">#REF!</definedName>
    <definedName name="_22.01.01">#REF!</definedName>
    <definedName name="_22.01.02" localSheetId="2">#REF!</definedName>
    <definedName name="_22.01.02" localSheetId="1">#REF!</definedName>
    <definedName name="_22.01.02" localSheetId="17">#REF!</definedName>
    <definedName name="_22.01.02">#REF!</definedName>
    <definedName name="_22.01.05" localSheetId="2">#REF!</definedName>
    <definedName name="_22.01.05" localSheetId="1">#REF!</definedName>
    <definedName name="_22.01.05" localSheetId="17">#REF!</definedName>
    <definedName name="_22.01.05">#REF!</definedName>
    <definedName name="_22.02.01" localSheetId="2">#REF!</definedName>
    <definedName name="_22.02.01" localSheetId="1">#REF!</definedName>
    <definedName name="_22.02.01" localSheetId="17">#REF!</definedName>
    <definedName name="_22.02.01">#REF!</definedName>
    <definedName name="_22.02.05" localSheetId="2">#REF!</definedName>
    <definedName name="_22.02.05" localSheetId="1">#REF!</definedName>
    <definedName name="_22.02.05" localSheetId="17">#REF!</definedName>
    <definedName name="_22.02.05">#REF!</definedName>
    <definedName name="_22.02.06" localSheetId="2">#REF!</definedName>
    <definedName name="_22.02.06" localSheetId="1">#REF!</definedName>
    <definedName name="_22.02.06" localSheetId="17">#REF!</definedName>
    <definedName name="_22.02.06">#REF!</definedName>
    <definedName name="_22.03.01" localSheetId="2">#REF!</definedName>
    <definedName name="_22.03.01" localSheetId="1">#REF!</definedName>
    <definedName name="_22.03.01" localSheetId="17">#REF!</definedName>
    <definedName name="_22.03.01">#REF!</definedName>
    <definedName name="_22.03.05" localSheetId="2">#REF!</definedName>
    <definedName name="_22.03.05" localSheetId="1">#REF!</definedName>
    <definedName name="_22.03.05" localSheetId="17">#REF!</definedName>
    <definedName name="_22.03.05">#REF!</definedName>
    <definedName name="_22.03.10" localSheetId="2">#REF!</definedName>
    <definedName name="_22.03.10" localSheetId="1">#REF!</definedName>
    <definedName name="_22.03.10" localSheetId="17">#REF!</definedName>
    <definedName name="_22.03.10">#REF!</definedName>
    <definedName name="_22.03.12" localSheetId="2">#REF!</definedName>
    <definedName name="_22.03.12" localSheetId="1">#REF!</definedName>
    <definedName name="_22.03.12" localSheetId="17">#REF!</definedName>
    <definedName name="_22.03.12">#REF!</definedName>
    <definedName name="_22.04.01" localSheetId="2">#REF!</definedName>
    <definedName name="_22.04.01" localSheetId="1">#REF!</definedName>
    <definedName name="_22.04.01" localSheetId="17">#REF!</definedName>
    <definedName name="_22.04.01">#REF!</definedName>
    <definedName name="_22.06.04" localSheetId="2">#REF!</definedName>
    <definedName name="_22.06.04" localSheetId="1">#REF!</definedName>
    <definedName name="_22.06.04" localSheetId="17">#REF!</definedName>
    <definedName name="_22.06.04">#REF!</definedName>
    <definedName name="_22.08.35" localSheetId="2">#REF!</definedName>
    <definedName name="_22.08.35" localSheetId="1">#REF!</definedName>
    <definedName name="_22.08.35" localSheetId="17">#REF!</definedName>
    <definedName name="_22.08.35">#REF!</definedName>
    <definedName name="_22.88.02.01.01" localSheetId="2">#REF!</definedName>
    <definedName name="_22.88.02.01.01" localSheetId="1">#REF!</definedName>
    <definedName name="_22.88.02.01.01" localSheetId="17">#REF!</definedName>
    <definedName name="_22.88.02.01.01">#REF!</definedName>
    <definedName name="_22.88.02.09" localSheetId="2">#REF!</definedName>
    <definedName name="_22.88.02.09" localSheetId="1">#REF!</definedName>
    <definedName name="_22.88.02.09" localSheetId="17">#REF!</definedName>
    <definedName name="_22.88.02.09">#REF!</definedName>
    <definedName name="_23.02.01" localSheetId="2">#REF!</definedName>
    <definedName name="_23.02.01" localSheetId="1">#REF!</definedName>
    <definedName name="_23.02.01" localSheetId="17">#REF!</definedName>
    <definedName name="_23.02.01">#REF!</definedName>
    <definedName name="_23.03.01" localSheetId="2">#REF!</definedName>
    <definedName name="_23.03.01" localSheetId="1">#REF!</definedName>
    <definedName name="_23.03.01" localSheetId="17">#REF!</definedName>
    <definedName name="_23.03.01">#REF!</definedName>
    <definedName name="_23.03.02.04" localSheetId="2">#REF!</definedName>
    <definedName name="_23.03.02.04" localSheetId="1">#REF!</definedName>
    <definedName name="_23.03.02.04" localSheetId="17">#REF!</definedName>
    <definedName name="_23.03.02.04">#REF!</definedName>
    <definedName name="_23.04.01.01" localSheetId="2">#REF!</definedName>
    <definedName name="_23.04.01.01" localSheetId="1">#REF!</definedName>
    <definedName name="_23.04.01.01" localSheetId="17">#REF!</definedName>
    <definedName name="_23.04.01.01">#REF!</definedName>
    <definedName name="_23.04.03.01" localSheetId="2">#REF!</definedName>
    <definedName name="_23.04.03.01" localSheetId="1">#REF!</definedName>
    <definedName name="_23.04.03.01" localSheetId="17">#REF!</definedName>
    <definedName name="_23.04.03.01">#REF!</definedName>
    <definedName name="_23.04.03.04" localSheetId="2">#REF!</definedName>
    <definedName name="_23.04.03.04" localSheetId="1">#REF!</definedName>
    <definedName name="_23.04.03.04" localSheetId="17">#REF!</definedName>
    <definedName name="_23.04.03.04">#REF!</definedName>
    <definedName name="_23.04.04.04" localSheetId="2">#REF!</definedName>
    <definedName name="_23.04.04.04" localSheetId="1">#REF!</definedName>
    <definedName name="_23.04.04.04" localSheetId="17">#REF!</definedName>
    <definedName name="_23.04.04.04">#REF!</definedName>
    <definedName name="_23.05.01" localSheetId="2">#REF!</definedName>
    <definedName name="_23.05.01" localSheetId="1">#REF!</definedName>
    <definedName name="_23.05.01" localSheetId="17">#REF!</definedName>
    <definedName name="_23.05.01">#REF!</definedName>
    <definedName name="_23.05.02" localSheetId="2">#REF!</definedName>
    <definedName name="_23.05.02" localSheetId="1">#REF!</definedName>
    <definedName name="_23.05.02" localSheetId="17">#REF!</definedName>
    <definedName name="_23.05.02">#REF!</definedName>
    <definedName name="_23.08.02" localSheetId="2">#REF!</definedName>
    <definedName name="_23.08.02" localSheetId="1">#REF!</definedName>
    <definedName name="_23.08.02" localSheetId="17">#REF!</definedName>
    <definedName name="_23.08.02">#REF!</definedName>
    <definedName name="_23.08.03.03" localSheetId="2">#REF!</definedName>
    <definedName name="_23.08.03.03" localSheetId="1">#REF!</definedName>
    <definedName name="_23.08.03.03" localSheetId="17">#REF!</definedName>
    <definedName name="_23.08.03.03">#REF!</definedName>
    <definedName name="_23.08.05" localSheetId="2">#REF!</definedName>
    <definedName name="_23.08.05" localSheetId="1">#REF!</definedName>
    <definedName name="_23.08.05" localSheetId="17">#REF!</definedName>
    <definedName name="_23.08.05">#REF!</definedName>
    <definedName name="_23.10.01" localSheetId="2">#REF!</definedName>
    <definedName name="_23.10.01" localSheetId="1">#REF!</definedName>
    <definedName name="_23.10.01" localSheetId="17">#REF!</definedName>
    <definedName name="_23.10.01">#REF!</definedName>
    <definedName name="_23.11.04.01" localSheetId="2">#REF!</definedName>
    <definedName name="_23.11.04.01" localSheetId="1">#REF!</definedName>
    <definedName name="_23.11.04.01" localSheetId="17">#REF!</definedName>
    <definedName name="_23.11.04.01">#REF!</definedName>
    <definedName name="_23.11.09" localSheetId="2">#REF!</definedName>
    <definedName name="_23.11.09" localSheetId="1">#REF!</definedName>
    <definedName name="_23.11.09" localSheetId="17">#REF!</definedName>
    <definedName name="_23.11.09">#REF!</definedName>
    <definedName name="_23.11.11" localSheetId="2">#REF!</definedName>
    <definedName name="_23.11.11" localSheetId="1">#REF!</definedName>
    <definedName name="_23.11.11" localSheetId="17">#REF!</definedName>
    <definedName name="_23.11.11">#REF!</definedName>
    <definedName name="_23.37.02.01" localSheetId="2">#REF!</definedName>
    <definedName name="_23.37.02.01" localSheetId="1">#REF!</definedName>
    <definedName name="_23.37.02.01" localSheetId="17">#REF!</definedName>
    <definedName name="_23.37.02.01">#REF!</definedName>
    <definedName name="_23.37.03.03" localSheetId="2">#REF!</definedName>
    <definedName name="_23.37.03.03" localSheetId="1">#REF!</definedName>
    <definedName name="_23.37.03.03" localSheetId="17">#REF!</definedName>
    <definedName name="_23.37.03.03">#REF!</definedName>
    <definedName name="_23.37.03.04" localSheetId="2">#REF!</definedName>
    <definedName name="_23.37.03.04" localSheetId="1">#REF!</definedName>
    <definedName name="_23.37.03.04" localSheetId="17">#REF!</definedName>
    <definedName name="_23.37.03.04">#REF!</definedName>
    <definedName name="_24.02.01" localSheetId="2">#REF!</definedName>
    <definedName name="_24.02.01" localSheetId="1">#REF!</definedName>
    <definedName name="_24.02.01" localSheetId="17">#REF!</definedName>
    <definedName name="_24.02.01">#REF!</definedName>
    <definedName name="_24.02.02" localSheetId="2">#REF!</definedName>
    <definedName name="_24.02.02" localSheetId="1">#REF!</definedName>
    <definedName name="_24.02.02" localSheetId="17">#REF!</definedName>
    <definedName name="_24.02.02">#REF!</definedName>
    <definedName name="_24.03.05" localSheetId="2">#REF!</definedName>
    <definedName name="_24.03.05" localSheetId="1">#REF!</definedName>
    <definedName name="_24.03.05" localSheetId="17">#REF!</definedName>
    <definedName name="_24.03.05">#REF!</definedName>
    <definedName name="_24.03.06" localSheetId="2">#REF!</definedName>
    <definedName name="_24.03.06" localSheetId="1">#REF!</definedName>
    <definedName name="_24.03.06" localSheetId="17">#REF!</definedName>
    <definedName name="_24.03.06">#REF!</definedName>
    <definedName name="_24.03.07" localSheetId="2">#REF!</definedName>
    <definedName name="_24.03.07" localSheetId="1">#REF!</definedName>
    <definedName name="_24.03.07" localSheetId="17">#REF!</definedName>
    <definedName name="_24.03.07">#REF!</definedName>
    <definedName name="_24.05.01" localSheetId="2">#REF!</definedName>
    <definedName name="_24.05.01" localSheetId="1">#REF!</definedName>
    <definedName name="_24.05.01" localSheetId="17">#REF!</definedName>
    <definedName name="_24.05.01">#REF!</definedName>
    <definedName name="_24.05.02" localSheetId="2">#REF!</definedName>
    <definedName name="_24.05.02" localSheetId="1">#REF!</definedName>
    <definedName name="_24.05.02" localSheetId="17">#REF!</definedName>
    <definedName name="_24.05.02">#REF!</definedName>
    <definedName name="_24.06.02" localSheetId="2">#REF!</definedName>
    <definedName name="_24.06.02" localSheetId="1">#REF!</definedName>
    <definedName name="_24.06.02" localSheetId="17">#REF!</definedName>
    <definedName name="_24.06.02">#REF!</definedName>
    <definedName name="_24.06.04" localSheetId="2">#REF!</definedName>
    <definedName name="_24.06.04" localSheetId="1">#REF!</definedName>
    <definedName name="_24.06.04" localSheetId="17">#REF!</definedName>
    <definedName name="_24.06.04">#REF!</definedName>
    <definedName name="_24.07.01" localSheetId="2">#REF!</definedName>
    <definedName name="_24.07.01" localSheetId="1">#REF!</definedName>
    <definedName name="_24.07.01" localSheetId="17">#REF!</definedName>
    <definedName name="_24.07.01">#REF!</definedName>
    <definedName name="_24.07.02" localSheetId="2">#REF!</definedName>
    <definedName name="_24.07.02" localSheetId="1">#REF!</definedName>
    <definedName name="_24.07.02" localSheetId="17">#REF!</definedName>
    <definedName name="_24.07.02">#REF!</definedName>
    <definedName name="_24.07.04" localSheetId="2">#REF!</definedName>
    <definedName name="_24.07.04" localSheetId="1">#REF!</definedName>
    <definedName name="_24.07.04" localSheetId="17">#REF!</definedName>
    <definedName name="_24.07.04">#REF!</definedName>
    <definedName name="_24.07.05" localSheetId="2">#REF!</definedName>
    <definedName name="_24.07.05" localSheetId="1">#REF!</definedName>
    <definedName name="_24.07.05" localSheetId="17">#REF!</definedName>
    <definedName name="_24.07.05">#REF!</definedName>
    <definedName name="_24.07.09" localSheetId="2">#REF!</definedName>
    <definedName name="_24.07.09" localSheetId="1">#REF!</definedName>
    <definedName name="_24.07.09" localSheetId="17">#REF!</definedName>
    <definedName name="_24.07.09">#REF!</definedName>
    <definedName name="_24.08.01" localSheetId="2">#REF!</definedName>
    <definedName name="_24.08.01" localSheetId="1">#REF!</definedName>
    <definedName name="_24.08.01" localSheetId="17">#REF!</definedName>
    <definedName name="_24.08.01">#REF!</definedName>
    <definedName name="_24.08.02" localSheetId="2">#REF!</definedName>
    <definedName name="_24.08.02" localSheetId="1">#REF!</definedName>
    <definedName name="_24.08.02" localSheetId="17">#REF!</definedName>
    <definedName name="_24.08.02">#REF!</definedName>
    <definedName name="_24.09.02" localSheetId="2">#REF!</definedName>
    <definedName name="_24.09.02" localSheetId="1">#REF!</definedName>
    <definedName name="_24.09.02" localSheetId="17">#REF!</definedName>
    <definedName name="_24.09.02">#REF!</definedName>
    <definedName name="_24.10.02" localSheetId="2">#REF!</definedName>
    <definedName name="_24.10.02" localSheetId="1">#REF!</definedName>
    <definedName name="_24.10.02" localSheetId="17">#REF!</definedName>
    <definedName name="_24.10.02">#REF!</definedName>
    <definedName name="_24.11.01" localSheetId="2">#REF!</definedName>
    <definedName name="_24.11.01" localSheetId="1">#REF!</definedName>
    <definedName name="_24.11.01" localSheetId="17">#REF!</definedName>
    <definedName name="_24.11.01">#REF!</definedName>
    <definedName name="_24.11.04" localSheetId="2">#REF!</definedName>
    <definedName name="_24.11.04" localSheetId="1">#REF!</definedName>
    <definedName name="_24.11.04" localSheetId="17">#REF!</definedName>
    <definedName name="_24.11.04">#REF!</definedName>
    <definedName name="_24.11.05" localSheetId="2">#REF!</definedName>
    <definedName name="_24.11.05" localSheetId="1">#REF!</definedName>
    <definedName name="_24.11.05" localSheetId="17">#REF!</definedName>
    <definedName name="_24.11.05">#REF!</definedName>
    <definedName name="_24.11.07" localSheetId="2">#REF!</definedName>
    <definedName name="_24.11.07" localSheetId="1">#REF!</definedName>
    <definedName name="_24.11.07" localSheetId="17">#REF!</definedName>
    <definedName name="_24.11.07">#REF!</definedName>
    <definedName name="_24.12.01.01" localSheetId="2">#REF!</definedName>
    <definedName name="_24.12.01.01" localSheetId="1">#REF!</definedName>
    <definedName name="_24.12.01.01" localSheetId="17">#REF!</definedName>
    <definedName name="_24.12.01.01">#REF!</definedName>
    <definedName name="_24.12.01.02" localSheetId="2">#REF!</definedName>
    <definedName name="_24.12.01.02" localSheetId="1">#REF!</definedName>
    <definedName name="_24.12.01.02" localSheetId="17">#REF!</definedName>
    <definedName name="_24.12.01.02">#REF!</definedName>
    <definedName name="_24.12.02" localSheetId="2">#REF!</definedName>
    <definedName name="_24.12.02" localSheetId="1">#REF!</definedName>
    <definedName name="_24.12.02" localSheetId="17">#REF!</definedName>
    <definedName name="_24.12.02">#REF!</definedName>
    <definedName name="_24.12.03.01" localSheetId="2">#REF!</definedName>
    <definedName name="_24.12.03.01" localSheetId="1">#REF!</definedName>
    <definedName name="_24.12.03.01" localSheetId="17">#REF!</definedName>
    <definedName name="_24.12.03.01">#REF!</definedName>
    <definedName name="_24.12.08" localSheetId="2">#REF!</definedName>
    <definedName name="_24.12.08" localSheetId="1">#REF!</definedName>
    <definedName name="_24.12.08" localSheetId="17">#REF!</definedName>
    <definedName name="_24.12.08">#REF!</definedName>
    <definedName name="_24.12.09" localSheetId="2">#REF!</definedName>
    <definedName name="_24.12.09" localSheetId="1">#REF!</definedName>
    <definedName name="_24.12.09" localSheetId="17">#REF!</definedName>
    <definedName name="_24.12.09">#REF!</definedName>
    <definedName name="_24.13.01" localSheetId="2">#REF!</definedName>
    <definedName name="_24.13.01" localSheetId="1">#REF!</definedName>
    <definedName name="_24.13.01" localSheetId="17">#REF!</definedName>
    <definedName name="_24.13.01">#REF!</definedName>
    <definedName name="_24.14.01.03" localSheetId="2">#REF!</definedName>
    <definedName name="_24.14.01.03" localSheetId="1">#REF!</definedName>
    <definedName name="_24.14.01.03" localSheetId="17">#REF!</definedName>
    <definedName name="_24.14.01.03">#REF!</definedName>
    <definedName name="_24.14.01.05" localSheetId="2">#REF!</definedName>
    <definedName name="_24.14.01.05" localSheetId="1">#REF!</definedName>
    <definedName name="_24.14.01.05" localSheetId="17">#REF!</definedName>
    <definedName name="_24.14.01.05">#REF!</definedName>
    <definedName name="_24.15.07" localSheetId="2">#REF!</definedName>
    <definedName name="_24.15.07" localSheetId="1">#REF!</definedName>
    <definedName name="_24.15.07" localSheetId="17">#REF!</definedName>
    <definedName name="_24.15.07">#REF!</definedName>
    <definedName name="_24.16.04" localSheetId="2">#REF!</definedName>
    <definedName name="_24.16.04" localSheetId="1">#REF!</definedName>
    <definedName name="_24.16.04" localSheetId="17">#REF!</definedName>
    <definedName name="_24.16.04">#REF!</definedName>
    <definedName name="_24.16.05" localSheetId="2">#REF!</definedName>
    <definedName name="_24.16.05" localSheetId="1">#REF!</definedName>
    <definedName name="_24.16.05" localSheetId="17">#REF!</definedName>
    <definedName name="_24.16.05">#REF!</definedName>
    <definedName name="_24.16.08" localSheetId="2">#REF!</definedName>
    <definedName name="_24.16.08" localSheetId="1">#REF!</definedName>
    <definedName name="_24.16.08" localSheetId="17">#REF!</definedName>
    <definedName name="_24.16.08">#REF!</definedName>
    <definedName name="_24.16.09" localSheetId="2">#REF!</definedName>
    <definedName name="_24.16.09" localSheetId="1">#REF!</definedName>
    <definedName name="_24.16.09" localSheetId="17">#REF!</definedName>
    <definedName name="_24.16.09">#REF!</definedName>
    <definedName name="_24.16.12" localSheetId="2">#REF!</definedName>
    <definedName name="_24.16.12" localSheetId="1">#REF!</definedName>
    <definedName name="_24.16.12" localSheetId="17">#REF!</definedName>
    <definedName name="_24.16.12">#REF!</definedName>
    <definedName name="_24.16.13" localSheetId="2">#REF!</definedName>
    <definedName name="_24.16.13" localSheetId="1">#REF!</definedName>
    <definedName name="_24.16.13" localSheetId="17">#REF!</definedName>
    <definedName name="_24.16.13">#REF!</definedName>
    <definedName name="_24.16.16" localSheetId="2">#REF!</definedName>
    <definedName name="_24.16.16" localSheetId="1">#REF!</definedName>
    <definedName name="_24.16.16" localSheetId="17">#REF!</definedName>
    <definedName name="_24.16.16">#REF!</definedName>
    <definedName name="_24.16.17" localSheetId="2">#REF!</definedName>
    <definedName name="_24.16.17" localSheetId="1">#REF!</definedName>
    <definedName name="_24.16.17" localSheetId="17">#REF!</definedName>
    <definedName name="_24.16.17">#REF!</definedName>
    <definedName name="_24.16.20" localSheetId="2">#REF!</definedName>
    <definedName name="_24.16.20" localSheetId="1">#REF!</definedName>
    <definedName name="_24.16.20" localSheetId="17">#REF!</definedName>
    <definedName name="_24.16.20">#REF!</definedName>
    <definedName name="_24.16.21" localSheetId="2">#REF!</definedName>
    <definedName name="_24.16.21" localSheetId="1">#REF!</definedName>
    <definedName name="_24.16.21" localSheetId="17">#REF!</definedName>
    <definedName name="_24.16.21">#REF!</definedName>
    <definedName name="_24.19.03.01" localSheetId="2">#REF!</definedName>
    <definedName name="_24.19.03.01" localSheetId="1">#REF!</definedName>
    <definedName name="_24.19.03.01" localSheetId="17">#REF!</definedName>
    <definedName name="_24.19.03.01">#REF!</definedName>
    <definedName name="_24.19.04.01" localSheetId="2">#REF!</definedName>
    <definedName name="_24.19.04.01" localSheetId="1">#REF!</definedName>
    <definedName name="_24.19.04.01" localSheetId="17">#REF!</definedName>
    <definedName name="_24.19.04.01">#REF!</definedName>
    <definedName name="_24.19.06" localSheetId="2">#REF!</definedName>
    <definedName name="_24.19.06" localSheetId="1">#REF!</definedName>
    <definedName name="_24.19.06" localSheetId="17">#REF!</definedName>
    <definedName name="_24.19.06">#REF!</definedName>
    <definedName name="_24.19.07.01" localSheetId="2">#REF!</definedName>
    <definedName name="_24.19.07.01" localSheetId="1">#REF!</definedName>
    <definedName name="_24.19.07.01" localSheetId="17">#REF!</definedName>
    <definedName name="_24.19.07.01">#REF!</definedName>
    <definedName name="_24.19.08" localSheetId="2">#REF!</definedName>
    <definedName name="_24.19.08" localSheetId="1">#REF!</definedName>
    <definedName name="_24.19.08" localSheetId="17">#REF!</definedName>
    <definedName name="_24.19.08">#REF!</definedName>
    <definedName name="_24.21.03" localSheetId="2">#REF!</definedName>
    <definedName name="_24.21.03" localSheetId="1">#REF!</definedName>
    <definedName name="_24.21.03" localSheetId="17">#REF!</definedName>
    <definedName name="_24.21.03">#REF!</definedName>
    <definedName name="_24.88.13.01" localSheetId="2">#REF!</definedName>
    <definedName name="_24.88.13.01" localSheetId="1">#REF!</definedName>
    <definedName name="_24.88.13.01" localSheetId="17">#REF!</definedName>
    <definedName name="_24.88.13.01">#REF!</definedName>
    <definedName name="_24.88.13.03" localSheetId="2">#REF!</definedName>
    <definedName name="_24.88.13.03" localSheetId="1">#REF!</definedName>
    <definedName name="_24.88.13.03" localSheetId="17">#REF!</definedName>
    <definedName name="_24.88.13.03">#REF!</definedName>
    <definedName name="_24.88.13.04" localSheetId="2">#REF!</definedName>
    <definedName name="_24.88.13.04" localSheetId="1">#REF!</definedName>
    <definedName name="_24.88.13.04" localSheetId="17">#REF!</definedName>
    <definedName name="_24.88.13.04">#REF!</definedName>
    <definedName name="_24.88.13.05" localSheetId="2">#REF!</definedName>
    <definedName name="_24.88.13.05" localSheetId="1">#REF!</definedName>
    <definedName name="_24.88.13.05" localSheetId="17">#REF!</definedName>
    <definedName name="_24.88.13.05">#REF!</definedName>
    <definedName name="_24.88.13.06" localSheetId="2">#REF!</definedName>
    <definedName name="_24.88.13.06" localSheetId="1">#REF!</definedName>
    <definedName name="_24.88.13.06" localSheetId="17">#REF!</definedName>
    <definedName name="_24.88.13.06">#REF!</definedName>
    <definedName name="_24.88.13.07" localSheetId="2">#REF!</definedName>
    <definedName name="_24.88.13.07" localSheetId="1">#REF!</definedName>
    <definedName name="_24.88.13.07" localSheetId="17">#REF!</definedName>
    <definedName name="_24.88.13.07">#REF!</definedName>
    <definedName name="_24.88.14.01" localSheetId="2">#REF!</definedName>
    <definedName name="_24.88.14.01" localSheetId="1">#REF!</definedName>
    <definedName name="_24.88.14.01" localSheetId="17">#REF!</definedName>
    <definedName name="_24.88.14.01">#REF!</definedName>
    <definedName name="_24.88.14.02" localSheetId="2">#REF!</definedName>
    <definedName name="_24.88.14.02" localSheetId="1">#REF!</definedName>
    <definedName name="_24.88.14.02" localSheetId="17">#REF!</definedName>
    <definedName name="_24.88.14.02">#REF!</definedName>
    <definedName name="_24.88.14.03" localSheetId="2">#REF!</definedName>
    <definedName name="_24.88.14.03" localSheetId="1">#REF!</definedName>
    <definedName name="_24.88.14.03" localSheetId="17">#REF!</definedName>
    <definedName name="_24.88.14.03">#REF!</definedName>
    <definedName name="_24.88.14.04" localSheetId="2">#REF!</definedName>
    <definedName name="_24.88.14.04" localSheetId="1">#REF!</definedName>
    <definedName name="_24.88.14.04" localSheetId="17">#REF!</definedName>
    <definedName name="_24.88.14.04">#REF!</definedName>
    <definedName name="_24.88.14.05" localSheetId="2">#REF!</definedName>
    <definedName name="_24.88.14.05" localSheetId="1">#REF!</definedName>
    <definedName name="_24.88.14.05" localSheetId="17">#REF!</definedName>
    <definedName name="_24.88.14.05">#REF!</definedName>
    <definedName name="_24.88.14.06" localSheetId="2">#REF!</definedName>
    <definedName name="_24.88.14.06" localSheetId="1">#REF!</definedName>
    <definedName name="_24.88.14.06" localSheetId="17">#REF!</definedName>
    <definedName name="_24.88.14.06">#REF!</definedName>
    <definedName name="_24.88.14.07" localSheetId="2">#REF!</definedName>
    <definedName name="_24.88.14.07" localSheetId="1">#REF!</definedName>
    <definedName name="_24.88.14.07" localSheetId="17">#REF!</definedName>
    <definedName name="_24.88.14.07">#REF!</definedName>
    <definedName name="_24.88.30.01" localSheetId="2">#REF!</definedName>
    <definedName name="_24.88.30.01" localSheetId="1">#REF!</definedName>
    <definedName name="_24.88.30.01" localSheetId="17">#REF!</definedName>
    <definedName name="_24.88.30.01">#REF!</definedName>
    <definedName name="_24.88.31.01" localSheetId="2">#REF!</definedName>
    <definedName name="_24.88.31.01" localSheetId="1">#REF!</definedName>
    <definedName name="_24.88.31.01" localSheetId="17">#REF!</definedName>
    <definedName name="_24.88.31.01">#REF!</definedName>
    <definedName name="_25.10.03" localSheetId="2">#REF!</definedName>
    <definedName name="_25.10.03" localSheetId="1">#REF!</definedName>
    <definedName name="_25.10.03" localSheetId="17">#REF!</definedName>
    <definedName name="_25.10.03">#REF!</definedName>
    <definedName name="_25.20.01" localSheetId="2">#REF!</definedName>
    <definedName name="_25.20.01" localSheetId="1">#REF!</definedName>
    <definedName name="_25.20.01" localSheetId="17">#REF!</definedName>
    <definedName name="_25.20.01">#REF!</definedName>
    <definedName name="_25.20.02" localSheetId="2">#REF!</definedName>
    <definedName name="_25.20.02" localSheetId="1">#REF!</definedName>
    <definedName name="_25.20.02" localSheetId="17">#REF!</definedName>
    <definedName name="_25.20.02">#REF!</definedName>
    <definedName name="_25.20.03" localSheetId="2">#REF!</definedName>
    <definedName name="_25.20.03" localSheetId="1">#REF!</definedName>
    <definedName name="_25.20.03" localSheetId="17">#REF!</definedName>
    <definedName name="_25.20.03">#REF!</definedName>
    <definedName name="_25.21.01" localSheetId="2">#REF!</definedName>
    <definedName name="_25.21.01" localSheetId="1">#REF!</definedName>
    <definedName name="_25.21.01" localSheetId="17">#REF!</definedName>
    <definedName name="_25.21.01">#REF!</definedName>
    <definedName name="_25.88.17.01" localSheetId="2">#REF!</definedName>
    <definedName name="_25.88.17.01" localSheetId="1">#REF!</definedName>
    <definedName name="_25.88.17.01" localSheetId="17">#REF!</definedName>
    <definedName name="_25.88.17.01">#REF!</definedName>
    <definedName name="_25.88.19.01" localSheetId="2">#REF!</definedName>
    <definedName name="_25.88.19.01" localSheetId="1">#REF!</definedName>
    <definedName name="_25.88.19.01" localSheetId="17">#REF!</definedName>
    <definedName name="_25.88.19.01">#REF!</definedName>
    <definedName name="_25.88.19.02" localSheetId="2">#REF!</definedName>
    <definedName name="_25.88.19.02" localSheetId="1">#REF!</definedName>
    <definedName name="_25.88.19.02" localSheetId="17">#REF!</definedName>
    <definedName name="_25.88.19.02">#REF!</definedName>
    <definedName name="_25.88.20.01" localSheetId="2">#REF!</definedName>
    <definedName name="_25.88.20.01" localSheetId="1">#REF!</definedName>
    <definedName name="_25.88.20.01" localSheetId="17">#REF!</definedName>
    <definedName name="_25.88.20.01">#REF!</definedName>
    <definedName name="_26.01.01" localSheetId="2">#REF!</definedName>
    <definedName name="_26.01.01" localSheetId="1">#REF!</definedName>
    <definedName name="_26.01.01" localSheetId="17">#REF!</definedName>
    <definedName name="_26.01.01">#REF!</definedName>
    <definedName name="_26.02.03" localSheetId="2">#REF!</definedName>
    <definedName name="_26.02.03" localSheetId="1">#REF!</definedName>
    <definedName name="_26.02.03" localSheetId="17">#REF!</definedName>
    <definedName name="_26.02.03">#REF!</definedName>
    <definedName name="_26.02.04" localSheetId="2">#REF!</definedName>
    <definedName name="_26.02.04" localSheetId="1">#REF!</definedName>
    <definedName name="_26.02.04" localSheetId="17">#REF!</definedName>
    <definedName name="_26.02.04">#REF!</definedName>
    <definedName name="_26.02.06" localSheetId="2">#REF!</definedName>
    <definedName name="_26.02.06" localSheetId="1">#REF!</definedName>
    <definedName name="_26.02.06" localSheetId="17">#REF!</definedName>
    <definedName name="_26.02.06">#REF!</definedName>
    <definedName name="_26.02.15" localSheetId="2">#REF!</definedName>
    <definedName name="_26.02.15" localSheetId="1">#REF!</definedName>
    <definedName name="_26.02.15" localSheetId="17">#REF!</definedName>
    <definedName name="_26.02.15">#REF!</definedName>
    <definedName name="_26.02.17" localSheetId="2">#REF!</definedName>
    <definedName name="_26.02.17" localSheetId="1">#REF!</definedName>
    <definedName name="_26.02.17" localSheetId="17">#REF!</definedName>
    <definedName name="_26.02.17">#REF!</definedName>
    <definedName name="_26.02.19" localSheetId="2">#REF!</definedName>
    <definedName name="_26.02.19" localSheetId="1">#REF!</definedName>
    <definedName name="_26.02.19" localSheetId="17">#REF!</definedName>
    <definedName name="_26.02.19">#REF!</definedName>
    <definedName name="_26.03.25" localSheetId="2">#REF!</definedName>
    <definedName name="_26.03.25" localSheetId="1">#REF!</definedName>
    <definedName name="_26.03.25" localSheetId="17">#REF!</definedName>
    <definedName name="_26.03.25">#REF!</definedName>
    <definedName name="_26.03.26" localSheetId="2">#REF!</definedName>
    <definedName name="_26.03.26" localSheetId="1">#REF!</definedName>
    <definedName name="_26.03.26" localSheetId="17">#REF!</definedName>
    <definedName name="_26.03.26">#REF!</definedName>
    <definedName name="_26.04.04" localSheetId="2">#REF!</definedName>
    <definedName name="_26.04.04" localSheetId="1">#REF!</definedName>
    <definedName name="_26.04.04" localSheetId="17">#REF!</definedName>
    <definedName name="_26.04.04">#REF!</definedName>
    <definedName name="_26.05.01" localSheetId="2">#REF!</definedName>
    <definedName name="_26.05.01" localSheetId="1">#REF!</definedName>
    <definedName name="_26.05.01" localSheetId="17">#REF!</definedName>
    <definedName name="_26.05.01">#REF!</definedName>
    <definedName name="_26.05.02" localSheetId="2">#REF!</definedName>
    <definedName name="_26.05.02" localSheetId="1">#REF!</definedName>
    <definedName name="_26.05.02" localSheetId="17">#REF!</definedName>
    <definedName name="_26.05.02">#REF!</definedName>
    <definedName name="_26.05.05" localSheetId="2">#REF!</definedName>
    <definedName name="_26.05.05" localSheetId="1">#REF!</definedName>
    <definedName name="_26.05.05" localSheetId="17">#REF!</definedName>
    <definedName name="_26.05.05">#REF!</definedName>
    <definedName name="_26.06.02" localSheetId="2">#REF!</definedName>
    <definedName name="_26.06.02" localSheetId="1">#REF!</definedName>
    <definedName name="_26.06.02" localSheetId="17">#REF!</definedName>
    <definedName name="_26.06.02">#REF!</definedName>
    <definedName name="_26.06.04" localSheetId="2">#REF!</definedName>
    <definedName name="_26.06.04" localSheetId="1">#REF!</definedName>
    <definedName name="_26.06.04" localSheetId="17">#REF!</definedName>
    <definedName name="_26.06.04">#REF!</definedName>
    <definedName name="_26.07.05" localSheetId="2">#REF!</definedName>
    <definedName name="_26.07.05" localSheetId="1">#REF!</definedName>
    <definedName name="_26.07.05" localSheetId="17">#REF!</definedName>
    <definedName name="_26.07.05">#REF!</definedName>
    <definedName name="_26.07.13.04" localSheetId="2">#REF!</definedName>
    <definedName name="_26.07.13.04" localSheetId="1">#REF!</definedName>
    <definedName name="_26.07.13.04" localSheetId="17">#REF!</definedName>
    <definedName name="_26.07.13.04">#REF!</definedName>
    <definedName name="_26.08.01" localSheetId="2">#REF!</definedName>
    <definedName name="_26.08.01" localSheetId="1">#REF!</definedName>
    <definedName name="_26.08.01" localSheetId="17">#REF!</definedName>
    <definedName name="_26.08.01">#REF!</definedName>
    <definedName name="_26.09.01" localSheetId="2">#REF!</definedName>
    <definedName name="_26.09.01" localSheetId="1">#REF!</definedName>
    <definedName name="_26.09.01" localSheetId="17">#REF!</definedName>
    <definedName name="_26.09.01">#REF!</definedName>
    <definedName name="_26.09.05" localSheetId="2">#REF!</definedName>
    <definedName name="_26.09.05" localSheetId="1">#REF!</definedName>
    <definedName name="_26.09.05" localSheetId="17">#REF!</definedName>
    <definedName name="_26.09.05">#REF!</definedName>
    <definedName name="_26.09.09" localSheetId="2">#REF!</definedName>
    <definedName name="_26.09.09" localSheetId="1">#REF!</definedName>
    <definedName name="_26.09.09" localSheetId="17">#REF!</definedName>
    <definedName name="_26.09.09">#REF!</definedName>
    <definedName name="_26.09.13" localSheetId="2">#REF!</definedName>
    <definedName name="_26.09.13" localSheetId="1">#REF!</definedName>
    <definedName name="_26.09.13" localSheetId="17">#REF!</definedName>
    <definedName name="_26.09.13">#REF!</definedName>
    <definedName name="_26.10.01" localSheetId="2">#REF!</definedName>
    <definedName name="_26.10.01" localSheetId="1">#REF!</definedName>
    <definedName name="_26.10.01" localSheetId="17">#REF!</definedName>
    <definedName name="_26.10.01">#REF!</definedName>
    <definedName name="_26.10.03" localSheetId="2">#REF!</definedName>
    <definedName name="_26.10.03" localSheetId="1">#REF!</definedName>
    <definedName name="_26.10.03" localSheetId="17">#REF!</definedName>
    <definedName name="_26.10.03">#REF!</definedName>
    <definedName name="_26.25.04.13" localSheetId="2">#REF!</definedName>
    <definedName name="_26.25.04.13" localSheetId="1">#REF!</definedName>
    <definedName name="_26.25.04.13" localSheetId="17">#REF!</definedName>
    <definedName name="_26.25.04.13">#REF!</definedName>
    <definedName name="_26.25.04.14" localSheetId="2">#REF!</definedName>
    <definedName name="_26.25.04.14" localSheetId="1">#REF!</definedName>
    <definedName name="_26.25.04.14" localSheetId="17">#REF!</definedName>
    <definedName name="_26.25.04.14">#REF!</definedName>
    <definedName name="_26.25.04.21" localSheetId="2">#REF!</definedName>
    <definedName name="_26.25.04.21" localSheetId="1">#REF!</definedName>
    <definedName name="_26.25.04.21" localSheetId="17">#REF!</definedName>
    <definedName name="_26.25.04.21">#REF!</definedName>
    <definedName name="_26.88.13.01" localSheetId="2">#REF!</definedName>
    <definedName name="_26.88.13.01" localSheetId="1">#REF!</definedName>
    <definedName name="_26.88.13.01" localSheetId="17">#REF!</definedName>
    <definedName name="_26.88.13.01">#REF!</definedName>
    <definedName name="_26.88.45.30" localSheetId="2">#REF!</definedName>
    <definedName name="_26.88.45.30" localSheetId="1">#REF!</definedName>
    <definedName name="_26.88.45.30" localSheetId="17">#REF!</definedName>
    <definedName name="_26.88.45.30">#REF!</definedName>
    <definedName name="_26.88.45.31" localSheetId="2">#REF!</definedName>
    <definedName name="_26.88.45.31" localSheetId="1">#REF!</definedName>
    <definedName name="_26.88.45.31" localSheetId="17">#REF!</definedName>
    <definedName name="_26.88.45.31">#REF!</definedName>
    <definedName name="_26.88.45.32" localSheetId="2">#REF!</definedName>
    <definedName name="_26.88.45.32" localSheetId="1">#REF!</definedName>
    <definedName name="_26.88.45.32" localSheetId="17">#REF!</definedName>
    <definedName name="_26.88.45.32">#REF!</definedName>
    <definedName name="_26.88.45.33" localSheetId="2">#REF!</definedName>
    <definedName name="_26.88.45.33" localSheetId="1">#REF!</definedName>
    <definedName name="_26.88.45.33" localSheetId="17">#REF!</definedName>
    <definedName name="_26.88.45.33">#REF!</definedName>
    <definedName name="_26.88.45.34" localSheetId="2">#REF!</definedName>
    <definedName name="_26.88.45.34" localSheetId="1">#REF!</definedName>
    <definedName name="_26.88.45.34" localSheetId="17">#REF!</definedName>
    <definedName name="_26.88.45.34">#REF!</definedName>
    <definedName name="_26.88.45.35" localSheetId="2">#REF!</definedName>
    <definedName name="_26.88.45.35" localSheetId="1">#REF!</definedName>
    <definedName name="_26.88.45.35" localSheetId="17">#REF!</definedName>
    <definedName name="_26.88.45.35">#REF!</definedName>
    <definedName name="_26.88.51.01" localSheetId="2">#REF!</definedName>
    <definedName name="_26.88.51.01" localSheetId="1">#REF!</definedName>
    <definedName name="_26.88.51.01" localSheetId="17">#REF!</definedName>
    <definedName name="_26.88.51.01">#REF!</definedName>
    <definedName name="_26.88.76.04" localSheetId="2">#REF!</definedName>
    <definedName name="_26.88.76.04" localSheetId="1">#REF!</definedName>
    <definedName name="_26.88.76.04" localSheetId="17">#REF!</definedName>
    <definedName name="_26.88.76.04">#REF!</definedName>
    <definedName name="_26.88.76.05" localSheetId="2">#REF!</definedName>
    <definedName name="_26.88.76.05" localSheetId="1">#REF!</definedName>
    <definedName name="_26.88.76.05" localSheetId="17">#REF!</definedName>
    <definedName name="_26.88.76.05">#REF!</definedName>
    <definedName name="_26.88.76.06" localSheetId="2">#REF!</definedName>
    <definedName name="_26.88.76.06" localSheetId="1">#REF!</definedName>
    <definedName name="_26.88.76.06" localSheetId="17">#REF!</definedName>
    <definedName name="_26.88.76.06">#REF!</definedName>
    <definedName name="_28.01.04.01" localSheetId="2">#REF!</definedName>
    <definedName name="_28.01.04.01" localSheetId="1">#REF!</definedName>
    <definedName name="_28.01.04.01" localSheetId="17">#REF!</definedName>
    <definedName name="_28.01.04.01">#REF!</definedName>
    <definedName name="_28.01.05.01" localSheetId="2">#REF!</definedName>
    <definedName name="_28.01.05.01" localSheetId="1">#REF!</definedName>
    <definedName name="_28.01.05.01" localSheetId="17">#REF!</definedName>
    <definedName name="_28.01.05.01">#REF!</definedName>
    <definedName name="_28.01.24.01" localSheetId="2">#REF!</definedName>
    <definedName name="_28.01.24.01" localSheetId="1">#REF!</definedName>
    <definedName name="_28.01.24.01" localSheetId="17">#REF!</definedName>
    <definedName name="_28.01.24.01">#REF!</definedName>
    <definedName name="_28.01.25.01" localSheetId="2">#REF!</definedName>
    <definedName name="_28.01.25.01" localSheetId="1">#REF!</definedName>
    <definedName name="_28.01.25.01" localSheetId="17">#REF!</definedName>
    <definedName name="_28.01.25.01">#REF!</definedName>
    <definedName name="_28.03.03" localSheetId="2">#REF!</definedName>
    <definedName name="_28.03.03" localSheetId="1">#REF!</definedName>
    <definedName name="_28.03.03" localSheetId="17">#REF!</definedName>
    <definedName name="_28.03.03">#REF!</definedName>
    <definedName name="_28.03.05" localSheetId="2">#REF!</definedName>
    <definedName name="_28.03.05" localSheetId="1">#REF!</definedName>
    <definedName name="_28.03.05" localSheetId="17">#REF!</definedName>
    <definedName name="_28.03.05">#REF!</definedName>
    <definedName name="_28.03.06" localSheetId="2">#REF!</definedName>
    <definedName name="_28.03.06" localSheetId="1">#REF!</definedName>
    <definedName name="_28.03.06" localSheetId="17">#REF!</definedName>
    <definedName name="_28.03.06">#REF!</definedName>
    <definedName name="_28.03.09" localSheetId="2">#REF!</definedName>
    <definedName name="_28.03.09" localSheetId="1">#REF!</definedName>
    <definedName name="_28.03.09" localSheetId="17">#REF!</definedName>
    <definedName name="_28.03.09">#REF!</definedName>
    <definedName name="_28.03.09.01" localSheetId="2">#REF!</definedName>
    <definedName name="_28.03.09.01" localSheetId="1">#REF!</definedName>
    <definedName name="_28.03.09.01" localSheetId="17">#REF!</definedName>
    <definedName name="_28.03.09.01">#REF!</definedName>
    <definedName name="_28.06.11" localSheetId="2">#REF!</definedName>
    <definedName name="_28.06.11" localSheetId="1">#REF!</definedName>
    <definedName name="_28.06.11" localSheetId="17">#REF!</definedName>
    <definedName name="_28.06.11">#REF!</definedName>
    <definedName name="_28.06.18" localSheetId="2">#REF!</definedName>
    <definedName name="_28.06.18" localSheetId="1">#REF!</definedName>
    <definedName name="_28.06.18" localSheetId="17">#REF!</definedName>
    <definedName name="_28.06.18">#REF!</definedName>
    <definedName name="_28.06.23" localSheetId="2">#REF!</definedName>
    <definedName name="_28.06.23" localSheetId="1">#REF!</definedName>
    <definedName name="_28.06.23" localSheetId="17">#REF!</definedName>
    <definedName name="_28.06.23">#REF!</definedName>
    <definedName name="_28.07.01" localSheetId="2">#REF!</definedName>
    <definedName name="_28.07.01" localSheetId="1">#REF!</definedName>
    <definedName name="_28.07.01" localSheetId="17">#REF!</definedName>
    <definedName name="_28.07.01">#REF!</definedName>
    <definedName name="_28.08.01.01" localSheetId="2">#REF!</definedName>
    <definedName name="_28.08.01.01" localSheetId="1">#REF!</definedName>
    <definedName name="_28.08.01.01" localSheetId="17">#REF!</definedName>
    <definedName name="_28.08.01.01">#REF!</definedName>
    <definedName name="_28.08.02.01" localSheetId="2">#REF!</definedName>
    <definedName name="_28.08.02.01" localSheetId="1">#REF!</definedName>
    <definedName name="_28.08.02.01" localSheetId="17">#REF!</definedName>
    <definedName name="_28.08.02.01">#REF!</definedName>
    <definedName name="_28.88.35.01" localSheetId="2">#REF!</definedName>
    <definedName name="_28.88.35.01" localSheetId="1">#REF!</definedName>
    <definedName name="_28.88.35.01" localSheetId="17">#REF!</definedName>
    <definedName name="_28.88.35.01">#REF!</definedName>
    <definedName name="_3" localSheetId="15">#REF!</definedName>
    <definedName name="_3" localSheetId="4">#REF!</definedName>
    <definedName name="_3" localSheetId="9">#REF!</definedName>
    <definedName name="_3" localSheetId="0">#REF!</definedName>
    <definedName name="_3" localSheetId="2">#REF!</definedName>
    <definedName name="_3" localSheetId="1">#REF!</definedName>
    <definedName name="_3" localSheetId="12">#REF!</definedName>
    <definedName name="_3" localSheetId="11">#REF!</definedName>
    <definedName name="_3" localSheetId="17">#REF!</definedName>
    <definedName name="_3">#REF!</definedName>
    <definedName name="_30.01.01" localSheetId="2">#REF!</definedName>
    <definedName name="_30.01.01" localSheetId="1">#REF!</definedName>
    <definedName name="_30.01.01" localSheetId="17">#REF!</definedName>
    <definedName name="_30.01.01">#REF!</definedName>
    <definedName name="_30.01.02" localSheetId="2">#REF!</definedName>
    <definedName name="_30.01.02" localSheetId="1">#REF!</definedName>
    <definedName name="_30.01.02" localSheetId="17">#REF!</definedName>
    <definedName name="_30.01.02">#REF!</definedName>
    <definedName name="_30.01.06" localSheetId="2">#REF!</definedName>
    <definedName name="_30.01.06" localSheetId="1">#REF!</definedName>
    <definedName name="_30.01.06" localSheetId="17">#REF!</definedName>
    <definedName name="_30.01.06">#REF!</definedName>
    <definedName name="_30.01.21" localSheetId="2">#REF!</definedName>
    <definedName name="_30.01.21" localSheetId="1">#REF!</definedName>
    <definedName name="_30.01.21" localSheetId="17">#REF!</definedName>
    <definedName name="_30.01.21">#REF!</definedName>
    <definedName name="_30.01.22" localSheetId="2">#REF!</definedName>
    <definedName name="_30.01.22" localSheetId="1">#REF!</definedName>
    <definedName name="_30.01.22" localSheetId="17">#REF!</definedName>
    <definedName name="_30.01.22">#REF!</definedName>
    <definedName name="_33" localSheetId="15">#REF!</definedName>
    <definedName name="_33" localSheetId="4">#REF!</definedName>
    <definedName name="_33" localSheetId="9">#REF!</definedName>
    <definedName name="_33" localSheetId="0">#REF!</definedName>
    <definedName name="_33" localSheetId="2">#REF!</definedName>
    <definedName name="_33" localSheetId="1">#REF!</definedName>
    <definedName name="_33" localSheetId="12">#REF!</definedName>
    <definedName name="_33" localSheetId="17">#REF!</definedName>
    <definedName name="_33">#REF!</definedName>
    <definedName name="_36.01.01.01" localSheetId="2">#REF!</definedName>
    <definedName name="_36.01.01.01" localSheetId="1">#REF!</definedName>
    <definedName name="_36.01.01.01" localSheetId="17">#REF!</definedName>
    <definedName name="_36.01.01.01">#REF!</definedName>
    <definedName name="_36.01.01.02" localSheetId="2">#REF!</definedName>
    <definedName name="_36.01.01.02" localSheetId="1">#REF!</definedName>
    <definedName name="_36.01.01.02" localSheetId="17">#REF!</definedName>
    <definedName name="_36.01.01.02">#REF!</definedName>
    <definedName name="_36.01.01.03" localSheetId="2">#REF!</definedName>
    <definedName name="_36.01.01.03" localSheetId="1">#REF!</definedName>
    <definedName name="_36.01.01.03" localSheetId="17">#REF!</definedName>
    <definedName name="_36.01.01.03">#REF!</definedName>
    <definedName name="_4" localSheetId="15">#REF!</definedName>
    <definedName name="_4" localSheetId="4">#REF!</definedName>
    <definedName name="_4" localSheetId="9">#REF!</definedName>
    <definedName name="_4" localSheetId="2">#REF!</definedName>
    <definedName name="_4" localSheetId="1">#REF!</definedName>
    <definedName name="_4" localSheetId="12">#REF!</definedName>
    <definedName name="_4" localSheetId="17">#REF!</definedName>
    <definedName name="_4">#REF!</definedName>
    <definedName name="_72.02.01.05" localSheetId="2">#REF!</definedName>
    <definedName name="_72.02.01.05" localSheetId="1">#REF!</definedName>
    <definedName name="_72.02.01.05" localSheetId="17">#REF!</definedName>
    <definedName name="_72.02.01.05">#REF!</definedName>
    <definedName name="_72.02.01.06" localSheetId="2">#REF!</definedName>
    <definedName name="_72.02.01.06" localSheetId="1">#REF!</definedName>
    <definedName name="_72.02.01.06" localSheetId="17">#REF!</definedName>
    <definedName name="_72.02.01.06">#REF!</definedName>
    <definedName name="_A254001" localSheetId="15">#REF!</definedName>
    <definedName name="_A254001" localSheetId="4">#REF!</definedName>
    <definedName name="_A254001" localSheetId="9">#REF!</definedName>
    <definedName name="_A254001" localSheetId="0">#REF!</definedName>
    <definedName name="_A254001" localSheetId="7">#REF!</definedName>
    <definedName name="_A254001" localSheetId="2">#REF!</definedName>
    <definedName name="_A254001" localSheetId="1">#REF!</definedName>
    <definedName name="_A254001" localSheetId="13">#REF!</definedName>
    <definedName name="_A254001" localSheetId="12">#REF!</definedName>
    <definedName name="_A254001" localSheetId="11">#REF!</definedName>
    <definedName name="_A254001" localSheetId="17">#REF!</definedName>
    <definedName name="_A254001">#REF!</definedName>
    <definedName name="_A810101" localSheetId="15">#REF!</definedName>
    <definedName name="_A810101" localSheetId="4">#REF!</definedName>
    <definedName name="_A810101" localSheetId="9">#REF!</definedName>
    <definedName name="_A810101" localSheetId="0">#REF!</definedName>
    <definedName name="_A810101" localSheetId="7">#REF!</definedName>
    <definedName name="_A810101" localSheetId="2">#REF!</definedName>
    <definedName name="_A810101" localSheetId="1">#REF!</definedName>
    <definedName name="_A810101" localSheetId="13">#REF!</definedName>
    <definedName name="_A810101" localSheetId="12">#REF!</definedName>
    <definedName name="_A810101" localSheetId="11">#REF!</definedName>
    <definedName name="_A810101" localSheetId="17">#REF!</definedName>
    <definedName name="_A810101">#REF!</definedName>
    <definedName name="_A810102" localSheetId="15">#REF!</definedName>
    <definedName name="_A810102" localSheetId="4">#REF!</definedName>
    <definedName name="_A810102" localSheetId="9">#REF!</definedName>
    <definedName name="_A810102" localSheetId="0">#REF!</definedName>
    <definedName name="_A810102" localSheetId="7">#REF!</definedName>
    <definedName name="_A810102" localSheetId="2">#REF!</definedName>
    <definedName name="_A810102" localSheetId="1">#REF!</definedName>
    <definedName name="_A810102" localSheetId="13">#REF!</definedName>
    <definedName name="_A810102" localSheetId="12">#REF!</definedName>
    <definedName name="_A810102" localSheetId="11">#REF!</definedName>
    <definedName name="_A810102" localSheetId="17">#REF!</definedName>
    <definedName name="_A810102">#REF!</definedName>
    <definedName name="_A810105555" localSheetId="4">#REF!</definedName>
    <definedName name="_A810105555" localSheetId="9">#REF!</definedName>
    <definedName name="_A810105555" localSheetId="0">#REF!</definedName>
    <definedName name="_A810105555" localSheetId="2">#REF!</definedName>
    <definedName name="_A810105555" localSheetId="1">#REF!</definedName>
    <definedName name="_A810105555" localSheetId="12">#REF!</definedName>
    <definedName name="_A810105555" localSheetId="17">#REF!</definedName>
    <definedName name="_A810105555">#REF!</definedName>
    <definedName name="_A810112" localSheetId="15">#REF!</definedName>
    <definedName name="_A810112" localSheetId="4">#REF!</definedName>
    <definedName name="_A810112" localSheetId="9">#REF!</definedName>
    <definedName name="_A810112" localSheetId="0">#REF!</definedName>
    <definedName name="_A810112" localSheetId="7">#REF!</definedName>
    <definedName name="_A810112" localSheetId="2">#REF!</definedName>
    <definedName name="_A810112" localSheetId="1">#REF!</definedName>
    <definedName name="_A810112" localSheetId="13">#REF!</definedName>
    <definedName name="_A810112" localSheetId="12">#REF!</definedName>
    <definedName name="_A810112" localSheetId="11">#REF!</definedName>
    <definedName name="_A810112" localSheetId="17">#REF!</definedName>
    <definedName name="_A810112">#REF!</definedName>
    <definedName name="_A840300" localSheetId="15">#REF!</definedName>
    <definedName name="_A840300" localSheetId="4">#REF!</definedName>
    <definedName name="_A840300" localSheetId="9">#REF!</definedName>
    <definedName name="_A840300" localSheetId="0">#REF!</definedName>
    <definedName name="_A840300" localSheetId="7">#REF!</definedName>
    <definedName name="_A840300" localSheetId="2">#REF!</definedName>
    <definedName name="_A840300" localSheetId="1">#REF!</definedName>
    <definedName name="_A840300" localSheetId="13">#REF!</definedName>
    <definedName name="_A840300" localSheetId="12">#REF!</definedName>
    <definedName name="_A840300" localSheetId="11">#REF!</definedName>
    <definedName name="_A840300" localSheetId="17">#REF!</definedName>
    <definedName name="_A840300">#REF!</definedName>
    <definedName name="_AHAH" localSheetId="4">#REF!</definedName>
    <definedName name="_AHAH" localSheetId="9">#REF!</definedName>
    <definedName name="_AHAH" localSheetId="2">#REF!</definedName>
    <definedName name="_AHAH" localSheetId="1">#REF!</definedName>
    <definedName name="_AHAH" localSheetId="12">#REF!</definedName>
    <definedName name="_AHAH" localSheetId="17">#REF!</definedName>
    <definedName name="_AHAH">#REF!</definedName>
    <definedName name="_C" localSheetId="17">#REF!</definedName>
    <definedName name="_C">#REF!</definedName>
    <definedName name="_C_1" localSheetId="17">#REF!</definedName>
    <definedName name="_C_1">#REF!</definedName>
    <definedName name="_D" localSheetId="17">#REF!</definedName>
    <definedName name="_D">#REF!</definedName>
    <definedName name="_D_1" localSheetId="17">#REF!</definedName>
    <definedName name="_D_1">#REF!</definedName>
    <definedName name="_DAT1" localSheetId="15">#REF!</definedName>
    <definedName name="_DAT1" localSheetId="4">#REF!</definedName>
    <definedName name="_DAT1" localSheetId="9">#REF!</definedName>
    <definedName name="_DAT1" localSheetId="7">#REF!</definedName>
    <definedName name="_DAT1" localSheetId="2">#REF!</definedName>
    <definedName name="_DAT1" localSheetId="1">#REF!</definedName>
    <definedName name="_DAT1" localSheetId="12">#REF!</definedName>
    <definedName name="_DAT1" localSheetId="11">#REF!</definedName>
    <definedName name="_DAT1" localSheetId="17">#REF!</definedName>
    <definedName name="_DAT1">#REF!</definedName>
    <definedName name="_DAT10" localSheetId="15">#REF!</definedName>
    <definedName name="_DAT10" localSheetId="4">#REF!</definedName>
    <definedName name="_DAT10" localSheetId="9">#REF!</definedName>
    <definedName name="_DAT10" localSheetId="7">#REF!</definedName>
    <definedName name="_DAT10" localSheetId="2">#REF!</definedName>
    <definedName name="_DAT10" localSheetId="1">#REF!</definedName>
    <definedName name="_DAT10" localSheetId="12">#REF!</definedName>
    <definedName name="_DAT10" localSheetId="11">#REF!</definedName>
    <definedName name="_DAT10" localSheetId="17">#REF!</definedName>
    <definedName name="_DAT10">#REF!</definedName>
    <definedName name="_DAT11" localSheetId="15">#REF!</definedName>
    <definedName name="_DAT11" localSheetId="4">#REF!</definedName>
    <definedName name="_DAT11" localSheetId="9">#REF!</definedName>
    <definedName name="_DAT11" localSheetId="0">#REF!</definedName>
    <definedName name="_DAT11" localSheetId="7">#REF!</definedName>
    <definedName name="_DAT11" localSheetId="2">#REF!</definedName>
    <definedName name="_DAT11" localSheetId="1">#REF!</definedName>
    <definedName name="_DAT11" localSheetId="12">#REF!</definedName>
    <definedName name="_DAT11" localSheetId="11">#REF!</definedName>
    <definedName name="_DAT11" localSheetId="17">#REF!</definedName>
    <definedName name="_DAT11">#REF!</definedName>
    <definedName name="_DAT12" localSheetId="15">#REF!</definedName>
    <definedName name="_DAT12" localSheetId="4">#REF!</definedName>
    <definedName name="_DAT12" localSheetId="9">#REF!</definedName>
    <definedName name="_DAT12" localSheetId="0">#REF!</definedName>
    <definedName name="_DAT12" localSheetId="7">#REF!</definedName>
    <definedName name="_DAT12" localSheetId="2">#REF!</definedName>
    <definedName name="_DAT12" localSheetId="1">#REF!</definedName>
    <definedName name="_DAT12" localSheetId="12">#REF!</definedName>
    <definedName name="_DAT12" localSheetId="17">#REF!</definedName>
    <definedName name="_DAT12">#REF!</definedName>
    <definedName name="_DAT13" localSheetId="15">#REF!</definedName>
    <definedName name="_DAT13" localSheetId="4">#REF!</definedName>
    <definedName name="_DAT13" localSheetId="9">#REF!</definedName>
    <definedName name="_DAT13" localSheetId="0">#REF!</definedName>
    <definedName name="_DAT13" localSheetId="7">#REF!</definedName>
    <definedName name="_DAT13" localSheetId="2">#REF!</definedName>
    <definedName name="_DAT13" localSheetId="1">#REF!</definedName>
    <definedName name="_DAT13" localSheetId="12">#REF!</definedName>
    <definedName name="_DAT13" localSheetId="17">#REF!</definedName>
    <definedName name="_DAT13">#REF!</definedName>
    <definedName name="_DAT14" localSheetId="15">#REF!</definedName>
    <definedName name="_DAT14" localSheetId="4">#REF!</definedName>
    <definedName name="_DAT14" localSheetId="9">#REF!</definedName>
    <definedName name="_DAT14" localSheetId="0">#REF!</definedName>
    <definedName name="_DAT14" localSheetId="2">#REF!</definedName>
    <definedName name="_DAT14" localSheetId="1">#REF!</definedName>
    <definedName name="_DAT14" localSheetId="12">#REF!</definedName>
    <definedName name="_DAT14" localSheetId="17">#REF!</definedName>
    <definedName name="_DAT14">#REF!</definedName>
    <definedName name="_DAT15" localSheetId="15">#REF!</definedName>
    <definedName name="_DAT15" localSheetId="4">#REF!</definedName>
    <definedName name="_DAT15" localSheetId="9">#REF!</definedName>
    <definedName name="_DAT15" localSheetId="0">#REF!</definedName>
    <definedName name="_DAT15" localSheetId="2">#REF!</definedName>
    <definedName name="_DAT15" localSheetId="1">#REF!</definedName>
    <definedName name="_DAT15" localSheetId="12">#REF!</definedName>
    <definedName name="_DAT15" localSheetId="17">#REF!</definedName>
    <definedName name="_DAT15">#REF!</definedName>
    <definedName name="_DAT16" localSheetId="15">#REF!</definedName>
    <definedName name="_DAT16" localSheetId="4">#REF!</definedName>
    <definedName name="_DAT16" localSheetId="9">#REF!</definedName>
    <definedName name="_DAT16" localSheetId="0">#REF!</definedName>
    <definedName name="_DAT16" localSheetId="2">#REF!</definedName>
    <definedName name="_DAT16" localSheetId="1">#REF!</definedName>
    <definedName name="_DAT16" localSheetId="12">#REF!</definedName>
    <definedName name="_DAT16" localSheetId="17">#REF!</definedName>
    <definedName name="_DAT16">#REF!</definedName>
    <definedName name="_DAT17" localSheetId="15">#REF!</definedName>
    <definedName name="_DAT17" localSheetId="4">#REF!</definedName>
    <definedName name="_DAT17" localSheetId="9">#REF!</definedName>
    <definedName name="_DAT17" localSheetId="0">#REF!</definedName>
    <definedName name="_DAT17" localSheetId="2">#REF!</definedName>
    <definedName name="_DAT17" localSheetId="1">#REF!</definedName>
    <definedName name="_DAT17" localSheetId="12">#REF!</definedName>
    <definedName name="_DAT17" localSheetId="17">#REF!</definedName>
    <definedName name="_DAT17">#REF!</definedName>
    <definedName name="_DAT18" localSheetId="15">#REF!</definedName>
    <definedName name="_DAT18" localSheetId="4">#REF!</definedName>
    <definedName name="_DAT18" localSheetId="9">#REF!</definedName>
    <definedName name="_DAT18" localSheetId="0">#REF!</definedName>
    <definedName name="_DAT18" localSheetId="2">#REF!</definedName>
    <definedName name="_DAT18" localSheetId="1">#REF!</definedName>
    <definedName name="_DAT18" localSheetId="12">#REF!</definedName>
    <definedName name="_DAT18" localSheetId="17">#REF!</definedName>
    <definedName name="_DAT18">#REF!</definedName>
    <definedName name="_DAT19" localSheetId="15">#REF!</definedName>
    <definedName name="_DAT19" localSheetId="4">#REF!</definedName>
    <definedName name="_DAT19" localSheetId="9">#REF!</definedName>
    <definedName name="_DAT19" localSheetId="0">#REF!</definedName>
    <definedName name="_DAT19" localSheetId="2">#REF!</definedName>
    <definedName name="_DAT19" localSheetId="1">#REF!</definedName>
    <definedName name="_DAT19" localSheetId="12">#REF!</definedName>
    <definedName name="_DAT19" localSheetId="17">#REF!</definedName>
    <definedName name="_DAT19">#REF!</definedName>
    <definedName name="_DAT2" localSheetId="15">#REF!</definedName>
    <definedName name="_DAT2" localSheetId="4">#REF!</definedName>
    <definedName name="_DAT2" localSheetId="9">#REF!</definedName>
    <definedName name="_DAT2" localSheetId="0">#REF!</definedName>
    <definedName name="_DAT2" localSheetId="2">#REF!</definedName>
    <definedName name="_DAT2" localSheetId="1">#REF!</definedName>
    <definedName name="_DAT2" localSheetId="12">#REF!</definedName>
    <definedName name="_DAT2" localSheetId="17">#REF!</definedName>
    <definedName name="_DAT2">#REF!</definedName>
    <definedName name="_DAT20" localSheetId="15">#REF!</definedName>
    <definedName name="_DAT20" localSheetId="4">#REF!</definedName>
    <definedName name="_DAT20" localSheetId="9">#REF!</definedName>
    <definedName name="_DAT20" localSheetId="0">#REF!</definedName>
    <definedName name="_DAT20" localSheetId="2">#REF!</definedName>
    <definedName name="_DAT20" localSheetId="1">#REF!</definedName>
    <definedName name="_DAT20" localSheetId="12">#REF!</definedName>
    <definedName name="_DAT20" localSheetId="17">#REF!</definedName>
    <definedName name="_DAT20">#REF!</definedName>
    <definedName name="_DAT21" localSheetId="15">#REF!</definedName>
    <definedName name="_DAT21" localSheetId="4">#REF!</definedName>
    <definedName name="_DAT21" localSheetId="9">#REF!</definedName>
    <definedName name="_DAT21" localSheetId="0">#REF!</definedName>
    <definedName name="_DAT21" localSheetId="2">#REF!</definedName>
    <definedName name="_DAT21" localSheetId="1">#REF!</definedName>
    <definedName name="_DAT21" localSheetId="12">#REF!</definedName>
    <definedName name="_DAT21" localSheetId="17">#REF!</definedName>
    <definedName name="_DAT21">#REF!</definedName>
    <definedName name="_DAT22" localSheetId="15">#REF!</definedName>
    <definedName name="_DAT22" localSheetId="4">#REF!</definedName>
    <definedName name="_DAT22" localSheetId="9">#REF!</definedName>
    <definedName name="_DAT22" localSheetId="0">#REF!</definedName>
    <definedName name="_DAT22" localSheetId="2">#REF!</definedName>
    <definedName name="_DAT22" localSheetId="1">#REF!</definedName>
    <definedName name="_DAT22" localSheetId="12">#REF!</definedName>
    <definedName name="_DAT22" localSheetId="17">#REF!</definedName>
    <definedName name="_DAT22">#REF!</definedName>
    <definedName name="_DAT23" localSheetId="15">#REF!</definedName>
    <definedName name="_DAT23" localSheetId="4">#REF!</definedName>
    <definedName name="_DAT23" localSheetId="9">#REF!</definedName>
    <definedName name="_DAT23" localSheetId="0">#REF!</definedName>
    <definedName name="_DAT23" localSheetId="2">#REF!</definedName>
    <definedName name="_DAT23" localSheetId="1">#REF!</definedName>
    <definedName name="_DAT23" localSheetId="12">#REF!</definedName>
    <definedName name="_DAT23" localSheetId="17">#REF!</definedName>
    <definedName name="_DAT23">#REF!</definedName>
    <definedName name="_DAT24" localSheetId="15">#REF!</definedName>
    <definedName name="_DAT24" localSheetId="4">#REF!</definedName>
    <definedName name="_DAT24" localSheetId="9">#REF!</definedName>
    <definedName name="_DAT24" localSheetId="0">#REF!</definedName>
    <definedName name="_DAT24" localSheetId="2">#REF!</definedName>
    <definedName name="_DAT24" localSheetId="1">#REF!</definedName>
    <definedName name="_DAT24" localSheetId="12">#REF!</definedName>
    <definedName name="_DAT24" localSheetId="17">#REF!</definedName>
    <definedName name="_DAT24">#REF!</definedName>
    <definedName name="_DAT3" localSheetId="15">#REF!</definedName>
    <definedName name="_DAT3" localSheetId="4">#REF!</definedName>
    <definedName name="_DAT3" localSheetId="9">#REF!</definedName>
    <definedName name="_DAT3" localSheetId="0">#REF!</definedName>
    <definedName name="_DAT3" localSheetId="2">#REF!</definedName>
    <definedName name="_DAT3" localSheetId="1">#REF!</definedName>
    <definedName name="_DAT3" localSheetId="12">#REF!</definedName>
    <definedName name="_DAT3" localSheetId="17">#REF!</definedName>
    <definedName name="_DAT3">#REF!</definedName>
    <definedName name="_DAT4" localSheetId="15">#REF!</definedName>
    <definedName name="_DAT4" localSheetId="4">#REF!</definedName>
    <definedName name="_DAT4" localSheetId="9">#REF!</definedName>
    <definedName name="_DAT4" localSheetId="0">#REF!</definedName>
    <definedName name="_DAT4" localSheetId="2">#REF!</definedName>
    <definedName name="_DAT4" localSheetId="1">#REF!</definedName>
    <definedName name="_DAT4" localSheetId="12">#REF!</definedName>
    <definedName name="_DAT4" localSheetId="17">#REF!</definedName>
    <definedName name="_DAT4">#REF!</definedName>
    <definedName name="_DAT5" localSheetId="15">#REF!</definedName>
    <definedName name="_DAT5" localSheetId="4">#REF!</definedName>
    <definedName name="_DAT5" localSheetId="9">#REF!</definedName>
    <definedName name="_DAT5" localSheetId="0">#REF!</definedName>
    <definedName name="_DAT5" localSheetId="2">#REF!</definedName>
    <definedName name="_DAT5" localSheetId="1">#REF!</definedName>
    <definedName name="_DAT5" localSheetId="12">#REF!</definedName>
    <definedName name="_DAT5" localSheetId="17">#REF!</definedName>
    <definedName name="_DAT5">#REF!</definedName>
    <definedName name="_DAT6" localSheetId="15">#REF!</definedName>
    <definedName name="_DAT6" localSheetId="4">#REF!</definedName>
    <definedName name="_DAT6" localSheetId="9">#REF!</definedName>
    <definedName name="_DAT6" localSheetId="0">#REF!</definedName>
    <definedName name="_DAT6" localSheetId="7">#REF!</definedName>
    <definedName name="_DAT6" localSheetId="2">#REF!</definedName>
    <definedName name="_DAT6" localSheetId="1">#REF!</definedName>
    <definedName name="_DAT6" localSheetId="12">#REF!</definedName>
    <definedName name="_DAT6" localSheetId="11">#REF!</definedName>
    <definedName name="_DAT6" localSheetId="17">#REF!</definedName>
    <definedName name="_DAT6">#REF!</definedName>
    <definedName name="_DAT7" localSheetId="15">#REF!</definedName>
    <definedName name="_DAT7" localSheetId="4">#REF!</definedName>
    <definedName name="_DAT7" localSheetId="9">#REF!</definedName>
    <definedName name="_DAT7" localSheetId="0">#REF!</definedName>
    <definedName name="_DAT7" localSheetId="7">#REF!</definedName>
    <definedName name="_DAT7" localSheetId="2">#REF!</definedName>
    <definedName name="_DAT7" localSheetId="1">#REF!</definedName>
    <definedName name="_DAT7" localSheetId="12">#REF!</definedName>
    <definedName name="_DAT7" localSheetId="11">#REF!</definedName>
    <definedName name="_DAT7" localSheetId="17">#REF!</definedName>
    <definedName name="_DAT7">#REF!</definedName>
    <definedName name="_DAT8" localSheetId="15">#REF!</definedName>
    <definedName name="_DAT8" localSheetId="4">#REF!</definedName>
    <definedName name="_DAT8" localSheetId="9">#REF!</definedName>
    <definedName name="_DAT8" localSheetId="0">#REF!</definedName>
    <definedName name="_DAT8" localSheetId="7">#REF!</definedName>
    <definedName name="_DAT8" localSheetId="2">#REF!</definedName>
    <definedName name="_DAT8" localSheetId="1">#REF!</definedName>
    <definedName name="_DAT8" localSheetId="12">#REF!</definedName>
    <definedName name="_DAT8" localSheetId="17">#REF!</definedName>
    <definedName name="_DAT8">#REF!</definedName>
    <definedName name="_DAT9" localSheetId="15">#REF!</definedName>
    <definedName name="_DAT9" localSheetId="4">#REF!</definedName>
    <definedName name="_DAT9" localSheetId="9">#REF!</definedName>
    <definedName name="_DAT9" localSheetId="0">#REF!</definedName>
    <definedName name="_DAT9" localSheetId="7">#REF!</definedName>
    <definedName name="_DAT9" localSheetId="2">#REF!</definedName>
    <definedName name="_DAT9" localSheetId="1">#REF!</definedName>
    <definedName name="_DAT9" localSheetId="12">#REF!</definedName>
    <definedName name="_DAT9" localSheetId="17">#REF!</definedName>
    <definedName name="_DAT9">#REF!</definedName>
    <definedName name="_eu2" localSheetId="15" hidden="1">{#N/A,#N/A,FALSE,"MO (2)"}</definedName>
    <definedName name="_eu2" localSheetId="8" hidden="1">{#N/A,#N/A,FALSE,"MO (2)"}</definedName>
    <definedName name="_eu2" localSheetId="6" hidden="1">{#N/A,#N/A,FALSE,"MO (2)"}</definedName>
    <definedName name="_eu2" localSheetId="2" hidden="1">{#N/A,#N/A,FALSE,"MO (2)"}</definedName>
    <definedName name="_eu2" localSheetId="13" hidden="1">{#N/A,#N/A,FALSE,"MO (2)"}</definedName>
    <definedName name="_eu2" localSheetId="12" hidden="1">{#N/A,#N/A,FALSE,"MO (2)"}</definedName>
    <definedName name="_eu2" localSheetId="17" hidden="1">{#N/A,#N/A,FALSE,"MO (2)"}</definedName>
    <definedName name="_eu2" hidden="1">{#N/A,#N/A,FALSE,"MO (2)"}</definedName>
    <definedName name="_FCCEMED_" localSheetId="2">#REF!</definedName>
    <definedName name="_FCCEMED_">#REF!</definedName>
    <definedName name="_Fill" localSheetId="2">#REF!</definedName>
    <definedName name="_Fill" localSheetId="1">#REF!</definedName>
    <definedName name="_Fill" localSheetId="17">#REF!</definedName>
    <definedName name="_Fill">#REF!</definedName>
    <definedName name="_fill1" localSheetId="2">#REF!</definedName>
    <definedName name="_fill1" localSheetId="1">#REF!</definedName>
    <definedName name="_fill1" localSheetId="17">#REF!</definedName>
    <definedName name="_fill1">#REF!</definedName>
    <definedName name="_xlnm._FilterDatabase" localSheetId="16" hidden="1">'CALÇADA - JDA-E2'!$M$4:$P$49</definedName>
    <definedName name="_xlnm._FilterDatabase" localSheetId="9" hidden="1">'DISP. DRENAGEM - JDML'!$B$3:$H$3</definedName>
    <definedName name="_xlnm._FilterDatabase" localSheetId="8" hidden="1">'DRENAGEM - JDA-E2'!$B$13:$AR$19</definedName>
    <definedName name="_xlnm._FilterDatabase" localSheetId="7" hidden="1">'DRENAGEM - JDML'!$B$14:$AR$37</definedName>
    <definedName name="_G" localSheetId="2">#REF!</definedName>
    <definedName name="_G" localSheetId="17">#REF!</definedName>
    <definedName name="_G">#REF!</definedName>
    <definedName name="_G_1" localSheetId="17">#REF!</definedName>
    <definedName name="_G_1">#REF!</definedName>
    <definedName name="_GOTO_D1_" localSheetId="17">#REF!</definedName>
    <definedName name="_GOTO_D1_">#REF!</definedName>
    <definedName name="_GOTO_E1_" localSheetId="17">#REF!</definedName>
    <definedName name="_GOTO_E1_">#REF!</definedName>
    <definedName name="_GOTO_N1_" localSheetId="17">#REF!</definedName>
    <definedName name="_GOTO_N1_">#REF!</definedName>
    <definedName name="_HOME__" localSheetId="17">#REF!</definedName>
    <definedName name="_HOME__">#REF!</definedName>
    <definedName name="_I" localSheetId="17">#REF!</definedName>
    <definedName name="_I">#REF!</definedName>
    <definedName name="_I_1" localSheetId="17">#REF!</definedName>
    <definedName name="_I_1">#REF!</definedName>
    <definedName name="_IRM1" localSheetId="15" hidden="1">{#N/A,#N/A,FALSE,"MO (2)"}</definedName>
    <definedName name="_IRM1" localSheetId="8" hidden="1">{#N/A,#N/A,FALSE,"MO (2)"}</definedName>
    <definedName name="_IRM1" localSheetId="6" hidden="1">{#N/A,#N/A,FALSE,"MO (2)"}</definedName>
    <definedName name="_IRM1" localSheetId="2" hidden="1">{#N/A,#N/A,FALSE,"MO (2)"}</definedName>
    <definedName name="_IRM1" localSheetId="13" hidden="1">{#N/A,#N/A,FALSE,"MO (2)"}</definedName>
    <definedName name="_IRM1" localSheetId="12" hidden="1">{#N/A,#N/A,FALSE,"MO (2)"}</definedName>
    <definedName name="_IRM1" localSheetId="17" hidden="1">{#N/A,#N/A,FALSE,"MO (2)"}</definedName>
    <definedName name="_IRM1" hidden="1">{#N/A,#N/A,FALSE,"MO (2)"}</definedName>
    <definedName name="_Key1" localSheetId="15" hidden="1">#REF!</definedName>
    <definedName name="_Key1" localSheetId="4" hidden="1">#REF!</definedName>
    <definedName name="_Key1" localSheetId="9" hidden="1">#REF!</definedName>
    <definedName name="_Key1" localSheetId="0" hidden="1">#REF!</definedName>
    <definedName name="_Key1" localSheetId="8" hidden="1">#REF!</definedName>
    <definedName name="_Key1" localSheetId="7" hidden="1">#REF!</definedName>
    <definedName name="_Key1" localSheetId="2" hidden="1">#REF!</definedName>
    <definedName name="_Key1" localSheetId="1" hidden="1">#REF!</definedName>
    <definedName name="_Key1" localSheetId="13" hidden="1">#REF!</definedName>
    <definedName name="_Key1" localSheetId="12" hidden="1">#REF!</definedName>
    <definedName name="_Key1" localSheetId="11" hidden="1">#REF!</definedName>
    <definedName name="_Key1" localSheetId="18" hidden="1">#REF!</definedName>
    <definedName name="_Key1" localSheetId="17" hidden="1">#REF!</definedName>
    <definedName name="_Key1" hidden="1">#REF!</definedName>
    <definedName name="_Key2" localSheetId="15" hidden="1">#REF!</definedName>
    <definedName name="_Key2" localSheetId="4" hidden="1">#REF!</definedName>
    <definedName name="_Key2" localSheetId="9" hidden="1">#REF!</definedName>
    <definedName name="_Key2" localSheetId="0" hidden="1">#REF!</definedName>
    <definedName name="_Key2" localSheetId="8" hidden="1">#REF!</definedName>
    <definedName name="_Key2" localSheetId="7" hidden="1">#REF!</definedName>
    <definedName name="_Key2" localSheetId="2" hidden="1">#REF!</definedName>
    <definedName name="_Key2" localSheetId="1" hidden="1">#REF!</definedName>
    <definedName name="_Key2" localSheetId="13" hidden="1">#REF!</definedName>
    <definedName name="_Key2" localSheetId="12" hidden="1">#REF!</definedName>
    <definedName name="_Key2" localSheetId="11" hidden="1">#REF!</definedName>
    <definedName name="_Key2" localSheetId="18" hidden="1">#REF!</definedName>
    <definedName name="_Key2" localSheetId="17" hidden="1">#REF!</definedName>
    <definedName name="_Key2" hidden="1">#REF!</definedName>
    <definedName name="_M" localSheetId="17">#REF!</definedName>
    <definedName name="_M">#REF!</definedName>
    <definedName name="_M_1" localSheetId="17">#REF!</definedName>
    <definedName name="_M_1">#REF!</definedName>
    <definedName name="_MatMult_A" localSheetId="2">#REF!</definedName>
    <definedName name="_MatMult_A" localSheetId="1">#REF!</definedName>
    <definedName name="_MatMult_A" localSheetId="17">#REF!</definedName>
    <definedName name="_MatMult_A">#REF!</definedName>
    <definedName name="_MDO1" localSheetId="2">#REF!</definedName>
    <definedName name="_MDO1" localSheetId="1">#REF!</definedName>
    <definedName name="_MDO1" localSheetId="17">#REF!</definedName>
    <definedName name="_MDO1">#REF!</definedName>
    <definedName name="_MDO2" localSheetId="2">#REF!</definedName>
    <definedName name="_MDO2" localSheetId="1">#REF!</definedName>
    <definedName name="_MDO2" localSheetId="17">#REF!</definedName>
    <definedName name="_MDO2">#REF!</definedName>
    <definedName name="_MNSJS" localSheetId="2">#REF!</definedName>
    <definedName name="_MNSJS" localSheetId="1">#REF!</definedName>
    <definedName name="_MNSJS" localSheetId="17">#REF!</definedName>
    <definedName name="_MNSJS">#REF!</definedName>
    <definedName name="_ms299" localSheetId="2">#REF!</definedName>
    <definedName name="_ms299" localSheetId="1">#REF!</definedName>
    <definedName name="_ms299" localSheetId="17">#REF!</definedName>
    <definedName name="_ms299">#REF!</definedName>
    <definedName name="_Order1" hidden="1">255</definedName>
    <definedName name="_Order2" hidden="1">255</definedName>
    <definedName name="_P" localSheetId="2">#REF!</definedName>
    <definedName name="_P" localSheetId="17">#REF!</definedName>
    <definedName name="_P">#REF!</definedName>
    <definedName name="_P_1" localSheetId="17">#REF!</definedName>
    <definedName name="_P_1">#REF!</definedName>
    <definedName name="_PE006" localSheetId="4">#REF!</definedName>
    <definedName name="_PE006" localSheetId="2">#REF!</definedName>
    <definedName name="_PE006" localSheetId="1">#REF!</definedName>
    <definedName name="_PE006" localSheetId="17">#REF!</definedName>
    <definedName name="_PE006">#REF!</definedName>
    <definedName name="_PE007" localSheetId="4">#REF!</definedName>
    <definedName name="_PE007" localSheetId="2">#REF!</definedName>
    <definedName name="_PE007" localSheetId="1">#REF!</definedName>
    <definedName name="_PE007" localSheetId="17">#REF!</definedName>
    <definedName name="_PE007">#REF!</definedName>
    <definedName name="_PE016" localSheetId="4">#REF!</definedName>
    <definedName name="_PE016" localSheetId="2">#REF!</definedName>
    <definedName name="_PE016" localSheetId="1">#REF!</definedName>
    <definedName name="_PE016" localSheetId="17">#REF!</definedName>
    <definedName name="_PE016">#REF!</definedName>
    <definedName name="_PE107" localSheetId="4">#REF!</definedName>
    <definedName name="_PE107" localSheetId="2">#REF!</definedName>
    <definedName name="_PE107" localSheetId="1">#REF!</definedName>
    <definedName name="_PE107" localSheetId="17">#REF!</definedName>
    <definedName name="_PE107">#REF!</definedName>
    <definedName name="_PE108" localSheetId="4">#REF!</definedName>
    <definedName name="_PE108" localSheetId="2">#REF!</definedName>
    <definedName name="_PE108" localSheetId="1">#REF!</definedName>
    <definedName name="_PE108" localSheetId="17">#REF!</definedName>
    <definedName name="_PE108">#REF!</definedName>
    <definedName name="_PE110" localSheetId="4">#REF!</definedName>
    <definedName name="_PE110" localSheetId="2">#REF!</definedName>
    <definedName name="_PE110" localSheetId="1">#REF!</definedName>
    <definedName name="_PE110" localSheetId="17">#REF!</definedName>
    <definedName name="_PE110">#REF!</definedName>
    <definedName name="_PE111" localSheetId="4">#REF!</definedName>
    <definedName name="_PE111" localSheetId="2">#REF!</definedName>
    <definedName name="_PE111" localSheetId="1">#REF!</definedName>
    <definedName name="_PE111" localSheetId="17">#REF!</definedName>
    <definedName name="_PE111">#REF!</definedName>
    <definedName name="_PE113" localSheetId="4">#REF!</definedName>
    <definedName name="_PE113" localSheetId="2">#REF!</definedName>
    <definedName name="_PE113" localSheetId="1">#REF!</definedName>
    <definedName name="_PE113" localSheetId="17">#REF!</definedName>
    <definedName name="_PE113">#REF!</definedName>
    <definedName name="_PE114" localSheetId="4">#REF!</definedName>
    <definedName name="_PE114" localSheetId="2">#REF!</definedName>
    <definedName name="_PE114" localSheetId="1">#REF!</definedName>
    <definedName name="_PE114" localSheetId="17">#REF!</definedName>
    <definedName name="_PE114">#REF!</definedName>
    <definedName name="_PE116" localSheetId="4">#REF!</definedName>
    <definedName name="_PE116" localSheetId="2">#REF!</definedName>
    <definedName name="_PE116" localSheetId="1">#REF!</definedName>
    <definedName name="_PE116" localSheetId="17">#REF!</definedName>
    <definedName name="_PE116">#REF!</definedName>
    <definedName name="_PE117" localSheetId="4">#REF!</definedName>
    <definedName name="_PE117" localSheetId="2">#REF!</definedName>
    <definedName name="_PE117" localSheetId="1">#REF!</definedName>
    <definedName name="_PE117" localSheetId="17">#REF!</definedName>
    <definedName name="_PE117">#REF!</definedName>
    <definedName name="_PE119" localSheetId="4">#REF!</definedName>
    <definedName name="_PE119" localSheetId="2">#REF!</definedName>
    <definedName name="_PE119" localSheetId="1">#REF!</definedName>
    <definedName name="_PE119" localSheetId="17">#REF!</definedName>
    <definedName name="_PE119">#REF!</definedName>
    <definedName name="_PE123" localSheetId="4">#REF!</definedName>
    <definedName name="_PE123" localSheetId="2">#REF!</definedName>
    <definedName name="_PE123" localSheetId="1">#REF!</definedName>
    <definedName name="_PE123" localSheetId="17">#REF!</definedName>
    <definedName name="_PE123">#REF!</definedName>
    <definedName name="_PE315" localSheetId="4">#REF!</definedName>
    <definedName name="_PE315" localSheetId="2">#REF!</definedName>
    <definedName name="_PE315" localSheetId="1">#REF!</definedName>
    <definedName name="_PE315" localSheetId="17">#REF!</definedName>
    <definedName name="_PE315">#REF!</definedName>
    <definedName name="_PE400" localSheetId="4">#REF!</definedName>
    <definedName name="_PE400" localSheetId="2">#REF!</definedName>
    <definedName name="_PE400" localSheetId="1">#REF!</definedName>
    <definedName name="_PE400" localSheetId="17">#REF!</definedName>
    <definedName name="_PE400">#REF!</definedName>
    <definedName name="_PE404" localSheetId="4">#REF!</definedName>
    <definedName name="_PE404" localSheetId="2">#REF!</definedName>
    <definedName name="_PE404" localSheetId="1">#REF!</definedName>
    <definedName name="_PE404" localSheetId="17">#REF!</definedName>
    <definedName name="_PE404">#REF!</definedName>
    <definedName name="_PE408" localSheetId="4">#REF!</definedName>
    <definedName name="_PE408" localSheetId="2">#REF!</definedName>
    <definedName name="_PE408" localSheetId="1">#REF!</definedName>
    <definedName name="_PE408" localSheetId="17">#REF!</definedName>
    <definedName name="_PE408">#REF!</definedName>
    <definedName name="_PE507" localSheetId="4">#REF!</definedName>
    <definedName name="_PE507" localSheetId="2">#REF!</definedName>
    <definedName name="_PE507" localSheetId="1">#REF!</definedName>
    <definedName name="_PE507" localSheetId="17">#REF!</definedName>
    <definedName name="_PE507">#REF!</definedName>
    <definedName name="_PL1" localSheetId="15">#REF!</definedName>
    <definedName name="_PL1" localSheetId="4">#REF!</definedName>
    <definedName name="_PL1" localSheetId="9">#REF!</definedName>
    <definedName name="_PL1" localSheetId="7">#REF!</definedName>
    <definedName name="_PL1" localSheetId="2">#REF!</definedName>
    <definedName name="_PL1" localSheetId="1">#REF!</definedName>
    <definedName name="_PL1" localSheetId="12">#REF!</definedName>
    <definedName name="_PL1" localSheetId="11">#REF!</definedName>
    <definedName name="_PL1" localSheetId="17">#REF!</definedName>
    <definedName name="_PL1">#REF!</definedName>
    <definedName name="_PL201" localSheetId="15">#REF!</definedName>
    <definedName name="_PL201" localSheetId="4">#REF!</definedName>
    <definedName name="_PL201" localSheetId="9">#REF!</definedName>
    <definedName name="_PL201" localSheetId="0">#REF!</definedName>
    <definedName name="_PL201" localSheetId="7">#REF!</definedName>
    <definedName name="_PL201" localSheetId="2">#REF!</definedName>
    <definedName name="_PL201" localSheetId="1">#REF!</definedName>
    <definedName name="_PL201" localSheetId="12">#REF!</definedName>
    <definedName name="_PL201" localSheetId="11">#REF!</definedName>
    <definedName name="_PL201" localSheetId="17">#REF!</definedName>
    <definedName name="_PL201">#REF!</definedName>
    <definedName name="_PL203" localSheetId="4">#REF!</definedName>
    <definedName name="_PL203" localSheetId="9">#REF!</definedName>
    <definedName name="_PL203" localSheetId="0">#REF!</definedName>
    <definedName name="_PL203" localSheetId="7">#REF!</definedName>
    <definedName name="_PL203" localSheetId="2">#REF!</definedName>
    <definedName name="_PL203" localSheetId="1">#REF!</definedName>
    <definedName name="_PL203" localSheetId="12">#REF!</definedName>
    <definedName name="_PL203" localSheetId="17">#REF!</definedName>
    <definedName name="_PL203">#REF!</definedName>
    <definedName name="_PL204" localSheetId="4">#REF!</definedName>
    <definedName name="_PL204" localSheetId="9">#REF!</definedName>
    <definedName name="_PL204" localSheetId="0">#REF!</definedName>
    <definedName name="_PL204" localSheetId="2">#REF!</definedName>
    <definedName name="_PL204" localSheetId="1">#REF!</definedName>
    <definedName name="_PL204" localSheetId="12">#REF!</definedName>
    <definedName name="_PL204" localSheetId="17">#REF!</definedName>
    <definedName name="_PL204">#REF!</definedName>
    <definedName name="_PL206" localSheetId="4">#REF!</definedName>
    <definedName name="_PL206" localSheetId="9">#REF!</definedName>
    <definedName name="_PL206" localSheetId="0">#REF!</definedName>
    <definedName name="_PL206" localSheetId="2">#REF!</definedName>
    <definedName name="_PL206" localSheetId="1">#REF!</definedName>
    <definedName name="_PL206" localSheetId="12">#REF!</definedName>
    <definedName name="_PL206" localSheetId="17">#REF!</definedName>
    <definedName name="_PL206">#REF!</definedName>
    <definedName name="_PL702" localSheetId="4">#REF!</definedName>
    <definedName name="_PL702" localSheetId="2">#REF!</definedName>
    <definedName name="_PL702" localSheetId="1">#REF!</definedName>
    <definedName name="_PL702" localSheetId="17">#REF!</definedName>
    <definedName name="_PL702">#REF!</definedName>
    <definedName name="_PL705" localSheetId="4">#REF!</definedName>
    <definedName name="_PL705" localSheetId="2">#REF!</definedName>
    <definedName name="_PL705" localSheetId="1">#REF!</definedName>
    <definedName name="_PL705" localSheetId="17">#REF!</definedName>
    <definedName name="_PL705">#REF!</definedName>
    <definedName name="_PL706" localSheetId="4">#REF!</definedName>
    <definedName name="_PL706" localSheetId="2">#REF!</definedName>
    <definedName name="_PL706" localSheetId="1">#REF!</definedName>
    <definedName name="_PL706" localSheetId="17">#REF!</definedName>
    <definedName name="_PL706">#REF!</definedName>
    <definedName name="_PL707" localSheetId="4">#REF!</definedName>
    <definedName name="_PL707" localSheetId="2">#REF!</definedName>
    <definedName name="_PL707" localSheetId="1">#REF!</definedName>
    <definedName name="_PL707" localSheetId="17">#REF!</definedName>
    <definedName name="_PL707">#REF!</definedName>
    <definedName name="_PL708" localSheetId="4">#REF!</definedName>
    <definedName name="_PL708" localSheetId="2">#REF!</definedName>
    <definedName name="_PL708" localSheetId="1">#REF!</definedName>
    <definedName name="_PL708" localSheetId="17">#REF!</definedName>
    <definedName name="_PL708">#REF!</definedName>
    <definedName name="_pm101" localSheetId="4">#REF!</definedName>
    <definedName name="_pm101" localSheetId="2">#REF!</definedName>
    <definedName name="_pm101" localSheetId="1">#REF!</definedName>
    <definedName name="_pm101" localSheetId="17">#REF!</definedName>
    <definedName name="_pm101">#REF!</definedName>
    <definedName name="_PM103" localSheetId="4">#REF!</definedName>
    <definedName name="_PM103" localSheetId="2">#REF!</definedName>
    <definedName name="_PM103" localSheetId="1">#REF!</definedName>
    <definedName name="_PM103" localSheetId="17">#REF!</definedName>
    <definedName name="_PM103">#REF!</definedName>
    <definedName name="_PM104" localSheetId="4">#REF!</definedName>
    <definedName name="_PM104" localSheetId="2">#REF!</definedName>
    <definedName name="_PM104" localSheetId="1">#REF!</definedName>
    <definedName name="_PM104" localSheetId="17">#REF!</definedName>
    <definedName name="_PM104">#REF!</definedName>
    <definedName name="_PM107" localSheetId="4">#REF!</definedName>
    <definedName name="_PM107" localSheetId="2">#REF!</definedName>
    <definedName name="_PM107" localSheetId="1">#REF!</definedName>
    <definedName name="_PM107" localSheetId="17">#REF!</definedName>
    <definedName name="_PM107">#REF!</definedName>
    <definedName name="_PM109" localSheetId="4">#REF!</definedName>
    <definedName name="_PM109" localSheetId="2">#REF!</definedName>
    <definedName name="_PM109" localSheetId="1">#REF!</definedName>
    <definedName name="_PM109" localSheetId="17">#REF!</definedName>
    <definedName name="_PM109">#REF!</definedName>
    <definedName name="_PM326" localSheetId="15">#REF!</definedName>
    <definedName name="_PM326" localSheetId="4">#REF!</definedName>
    <definedName name="_PM326" localSheetId="9">#REF!</definedName>
    <definedName name="_PM326" localSheetId="0">#REF!</definedName>
    <definedName name="_PM326" localSheetId="7">#REF!</definedName>
    <definedName name="_PM326" localSheetId="2">#REF!</definedName>
    <definedName name="_PM326" localSheetId="1">#REF!</definedName>
    <definedName name="_PM326" localSheetId="12">#REF!</definedName>
    <definedName name="_PM326" localSheetId="11">#REF!</definedName>
    <definedName name="_PM326" localSheetId="17">#REF!</definedName>
    <definedName name="_PM326">#REF!</definedName>
    <definedName name="_PM332" localSheetId="4">#REF!</definedName>
    <definedName name="_PM332" localSheetId="2">#REF!</definedName>
    <definedName name="_PM332" localSheetId="1">#REF!</definedName>
    <definedName name="_PM332" localSheetId="17">#REF!</definedName>
    <definedName name="_PM332">#REF!</definedName>
    <definedName name="_PM333" localSheetId="4">#REF!</definedName>
    <definedName name="_PM333" localSheetId="2">#REF!</definedName>
    <definedName name="_PM333" localSheetId="1">#REF!</definedName>
    <definedName name="_PM333" localSheetId="17">#REF!</definedName>
    <definedName name="_PM333">#REF!</definedName>
    <definedName name="_PM700" localSheetId="15">#REF!</definedName>
    <definedName name="_PM700" localSheetId="4">#REF!</definedName>
    <definedName name="_PM700" localSheetId="9">#REF!</definedName>
    <definedName name="_PM700" localSheetId="0">#REF!</definedName>
    <definedName name="_PM700" localSheetId="7">#REF!</definedName>
    <definedName name="_PM700" localSheetId="2">#REF!</definedName>
    <definedName name="_PM700" localSheetId="1">#REF!</definedName>
    <definedName name="_PM700" localSheetId="12">#REF!</definedName>
    <definedName name="_PM700" localSheetId="11">#REF!</definedName>
    <definedName name="_PM700" localSheetId="17">#REF!</definedName>
    <definedName name="_PM700">#REF!</definedName>
    <definedName name="_PM905" localSheetId="4">#REF!</definedName>
    <definedName name="_PM905" localSheetId="2">#REF!</definedName>
    <definedName name="_PM905" localSheetId="1">#REF!</definedName>
    <definedName name="_PM905" localSheetId="17">#REF!</definedName>
    <definedName name="_PM905">#REF!</definedName>
    <definedName name="_PM990" localSheetId="4">#REF!</definedName>
    <definedName name="_PM990" localSheetId="2">#REF!</definedName>
    <definedName name="_PM990" localSheetId="1">#REF!</definedName>
    <definedName name="_PM990" localSheetId="17">#REF!</definedName>
    <definedName name="_PM990">#REF!</definedName>
    <definedName name="_PNV2002" localSheetId="15">#REF!</definedName>
    <definedName name="_PNV2002" localSheetId="4">#REF!</definedName>
    <definedName name="_PNV2002" localSheetId="9">#REF!</definedName>
    <definedName name="_PNV2002" localSheetId="7">#REF!</definedName>
    <definedName name="_PNV2002" localSheetId="2">#REF!</definedName>
    <definedName name="_PNV2002" localSheetId="1">#REF!</definedName>
    <definedName name="_PNV2002" localSheetId="12">#REF!</definedName>
    <definedName name="_PNV2002" localSheetId="11">#REF!</definedName>
    <definedName name="_PNV2002" localSheetId="17">#REF!</definedName>
    <definedName name="_PNV2002">#REF!</definedName>
    <definedName name="_PNV2003" localSheetId="15">#REF!</definedName>
    <definedName name="_PNV2003" localSheetId="4">#REF!</definedName>
    <definedName name="_PNV2003" localSheetId="9">#REF!</definedName>
    <definedName name="_PNV2003" localSheetId="7">#REF!</definedName>
    <definedName name="_PNV2003" localSheetId="2">#REF!</definedName>
    <definedName name="_PNV2003" localSheetId="1">#REF!</definedName>
    <definedName name="_PNV2003" localSheetId="12">#REF!</definedName>
    <definedName name="_PNV2003" localSheetId="17">#REF!</definedName>
    <definedName name="_PNV2003">#REF!</definedName>
    <definedName name="_PP501" localSheetId="4">#REF!</definedName>
    <definedName name="_PP501" localSheetId="2">#REF!</definedName>
    <definedName name="_PP501" localSheetId="1">#REF!</definedName>
    <definedName name="_PP501" localSheetId="17">#REF!</definedName>
    <definedName name="_PP501">#REF!</definedName>
    <definedName name="_PP502" localSheetId="4">#REF!</definedName>
    <definedName name="_PP502" localSheetId="2">#REF!</definedName>
    <definedName name="_PP502" localSheetId="1">#REF!</definedName>
    <definedName name="_PP502" localSheetId="17">#REF!</definedName>
    <definedName name="_PP502">#REF!</definedName>
    <definedName name="_PP701" localSheetId="4">#REF!</definedName>
    <definedName name="_PP701" localSheetId="2">#REF!</definedName>
    <definedName name="_PP701" localSheetId="1">#REF!</definedName>
    <definedName name="_PP701" localSheetId="17">#REF!</definedName>
    <definedName name="_PP701">#REF!</definedName>
    <definedName name="_PP801" localSheetId="4">#REF!</definedName>
    <definedName name="_PP801" localSheetId="2">#REF!</definedName>
    <definedName name="_PP801" localSheetId="1">#REF!</definedName>
    <definedName name="_PP801" localSheetId="17">#REF!</definedName>
    <definedName name="_PP801">#REF!</definedName>
    <definedName name="_PPOS015Q_AGPQ_" localSheetId="2">#REF!</definedName>
    <definedName name="_PPOS015Q_AGPQ_" localSheetId="1">#REF!</definedName>
    <definedName name="_PPOS015Q_AGPQ_" localSheetId="17">#REF!</definedName>
    <definedName name="_PPOS015Q_AGPQ_">#REF!</definedName>
    <definedName name="_PPOS015Q_AGPQ__6" localSheetId="2">#REF!</definedName>
    <definedName name="_PPOS015Q_AGPQ__6" localSheetId="1">#REF!</definedName>
    <definedName name="_PPOS015Q_AGPQ__6" localSheetId="17">#REF!</definedName>
    <definedName name="_PPOS015Q_AGPQ__6">#REF!</definedName>
    <definedName name="_pt101" localSheetId="4">#REF!</definedName>
    <definedName name="_pt101" localSheetId="2">#REF!</definedName>
    <definedName name="_pt101" localSheetId="1">#REF!</definedName>
    <definedName name="_pt101" localSheetId="17">#REF!</definedName>
    <definedName name="_pt101">#REF!</definedName>
    <definedName name="_PT103" localSheetId="4">#REF!</definedName>
    <definedName name="_PT103" localSheetId="2">#REF!</definedName>
    <definedName name="_PT103" localSheetId="1">#REF!</definedName>
    <definedName name="_PT103" localSheetId="17">#REF!</definedName>
    <definedName name="_PT103">#REF!</definedName>
    <definedName name="_PT104" localSheetId="4">#REF!</definedName>
    <definedName name="_PT104" localSheetId="2">#REF!</definedName>
    <definedName name="_PT104" localSheetId="1">#REF!</definedName>
    <definedName name="_PT104" localSheetId="17">#REF!</definedName>
    <definedName name="_PT104">#REF!</definedName>
    <definedName name="_PT107" localSheetId="4">#REF!</definedName>
    <definedName name="_PT107" localSheetId="2">#REF!</definedName>
    <definedName name="_PT107" localSheetId="1">#REF!</definedName>
    <definedName name="_PT107" localSheetId="17">#REF!</definedName>
    <definedName name="_PT107">#REF!</definedName>
    <definedName name="_PT109" localSheetId="4">#REF!</definedName>
    <definedName name="_PT109" localSheetId="2">#REF!</definedName>
    <definedName name="_PT109" localSheetId="1">#REF!</definedName>
    <definedName name="_PT109" localSheetId="17">#REF!</definedName>
    <definedName name="_PT109">#REF!</definedName>
    <definedName name="_R" localSheetId="17">#REF!</definedName>
    <definedName name="_R">#REF!</definedName>
    <definedName name="_R_1" localSheetId="17">#REF!</definedName>
    <definedName name="_R_1">#REF!</definedName>
    <definedName name="_REA1.N10_" localSheetId="17">#REF!</definedName>
    <definedName name="_REA1.N10_">#REF!</definedName>
    <definedName name="_Regression_Int" hidden="1">1</definedName>
    <definedName name="_SE2" localSheetId="2">#REF!</definedName>
    <definedName name="_SE2" localSheetId="1">#REF!</definedName>
    <definedName name="_SE2" localSheetId="17">#REF!</definedName>
    <definedName name="_SE2">#REF!</definedName>
    <definedName name="_sob1" localSheetId="2">#REF!</definedName>
    <definedName name="_sob1" localSheetId="1">#REF!</definedName>
    <definedName name="_sob1" localSheetId="17">#REF!</definedName>
    <definedName name="_sob1">#REF!</definedName>
    <definedName name="_SOB2" localSheetId="2">#REF!</definedName>
    <definedName name="_SOB2" localSheetId="1">#REF!</definedName>
    <definedName name="_SOB2" localSheetId="17">#REF!</definedName>
    <definedName name="_SOB2">#REF!</definedName>
    <definedName name="_Sort" localSheetId="15" hidden="1">#REF!</definedName>
    <definedName name="_Sort" localSheetId="4" hidden="1">#REF!</definedName>
    <definedName name="_Sort" localSheetId="9" hidden="1">#REF!</definedName>
    <definedName name="_Sort" localSheetId="0" hidden="1">#REF!</definedName>
    <definedName name="_Sort" localSheetId="8" hidden="1">#REF!</definedName>
    <definedName name="_Sort" localSheetId="7" hidden="1">#REF!</definedName>
    <definedName name="_Sort" localSheetId="2" hidden="1">#REF!</definedName>
    <definedName name="_Sort" localSheetId="1" hidden="1">#REF!</definedName>
    <definedName name="_Sort" localSheetId="13" hidden="1">#REF!</definedName>
    <definedName name="_Sort" localSheetId="12" hidden="1">#REF!</definedName>
    <definedName name="_Sort" localSheetId="11" hidden="1">#REF!</definedName>
    <definedName name="_Sort" localSheetId="18" hidden="1">#REF!</definedName>
    <definedName name="_Sort" localSheetId="17" hidden="1">#REF!</definedName>
    <definedName name="_Sort" hidden="1">#REF!</definedName>
    <definedName name="_STG03" localSheetId="15">#REF!</definedName>
    <definedName name="_STG03" localSheetId="4">#REF!</definedName>
    <definedName name="_STG03" localSheetId="9">#REF!</definedName>
    <definedName name="_STG03" localSheetId="0">#REF!</definedName>
    <definedName name="_STG03" localSheetId="7">#REF!</definedName>
    <definedName name="_STG03" localSheetId="2">#REF!</definedName>
    <definedName name="_STG03" localSheetId="1">#REF!</definedName>
    <definedName name="_STG03" localSheetId="13">#REF!</definedName>
    <definedName name="_STG03" localSheetId="12">#REF!</definedName>
    <definedName name="_STG03" localSheetId="11">#REF!</definedName>
    <definedName name="_STG03" localSheetId="17">#REF!</definedName>
    <definedName name="_STG03">#REF!</definedName>
    <definedName name="_sub1" localSheetId="2">#REF!</definedName>
    <definedName name="_sub1" localSheetId="1">#REF!</definedName>
    <definedName name="_sub1" localSheetId="17">#REF!</definedName>
    <definedName name="_sub1">#REF!</definedName>
    <definedName name="_sub12" localSheetId="2">#REF!</definedName>
    <definedName name="_sub12" localSheetId="1">#REF!</definedName>
    <definedName name="_sub12" localSheetId="17">#REF!</definedName>
    <definedName name="_sub12">#REF!</definedName>
    <definedName name="_sub2" localSheetId="2">#REF!</definedName>
    <definedName name="_sub2" localSheetId="1">#REF!</definedName>
    <definedName name="_sub2" localSheetId="17">#REF!</definedName>
    <definedName name="_sub2">#REF!</definedName>
    <definedName name="_sub3" localSheetId="2">#REF!</definedName>
    <definedName name="_sub3" localSheetId="1">#REF!</definedName>
    <definedName name="_sub3" localSheetId="17">#REF!</definedName>
    <definedName name="_sub3">#REF!</definedName>
    <definedName name="_sub4" localSheetId="2">#REF!</definedName>
    <definedName name="_sub4" localSheetId="1">#REF!</definedName>
    <definedName name="_sub4" localSheetId="17">#REF!</definedName>
    <definedName name="_sub4">#REF!</definedName>
    <definedName name="_SUB5" localSheetId="2">#REF!</definedName>
    <definedName name="_SUB5" localSheetId="1">#REF!</definedName>
    <definedName name="_SUB5" localSheetId="17">#REF!</definedName>
    <definedName name="_SUB5">#REF!</definedName>
    <definedName name="_subb2" localSheetId="2">#REF!</definedName>
    <definedName name="_subb2" localSheetId="1">#REF!</definedName>
    <definedName name="_subb2" localSheetId="17">#REF!</definedName>
    <definedName name="_subb2">#REF!</definedName>
    <definedName name="_subb4" localSheetId="2">#REF!</definedName>
    <definedName name="_subb4" localSheetId="1">#REF!</definedName>
    <definedName name="_subb4" localSheetId="17">#REF!</definedName>
    <definedName name="_subb4">#REF!</definedName>
    <definedName name="_subb9" localSheetId="2">#REF!</definedName>
    <definedName name="_subb9" localSheetId="1">#REF!</definedName>
    <definedName name="_subb9" localSheetId="17">#REF!</definedName>
    <definedName name="_subb9">#REF!</definedName>
    <definedName name="_SUU" localSheetId="2">#REF!</definedName>
    <definedName name="_SUU" localSheetId="1">#REF!</definedName>
    <definedName name="_SUU" localSheetId="17">#REF!</definedName>
    <definedName name="_SUU">#REF!</definedName>
    <definedName name="_SUUU" localSheetId="2">#REF!</definedName>
    <definedName name="_SUUU" localSheetId="1">#REF!</definedName>
    <definedName name="_SUUU" localSheetId="17">#REF!</definedName>
    <definedName name="_SUUU">#REF!</definedName>
    <definedName name="_TCB10" localSheetId="4">#REF!</definedName>
    <definedName name="_TCB10" localSheetId="2">#REF!</definedName>
    <definedName name="_TCB10" localSheetId="1">#REF!</definedName>
    <definedName name="_TCB10" localSheetId="17">#REF!</definedName>
    <definedName name="_TCB10">#REF!</definedName>
    <definedName name="_TLB5" localSheetId="4">#REF!</definedName>
    <definedName name="_TLB5" localSheetId="2">#REF!</definedName>
    <definedName name="_TLB5" localSheetId="1">#REF!</definedName>
    <definedName name="_TLB5" localSheetId="17">#REF!</definedName>
    <definedName name="_TLB5">#REF!</definedName>
    <definedName name="_TLC4" localSheetId="4">#REF!</definedName>
    <definedName name="_TLC4" localSheetId="2">#REF!</definedName>
    <definedName name="_TLC4" localSheetId="1">#REF!</definedName>
    <definedName name="_TLC4" localSheetId="17">#REF!</definedName>
    <definedName name="_TLC4">#REF!</definedName>
    <definedName name="_TOT1" localSheetId="15">#REF!</definedName>
    <definedName name="_TOT1" localSheetId="4">#REF!</definedName>
    <definedName name="_TOT1" localSheetId="9">#REF!</definedName>
    <definedName name="_TOT1" localSheetId="0">#REF!</definedName>
    <definedName name="_TOT1" localSheetId="7">#REF!</definedName>
    <definedName name="_TOT1" localSheetId="2">#REF!</definedName>
    <definedName name="_TOT1" localSheetId="1">#REF!</definedName>
    <definedName name="_TOT1" localSheetId="12">#REF!</definedName>
    <definedName name="_TOT1" localSheetId="11">#REF!</definedName>
    <definedName name="_TOT1" localSheetId="17">#REF!</definedName>
    <definedName name="_TOT1">#REF!</definedName>
    <definedName name="_TOT2" localSheetId="15">#REF!</definedName>
    <definedName name="_TOT2" localSheetId="4">#REF!</definedName>
    <definedName name="_TOT2" localSheetId="9">#REF!</definedName>
    <definedName name="_TOT2" localSheetId="0">#REF!</definedName>
    <definedName name="_TOT2" localSheetId="7">#REF!</definedName>
    <definedName name="_TOT2" localSheetId="2">#REF!</definedName>
    <definedName name="_TOT2" localSheetId="1">#REF!</definedName>
    <definedName name="_TOT2" localSheetId="12">#REF!</definedName>
    <definedName name="_TOT2" localSheetId="11">#REF!</definedName>
    <definedName name="_TOT2" localSheetId="17">#REF!</definedName>
    <definedName name="_TOT2">#REF!</definedName>
    <definedName name="_TOT3" localSheetId="15">#REF!</definedName>
    <definedName name="_TOT3" localSheetId="4">#REF!</definedName>
    <definedName name="_TOT3" localSheetId="9">#REF!</definedName>
    <definedName name="_TOT3" localSheetId="0">#REF!</definedName>
    <definedName name="_TOT3" localSheetId="7">#REF!</definedName>
    <definedName name="_TOT3" localSheetId="2">#REF!</definedName>
    <definedName name="_TOT3" localSheetId="1">#REF!</definedName>
    <definedName name="_TOT3" localSheetId="12">#REF!</definedName>
    <definedName name="_TOT3" localSheetId="11">#REF!</definedName>
    <definedName name="_TOT3" localSheetId="17">#REF!</definedName>
    <definedName name="_TOT3">#REF!</definedName>
    <definedName name="_TOT4" localSheetId="15">#REF!</definedName>
    <definedName name="_TOT4" localSheetId="4">#REF!</definedName>
    <definedName name="_TOT4" localSheetId="9">#REF!</definedName>
    <definedName name="_TOT4" localSheetId="0">#REF!</definedName>
    <definedName name="_TOT4" localSheetId="7">#REF!</definedName>
    <definedName name="_TOT4" localSheetId="2">#REF!</definedName>
    <definedName name="_TOT4" localSheetId="1">#REF!</definedName>
    <definedName name="_TOT4" localSheetId="12">#REF!</definedName>
    <definedName name="_TOT4" localSheetId="11">#REF!</definedName>
    <definedName name="_TOT4" localSheetId="17">#REF!</definedName>
    <definedName name="_TOT4">#REF!</definedName>
    <definedName name="_TOT6" localSheetId="4">#REF!</definedName>
    <definedName name="_TOT6" localSheetId="9">#REF!</definedName>
    <definedName name="_TOT6" localSheetId="2">#REF!</definedName>
    <definedName name="_TOT6" localSheetId="1">#REF!</definedName>
    <definedName name="_TOT6" localSheetId="12">#REF!</definedName>
    <definedName name="_TOT6" localSheetId="17">#REF!</definedName>
    <definedName name="_TOT6">#REF!</definedName>
    <definedName name="_TOT7" localSheetId="4">#REF!</definedName>
    <definedName name="_TOT7" localSheetId="9">#REF!</definedName>
    <definedName name="_TOT7" localSheetId="2">#REF!</definedName>
    <definedName name="_TOT7" localSheetId="1">#REF!</definedName>
    <definedName name="_TOT7" localSheetId="12">#REF!</definedName>
    <definedName name="_TOT7" localSheetId="17">#REF!</definedName>
    <definedName name="_TOT7">#REF!</definedName>
    <definedName name="_WCS13_" localSheetId="17">#REF!</definedName>
    <definedName name="_WCS13_">#REF!</definedName>
    <definedName name="_WCS43_" localSheetId="17">#REF!</definedName>
    <definedName name="_WCS43_">#REF!</definedName>
    <definedName name="_WDCN1.S1_" localSheetId="17">#REF!</definedName>
    <definedName name="_WDCN1.S1_">#REF!</definedName>
    <definedName name="_WGZY_" localSheetId="2">#REF!</definedName>
    <definedName name="_WGZY_" localSheetId="1">#REF!</definedName>
    <definedName name="_WGZY_" localSheetId="17">#REF!</definedName>
    <definedName name="_WGZY_">#REF!</definedName>
    <definedName name="_WGZY__6" localSheetId="2">#REF!</definedName>
    <definedName name="_WGZY__6" localSheetId="1">#REF!</definedName>
    <definedName name="_WGZY__6" localSheetId="17">#REF!</definedName>
    <definedName name="_WGZY__6">#REF!</definedName>
    <definedName name="_WICE1_" localSheetId="17">#REF!</definedName>
    <definedName name="_WICE1_">#REF!</definedName>
    <definedName name="_WIRA1.A8_" localSheetId="17">#REF!</definedName>
    <definedName name="_WIRA1.A8_">#REF!</definedName>
    <definedName name="_Y" localSheetId="17">#REF!</definedName>
    <definedName name="_Y">#REF!</definedName>
    <definedName name="_Y_1" localSheetId="17">#REF!</definedName>
    <definedName name="_Y_1">#REF!</definedName>
    <definedName name="_YE006" localSheetId="4">#REF!</definedName>
    <definedName name="_YE006" localSheetId="2">#REF!</definedName>
    <definedName name="_YE006" localSheetId="1">#REF!</definedName>
    <definedName name="_YE006" localSheetId="17">#REF!</definedName>
    <definedName name="_YE006">#REF!</definedName>
    <definedName name="_YE007" localSheetId="4">#REF!</definedName>
    <definedName name="_YE007" localSheetId="2">#REF!</definedName>
    <definedName name="_YE007" localSheetId="1">#REF!</definedName>
    <definedName name="_YE007" localSheetId="17">#REF!</definedName>
    <definedName name="_YE007">#REF!</definedName>
    <definedName name="_YE016" localSheetId="4">#REF!</definedName>
    <definedName name="_YE016" localSheetId="2">#REF!</definedName>
    <definedName name="_YE016" localSheetId="1">#REF!</definedName>
    <definedName name="_YE016" localSheetId="17">#REF!</definedName>
    <definedName name="_YE016">#REF!</definedName>
    <definedName name="_YE107" localSheetId="4">#REF!</definedName>
    <definedName name="_YE107" localSheetId="2">#REF!</definedName>
    <definedName name="_YE107" localSheetId="1">#REF!</definedName>
    <definedName name="_YE107" localSheetId="17">#REF!</definedName>
    <definedName name="_YE107">#REF!</definedName>
    <definedName name="_YE108" localSheetId="4">#REF!</definedName>
    <definedName name="_YE108" localSheetId="2">#REF!</definedName>
    <definedName name="_YE108" localSheetId="1">#REF!</definedName>
    <definedName name="_YE108" localSheetId="17">#REF!</definedName>
    <definedName name="_YE108">#REF!</definedName>
    <definedName name="_YE110" localSheetId="4">#REF!</definedName>
    <definedName name="_YE110" localSheetId="2">#REF!</definedName>
    <definedName name="_YE110" localSheetId="1">#REF!</definedName>
    <definedName name="_YE110" localSheetId="17">#REF!</definedName>
    <definedName name="_YE110">#REF!</definedName>
    <definedName name="_YE111" localSheetId="4">#REF!</definedName>
    <definedName name="_YE111" localSheetId="2">#REF!</definedName>
    <definedName name="_YE111" localSheetId="1">#REF!</definedName>
    <definedName name="_YE111" localSheetId="17">#REF!</definedName>
    <definedName name="_YE111">#REF!</definedName>
    <definedName name="_YE113" localSheetId="4">#REF!</definedName>
    <definedName name="_YE113" localSheetId="2">#REF!</definedName>
    <definedName name="_YE113" localSheetId="1">#REF!</definedName>
    <definedName name="_YE113" localSheetId="17">#REF!</definedName>
    <definedName name="_YE113">#REF!</definedName>
    <definedName name="_YE114" localSheetId="4">#REF!</definedName>
    <definedName name="_YE114" localSheetId="2">#REF!</definedName>
    <definedName name="_YE114" localSheetId="1">#REF!</definedName>
    <definedName name="_YE114" localSheetId="17">#REF!</definedName>
    <definedName name="_YE114">#REF!</definedName>
    <definedName name="_YE116" localSheetId="4">#REF!</definedName>
    <definedName name="_YE116" localSheetId="2">#REF!</definedName>
    <definedName name="_YE116" localSheetId="1">#REF!</definedName>
    <definedName name="_YE116" localSheetId="17">#REF!</definedName>
    <definedName name="_YE116">#REF!</definedName>
    <definedName name="_YE117" localSheetId="4">#REF!</definedName>
    <definedName name="_YE117" localSheetId="2">#REF!</definedName>
    <definedName name="_YE117" localSheetId="1">#REF!</definedName>
    <definedName name="_YE117" localSheetId="17">#REF!</definedName>
    <definedName name="_YE117">#REF!</definedName>
    <definedName name="_YE119" localSheetId="4">#REF!</definedName>
    <definedName name="_YE119" localSheetId="2">#REF!</definedName>
    <definedName name="_YE119" localSheetId="1">#REF!</definedName>
    <definedName name="_YE119" localSheetId="17">#REF!</definedName>
    <definedName name="_YE119">#REF!</definedName>
    <definedName name="_YE123" localSheetId="4">#REF!</definedName>
    <definedName name="_YE123" localSheetId="2">#REF!</definedName>
    <definedName name="_YE123" localSheetId="1">#REF!</definedName>
    <definedName name="_YE123" localSheetId="17">#REF!</definedName>
    <definedName name="_YE123">#REF!</definedName>
    <definedName name="_YE315" localSheetId="4">#REF!</definedName>
    <definedName name="_YE315" localSheetId="2">#REF!</definedName>
    <definedName name="_YE315" localSheetId="1">#REF!</definedName>
    <definedName name="_YE315" localSheetId="17">#REF!</definedName>
    <definedName name="_YE315">#REF!</definedName>
    <definedName name="_YE400" localSheetId="4">#REF!</definedName>
    <definedName name="_YE400" localSheetId="2">#REF!</definedName>
    <definedName name="_YE400" localSheetId="1">#REF!</definedName>
    <definedName name="_YE400" localSheetId="17">#REF!</definedName>
    <definedName name="_YE400">#REF!</definedName>
    <definedName name="_YE404" localSheetId="4">#REF!</definedName>
    <definedName name="_YE404" localSheetId="2">#REF!</definedName>
    <definedName name="_YE404" localSheetId="1">#REF!</definedName>
    <definedName name="_YE404" localSheetId="17">#REF!</definedName>
    <definedName name="_YE404">#REF!</definedName>
    <definedName name="_YE408" localSheetId="4">#REF!</definedName>
    <definedName name="_YE408" localSheetId="2">#REF!</definedName>
    <definedName name="_YE408" localSheetId="1">#REF!</definedName>
    <definedName name="_YE408" localSheetId="17">#REF!</definedName>
    <definedName name="_YE408">#REF!</definedName>
    <definedName name="_YE507" localSheetId="4">#REF!</definedName>
    <definedName name="_YE507" localSheetId="2">#REF!</definedName>
    <definedName name="_YE507" localSheetId="1">#REF!</definedName>
    <definedName name="_YE507" localSheetId="17">#REF!</definedName>
    <definedName name="_YE507">#REF!</definedName>
    <definedName name="a" localSheetId="15">#REF!</definedName>
    <definedName name="a" localSheetId="4">#REF!</definedName>
    <definedName name="a" localSheetId="9">#REF!</definedName>
    <definedName name="a" localSheetId="0">#REF!</definedName>
    <definedName name="a" localSheetId="7">#REF!</definedName>
    <definedName name="a" localSheetId="2">#REF!</definedName>
    <definedName name="a" localSheetId="1">#REF!</definedName>
    <definedName name="a" localSheetId="12">#REF!</definedName>
    <definedName name="a" localSheetId="11">#REF!</definedName>
    <definedName name="a" localSheetId="17">#REF!</definedName>
    <definedName name="a">#REF!</definedName>
    <definedName name="A.8.301.03" localSheetId="15">#REF!</definedName>
    <definedName name="A.8.301.03" localSheetId="4">#REF!</definedName>
    <definedName name="A.8.301.03" localSheetId="9">#REF!</definedName>
    <definedName name="A.8.301.03" localSheetId="0">#REF!</definedName>
    <definedName name="A.8.301.03" localSheetId="7">#REF!</definedName>
    <definedName name="A.8.301.03" localSheetId="2">#REF!</definedName>
    <definedName name="A.8.301.03" localSheetId="1">#REF!</definedName>
    <definedName name="A.8.301.03" localSheetId="13">#REF!</definedName>
    <definedName name="A.8.301.03" localSheetId="12">#REF!</definedName>
    <definedName name="A.8.301.03" localSheetId="11">#REF!</definedName>
    <definedName name="A.8.301.03" localSheetId="17">#REF!</definedName>
    <definedName name="A.8.301.03">#REF!</definedName>
    <definedName name="A_Brita_25" localSheetId="2">#REF!</definedName>
    <definedName name="A_Brita_25" localSheetId="1">#REF!</definedName>
    <definedName name="A_Brita_25" localSheetId="17">#REF!</definedName>
    <definedName name="A_Brita_25">#REF!</definedName>
    <definedName name="A_Chapisco" localSheetId="2">#REF!</definedName>
    <definedName name="A_Chapisco" localSheetId="1">#REF!</definedName>
    <definedName name="A_Chapisco" localSheetId="17">#REF!</definedName>
    <definedName name="A_Chapisco">#REF!</definedName>
    <definedName name="A_Comprimento" localSheetId="2">#REF!</definedName>
    <definedName name="A_Comprimento" localSheetId="1">#REF!</definedName>
    <definedName name="A_Comprimento" localSheetId="17">#REF!</definedName>
    <definedName name="A_Comprimento">#REF!</definedName>
    <definedName name="A_Concreto_A" localSheetId="2">#REF!</definedName>
    <definedName name="A_Concreto_A" localSheetId="1">#REF!</definedName>
    <definedName name="A_Concreto_A" localSheetId="17">#REF!</definedName>
    <definedName name="A_Concreto_A">#REF!</definedName>
    <definedName name="A_Concreto_M" localSheetId="2">#REF!</definedName>
    <definedName name="A_Concreto_M" localSheetId="1">#REF!</definedName>
    <definedName name="A_Concreto_M" localSheetId="17">#REF!</definedName>
    <definedName name="A_Concreto_M">#REF!</definedName>
    <definedName name="A_Concreto_S" localSheetId="2">#REF!</definedName>
    <definedName name="A_Concreto_S" localSheetId="1">#REF!</definedName>
    <definedName name="A_Concreto_S" localSheetId="17">#REF!</definedName>
    <definedName name="A_Concreto_S">#REF!</definedName>
    <definedName name="A_Escavação" localSheetId="2">#REF!</definedName>
    <definedName name="A_Escavação" localSheetId="1">#REF!</definedName>
    <definedName name="A_Escavação" localSheetId="17">#REF!</definedName>
    <definedName name="A_Escavação">#REF!</definedName>
    <definedName name="A_Espessura" localSheetId="2">#REF!</definedName>
    <definedName name="A_Espessura" localSheetId="1">#REF!</definedName>
    <definedName name="A_Espessura" localSheetId="17">#REF!</definedName>
    <definedName name="A_Espessura">#REF!</definedName>
    <definedName name="A_km" localSheetId="15">#REF!</definedName>
    <definedName name="A_km" localSheetId="4">#REF!</definedName>
    <definedName name="A_km" localSheetId="9">#REF!</definedName>
    <definedName name="A_km" localSheetId="0">#REF!</definedName>
    <definedName name="A_km" localSheetId="7">#REF!</definedName>
    <definedName name="A_km" localSheetId="2">#REF!</definedName>
    <definedName name="A_km" localSheetId="1">#REF!</definedName>
    <definedName name="A_km" localSheetId="12">#REF!</definedName>
    <definedName name="A_km" localSheetId="17">#REF!</definedName>
    <definedName name="A_km">#REF!</definedName>
    <definedName name="A_Largura" localSheetId="2">#REF!</definedName>
    <definedName name="A_Largura" localSheetId="1">#REF!</definedName>
    <definedName name="A_Largura" localSheetId="17">#REF!</definedName>
    <definedName name="A_Largura">#REF!</definedName>
    <definedName name="A_Massa_única" localSheetId="2">#REF!</definedName>
    <definedName name="A_Massa_única" localSheetId="1">#REF!</definedName>
    <definedName name="A_Massa_única" localSheetId="17">#REF!</definedName>
    <definedName name="A_Massa_única">#REF!</definedName>
    <definedName name="A_Pintura" localSheetId="2">#REF!</definedName>
    <definedName name="A_Pintura" localSheetId="1">#REF!</definedName>
    <definedName name="A_Pintura" localSheetId="17">#REF!</definedName>
    <definedName name="A_Pintura">#REF!</definedName>
    <definedName name="A_Profundidade" localSheetId="2">#REF!</definedName>
    <definedName name="A_Profundidade" localSheetId="1">#REF!</definedName>
    <definedName name="A_Profundidade" localSheetId="17">#REF!</definedName>
    <definedName name="A_Profundidade">#REF!</definedName>
    <definedName name="A_reaterro" localSheetId="2">#REF!</definedName>
    <definedName name="A_reaterro" localSheetId="1">#REF!</definedName>
    <definedName name="A_reaterro" localSheetId="17">#REF!</definedName>
    <definedName name="A_reaterro">#REF!</definedName>
    <definedName name="A0.333.17" localSheetId="15">#REF!</definedName>
    <definedName name="A0.333.17" localSheetId="4">#REF!</definedName>
    <definedName name="A0.333.17" localSheetId="9">#REF!</definedName>
    <definedName name="A0.333.17" localSheetId="0">#REF!</definedName>
    <definedName name="A0.333.17" localSheetId="7">#REF!</definedName>
    <definedName name="A0.333.17" localSheetId="2">#REF!</definedName>
    <definedName name="A0.333.17" localSheetId="1">#REF!</definedName>
    <definedName name="A0.333.17" localSheetId="13">#REF!</definedName>
    <definedName name="A0.333.17" localSheetId="12">#REF!</definedName>
    <definedName name="A0.333.17" localSheetId="11">#REF!</definedName>
    <definedName name="A0.333.17" localSheetId="17">#REF!</definedName>
    <definedName name="A0.333.17">#REF!</definedName>
    <definedName name="A0.333.18" localSheetId="15">#REF!</definedName>
    <definedName name="A0.333.18" localSheetId="4">#REF!</definedName>
    <definedName name="A0.333.18" localSheetId="9">#REF!</definedName>
    <definedName name="A0.333.18" localSheetId="0">#REF!</definedName>
    <definedName name="A0.333.18" localSheetId="7">#REF!</definedName>
    <definedName name="A0.333.18" localSheetId="2">#REF!</definedName>
    <definedName name="A0.333.18" localSheetId="1">#REF!</definedName>
    <definedName name="A0.333.18" localSheetId="13">#REF!</definedName>
    <definedName name="A0.333.18" localSheetId="12">#REF!</definedName>
    <definedName name="A0.333.18" localSheetId="11">#REF!</definedName>
    <definedName name="A0.333.18" localSheetId="17">#REF!</definedName>
    <definedName name="A0.333.18">#REF!</definedName>
    <definedName name="A2.0.353.17" localSheetId="4">#REF!</definedName>
    <definedName name="A2.0.353.17" localSheetId="9">#REF!</definedName>
    <definedName name="A2.0.353.17" localSheetId="2">#REF!</definedName>
    <definedName name="A2.0.353.17" localSheetId="1">#REF!</definedName>
    <definedName name="A2.0.353.17" localSheetId="12">#REF!</definedName>
    <definedName name="A2.0.353.17" localSheetId="17">#REF!</definedName>
    <definedName name="A2.0.353.17">#REF!</definedName>
    <definedName name="A2.0.353.18" localSheetId="4">#REF!</definedName>
    <definedName name="A2.0.353.18" localSheetId="9">#REF!</definedName>
    <definedName name="A2.0.353.18" localSheetId="2">#REF!</definedName>
    <definedName name="A2.0.353.18" localSheetId="1">#REF!</definedName>
    <definedName name="A2.0.353.18" localSheetId="12">#REF!</definedName>
    <definedName name="A2.0.353.18" localSheetId="17">#REF!</definedName>
    <definedName name="A2.0.353.18">#REF!</definedName>
    <definedName name="A2.530.03" localSheetId="15">#REF!</definedName>
    <definedName name="A2.530.03" localSheetId="4">#REF!</definedName>
    <definedName name="A2.530.03" localSheetId="9">#REF!</definedName>
    <definedName name="A2.530.03" localSheetId="0">#REF!</definedName>
    <definedName name="A2.530.03" localSheetId="7">#REF!</definedName>
    <definedName name="A2.530.03" localSheetId="2">#REF!</definedName>
    <definedName name="A2.530.03" localSheetId="1">#REF!</definedName>
    <definedName name="A2.530.03" localSheetId="13">#REF!</definedName>
    <definedName name="A2.530.03" localSheetId="12">#REF!</definedName>
    <definedName name="A2.530.03" localSheetId="11">#REF!</definedName>
    <definedName name="A2.530.03" localSheetId="17">#REF!</definedName>
    <definedName name="A2.530.03">#REF!</definedName>
    <definedName name="A2.530.04" localSheetId="15">#REF!</definedName>
    <definedName name="A2.530.04" localSheetId="4">#REF!</definedName>
    <definedName name="A2.530.04" localSheetId="9">#REF!</definedName>
    <definedName name="A2.530.04" localSheetId="0">#REF!</definedName>
    <definedName name="A2.530.04" localSheetId="7">#REF!</definedName>
    <definedName name="A2.530.04" localSheetId="2">#REF!</definedName>
    <definedName name="A2.530.04" localSheetId="1">#REF!</definedName>
    <definedName name="A2.530.04" localSheetId="13">#REF!</definedName>
    <definedName name="A2.530.04" localSheetId="12">#REF!</definedName>
    <definedName name="A2.530.04" localSheetId="11">#REF!</definedName>
    <definedName name="A2.530.04" localSheetId="17">#REF!</definedName>
    <definedName name="A2.530.04">#REF!</definedName>
    <definedName name="A2.540.01" localSheetId="15">#REF!</definedName>
    <definedName name="A2.540.01" localSheetId="4">#REF!</definedName>
    <definedName name="A2.540.01" localSheetId="9">#REF!</definedName>
    <definedName name="A2.540.01" localSheetId="0">#REF!</definedName>
    <definedName name="A2.540.01" localSheetId="7">#REF!</definedName>
    <definedName name="A2.540.01" localSheetId="2">#REF!</definedName>
    <definedName name="A2.540.01" localSheetId="1">#REF!</definedName>
    <definedName name="A2.540.01" localSheetId="13">#REF!</definedName>
    <definedName name="A2.540.01" localSheetId="12">#REF!</definedName>
    <definedName name="A2.540.01" localSheetId="11">#REF!</definedName>
    <definedName name="A2.540.01" localSheetId="17">#REF!</definedName>
    <definedName name="A2.540.01">#REF!</definedName>
    <definedName name="A3.329.00" localSheetId="4">#REF!</definedName>
    <definedName name="A3.329.00" localSheetId="2">#REF!</definedName>
    <definedName name="A3.329.00" localSheetId="1">#REF!</definedName>
    <definedName name="A3.329.00" localSheetId="17">#REF!</definedName>
    <definedName name="A3.329.00">#REF!</definedName>
    <definedName name="A8.001.00" localSheetId="15">#REF!</definedName>
    <definedName name="A8.001.00" localSheetId="4">#REF!</definedName>
    <definedName name="A8.001.00" localSheetId="9">#REF!</definedName>
    <definedName name="A8.001.00" localSheetId="0">#REF!</definedName>
    <definedName name="A8.001.00" localSheetId="7">#REF!</definedName>
    <definedName name="A8.001.00" localSheetId="2">#REF!</definedName>
    <definedName name="A8.001.00" localSheetId="1">#REF!</definedName>
    <definedName name="A8.001.00" localSheetId="13">#REF!</definedName>
    <definedName name="A8.001.00" localSheetId="12">#REF!</definedName>
    <definedName name="A8.001.00" localSheetId="11">#REF!</definedName>
    <definedName name="A8.001.00" localSheetId="17">#REF!</definedName>
    <definedName name="A8.001.00">#REF!</definedName>
    <definedName name="A8.100.00" localSheetId="15">#REF!</definedName>
    <definedName name="A8.100.00" localSheetId="4">#REF!</definedName>
    <definedName name="A8.100.00" localSheetId="9">#REF!</definedName>
    <definedName name="A8.100.00" localSheetId="0">#REF!</definedName>
    <definedName name="A8.100.00" localSheetId="7">#REF!</definedName>
    <definedName name="A8.100.00" localSheetId="2">#REF!</definedName>
    <definedName name="A8.100.00" localSheetId="1">#REF!</definedName>
    <definedName name="A8.100.00" localSheetId="13">#REF!</definedName>
    <definedName name="A8.100.00" localSheetId="12">#REF!</definedName>
    <definedName name="A8.100.00" localSheetId="11">#REF!</definedName>
    <definedName name="A8.100.00" localSheetId="17">#REF!</definedName>
    <definedName name="A8.100.00">#REF!</definedName>
    <definedName name="A8.100.01" localSheetId="15">#REF!</definedName>
    <definedName name="A8.100.01" localSheetId="4">#REF!</definedName>
    <definedName name="A8.100.01" localSheetId="9">#REF!</definedName>
    <definedName name="A8.100.01" localSheetId="0">#REF!</definedName>
    <definedName name="A8.100.01" localSheetId="7">#REF!</definedName>
    <definedName name="A8.100.01" localSheetId="2">#REF!</definedName>
    <definedName name="A8.100.01" localSheetId="1">#REF!</definedName>
    <definedName name="A8.100.01" localSheetId="13">#REF!</definedName>
    <definedName name="A8.100.01" localSheetId="12">#REF!</definedName>
    <definedName name="A8.100.01" localSheetId="11">#REF!</definedName>
    <definedName name="A8.100.01" localSheetId="17">#REF!</definedName>
    <definedName name="A8.100.01">#REF!</definedName>
    <definedName name="A8.103.00" localSheetId="4">#REF!</definedName>
    <definedName name="A8.103.00" localSheetId="9">#REF!</definedName>
    <definedName name="A8.103.00" localSheetId="0">#REF!</definedName>
    <definedName name="A8.103.00" localSheetId="7">#REF!</definedName>
    <definedName name="A8.103.00" localSheetId="2">#REF!</definedName>
    <definedName name="A8.103.00" localSheetId="1">#REF!</definedName>
    <definedName name="A8.103.00" localSheetId="12">#REF!</definedName>
    <definedName name="A8.103.00" localSheetId="17">#REF!</definedName>
    <definedName name="A8.103.00">#REF!</definedName>
    <definedName name="A8.109.00" localSheetId="15">#REF!</definedName>
    <definedName name="A8.109.00" localSheetId="4">#REF!</definedName>
    <definedName name="A8.109.00" localSheetId="9">#REF!</definedName>
    <definedName name="A8.109.00" localSheetId="0">#REF!</definedName>
    <definedName name="A8.109.00" localSheetId="7">#REF!</definedName>
    <definedName name="A8.109.00" localSheetId="2">#REF!</definedName>
    <definedName name="A8.109.00" localSheetId="1">#REF!</definedName>
    <definedName name="A8.109.00" localSheetId="13">#REF!</definedName>
    <definedName name="A8.109.00" localSheetId="12">#REF!</definedName>
    <definedName name="A8.109.00" localSheetId="11">#REF!</definedName>
    <definedName name="A8.109.00" localSheetId="17">#REF!</definedName>
    <definedName name="A8.109.00">#REF!</definedName>
    <definedName name="A8.300.01" localSheetId="15">#REF!</definedName>
    <definedName name="A8.300.01" localSheetId="4">#REF!</definedName>
    <definedName name="A8.300.01" localSheetId="9">#REF!</definedName>
    <definedName name="A8.300.01" localSheetId="0">#REF!</definedName>
    <definedName name="A8.300.01" localSheetId="7">#REF!</definedName>
    <definedName name="A8.300.01" localSheetId="2">#REF!</definedName>
    <definedName name="A8.300.01" localSheetId="1">#REF!</definedName>
    <definedName name="A8.300.01" localSheetId="13">#REF!</definedName>
    <definedName name="A8.300.01" localSheetId="12">#REF!</definedName>
    <definedName name="A8.300.01" localSheetId="11">#REF!</definedName>
    <definedName name="A8.300.01" localSheetId="17">#REF!</definedName>
    <definedName name="A8.300.01">#REF!</definedName>
    <definedName name="A8.302.05" localSheetId="15">#REF!</definedName>
    <definedName name="A8.302.05" localSheetId="4">#REF!</definedName>
    <definedName name="A8.302.05" localSheetId="9">#REF!</definedName>
    <definedName name="A8.302.05" localSheetId="0">#REF!</definedName>
    <definedName name="A8.302.05" localSheetId="7">#REF!</definedName>
    <definedName name="A8.302.05" localSheetId="2">#REF!</definedName>
    <definedName name="A8.302.05" localSheetId="1">#REF!</definedName>
    <definedName name="A8.302.05" localSheetId="13">#REF!</definedName>
    <definedName name="A8.302.05" localSheetId="12">#REF!</definedName>
    <definedName name="A8.302.05" localSheetId="11">#REF!</definedName>
    <definedName name="A8.302.05" localSheetId="17">#REF!</definedName>
    <definedName name="A8.302.05">#REF!</definedName>
    <definedName name="A8.401.00" localSheetId="4">#REF!</definedName>
    <definedName name="A8.401.00" localSheetId="9">#REF!</definedName>
    <definedName name="A8.401.00" localSheetId="0">#REF!</definedName>
    <definedName name="A8.401.00" localSheetId="7">#REF!</definedName>
    <definedName name="A8.401.00" localSheetId="2">#REF!</definedName>
    <definedName name="A8.401.00" localSheetId="1">#REF!</definedName>
    <definedName name="A8.401.00" localSheetId="12">#REF!</definedName>
    <definedName name="A8.401.00" localSheetId="17">#REF!</definedName>
    <definedName name="A8.401.00">#REF!</definedName>
    <definedName name="A8.402.02" localSheetId="4">#REF!</definedName>
    <definedName name="A8.402.02" localSheetId="9">#REF!</definedName>
    <definedName name="A8.402.02" localSheetId="0">#REF!</definedName>
    <definedName name="A8.402.02" localSheetId="2">#REF!</definedName>
    <definedName name="A8.402.02" localSheetId="1">#REF!</definedName>
    <definedName name="A8.402.02" localSheetId="12">#REF!</definedName>
    <definedName name="A8.402.02" localSheetId="17">#REF!</definedName>
    <definedName name="A8.402.02">#REF!</definedName>
    <definedName name="A8.901.00" localSheetId="15">#REF!</definedName>
    <definedName name="A8.901.00" localSheetId="4">#REF!</definedName>
    <definedName name="A8.901.00" localSheetId="9">#REF!</definedName>
    <definedName name="A8.901.00" localSheetId="0">#REF!</definedName>
    <definedName name="A8.901.00" localSheetId="7">#REF!</definedName>
    <definedName name="A8.901.00" localSheetId="2">#REF!</definedName>
    <definedName name="A8.901.00" localSheetId="1">#REF!</definedName>
    <definedName name="A8.901.00" localSheetId="13">#REF!</definedName>
    <definedName name="A8.901.00" localSheetId="12">#REF!</definedName>
    <definedName name="A8.901.00" localSheetId="11">#REF!</definedName>
    <definedName name="A8.901.00" localSheetId="17">#REF!</definedName>
    <definedName name="A8.901.00">#REF!</definedName>
    <definedName name="aa" localSheetId="15">#REF!</definedName>
    <definedName name="aa" localSheetId="4">#REF!</definedName>
    <definedName name="aa" localSheetId="9">#REF!</definedName>
    <definedName name="AA" localSheetId="0">DMT!AA</definedName>
    <definedName name="aa" localSheetId="7">#REF!</definedName>
    <definedName name="aa" localSheetId="2">#REF!</definedName>
    <definedName name="aa" localSheetId="1">#REF!</definedName>
    <definedName name="aa" localSheetId="13">#REF!</definedName>
    <definedName name="aa" localSheetId="12">#REF!</definedName>
    <definedName name="aa" localSheetId="11">#REF!</definedName>
    <definedName name="aa" localSheetId="17">#REF!</definedName>
    <definedName name="aa">#REF!</definedName>
    <definedName name="aaa" localSheetId="2">#REF!</definedName>
    <definedName name="aaa" localSheetId="1">#REF!</definedName>
    <definedName name="aaa" localSheetId="17">#REF!</definedName>
    <definedName name="aaa">#REF!</definedName>
    <definedName name="AAAA" localSheetId="15">#REF!</definedName>
    <definedName name="AAAA" localSheetId="4">#REF!</definedName>
    <definedName name="AAAA" localSheetId="9">#REF!</definedName>
    <definedName name="AAAA" localSheetId="0">#REF!</definedName>
    <definedName name="AAAA" localSheetId="7">#REF!</definedName>
    <definedName name="AAAA" localSheetId="2">#REF!</definedName>
    <definedName name="AAAA" localSheetId="1">#REF!</definedName>
    <definedName name="AAAA" localSheetId="12">#REF!</definedName>
    <definedName name="AAAA" localSheetId="11">#REF!</definedName>
    <definedName name="AAAA" localSheetId="17">#REF!</definedName>
    <definedName name="AAAA">#REF!</definedName>
    <definedName name="aaaaaa" localSheetId="2">#REF!</definedName>
    <definedName name="aaaaaa" localSheetId="1">#REF!</definedName>
    <definedName name="aaaaaa" localSheetId="17">#REF!</definedName>
    <definedName name="aaaaaa">#REF!</definedName>
    <definedName name="AAAAAAAAA" localSheetId="15">'CALÇADA E ACESS. - JDML'!AAAAAAAAA</definedName>
    <definedName name="AAAAAAAAA" localSheetId="4">'DEMOLIÇÃO - JDML'!AAAAAAAAA</definedName>
    <definedName name="AAAAAAAAA" localSheetId="9">'DISP. DRENAGEM - JDML'!AAAAAAAAA</definedName>
    <definedName name="AAAAAAAAA" localSheetId="0">DMT!AAAAAAAAA</definedName>
    <definedName name="AAAAAAAAA" localSheetId="8">#N/A</definedName>
    <definedName name="AAAAAAAAA" localSheetId="7">'DRENAGEM - JDML'!AAAAAAAAA</definedName>
    <definedName name="AAAAAAAAA" localSheetId="6">#N/A</definedName>
    <definedName name="AAAAAAAAA" localSheetId="2">GRELHA!AAAAAAAAA</definedName>
    <definedName name="AAAAAAAAA" localSheetId="1">'MAT BET'!AAAAAAAAA</definedName>
    <definedName name="AAAAAAAAA" localSheetId="13">'PAVIMENTAÇÃO - JDML'!AAAAAAAAA</definedName>
    <definedName name="AAAAAAAAA" localSheetId="3">'PRELIMINARES - JDML+JDA-E2'!AAAAAAAAA</definedName>
    <definedName name="AAAAAAAAA" localSheetId="12">'RECAPEAMENTO - JDML'!AAAAAAAAA</definedName>
    <definedName name="AAAAAAAAA" localSheetId="11">'REMENDO - JDML'!AAAAAAAAA</definedName>
    <definedName name="AAAAAAAAA" localSheetId="17">'SINALIZAÇÃO - JDML'!AAAAAAAAA</definedName>
    <definedName name="AAAAAAAAA">[0]!AAAAAAAAA</definedName>
    <definedName name="ABC" localSheetId="2">#REF!</definedName>
    <definedName name="ABC" localSheetId="1">#REF!</definedName>
    <definedName name="ABC" localSheetId="17">#REF!</definedName>
    <definedName name="ABC">#REF!</definedName>
    <definedName name="Ac" localSheetId="2">#REF!</definedName>
    <definedName name="Ac" localSheetId="1">#REF!</definedName>
    <definedName name="Ac" localSheetId="17">#REF!</definedName>
    <definedName name="Ac">#REF!</definedName>
    <definedName name="AccessDatabase" hidden="1">"C:\Documents and Settings\JPMELLO\Meus documentos\ARQUIVOS 2004\MONITORAMENTO OAC\Monitoramento de OAC.mdb"</definedName>
    <definedName name="AÇO_PESO.ESP" localSheetId="2">#REF!</definedName>
    <definedName name="AÇO_PESO.ESP" localSheetId="1">#REF!</definedName>
    <definedName name="AÇO_PESO.ESP" localSheetId="17">#REF!</definedName>
    <definedName name="AÇO_PESO.ESP">#REF!</definedName>
    <definedName name="ACOMPANHAMENTO" localSheetId="2" hidden="1">IF(VALUE(#REF!)=2,"BM","PLE")</definedName>
    <definedName name="ACOMPANHAMENTO" localSheetId="1" hidden="1">IF(VALUE(#REF!)=2,"BM","PLE")</definedName>
    <definedName name="ACOMPANHAMENTO" localSheetId="17" hidden="1">IF(VALUE(#REF!)=2,"BM","PLE")</definedName>
    <definedName name="ACOMPANHAMENTO" hidden="1">IF(VALUE(#REF!)=2,"BM","PLE")</definedName>
    <definedName name="AD" localSheetId="2">#REF!</definedName>
    <definedName name="AD" localSheetId="1">#REF!</definedName>
    <definedName name="AD" localSheetId="17">#REF!</definedName>
    <definedName name="AD">#REF!</definedName>
    <definedName name="ADDDD" localSheetId="2">#REF!</definedName>
    <definedName name="ADDDD" localSheetId="1">#REF!</definedName>
    <definedName name="ADDDD" localSheetId="17">#REF!</definedName>
    <definedName name="ADDDD">#REF!</definedName>
    <definedName name="adf" localSheetId="2">#REF!</definedName>
    <definedName name="adf" localSheetId="1">#REF!</definedName>
    <definedName name="adf" localSheetId="17">#REF!</definedName>
    <definedName name="adf">#REF!</definedName>
    <definedName name="adfhdfhsd" localSheetId="15">#REF!</definedName>
    <definedName name="adfhdfhsd" localSheetId="4">#REF!</definedName>
    <definedName name="adfhdfhsd" localSheetId="9">#REF!</definedName>
    <definedName name="adfhdfhsd" localSheetId="0">#REF!</definedName>
    <definedName name="adfhdfhsd" localSheetId="7">#REF!</definedName>
    <definedName name="adfhdfhsd" localSheetId="2">#REF!</definedName>
    <definedName name="adfhdfhsd" localSheetId="1">#REF!</definedName>
    <definedName name="adfhdfhsd" localSheetId="12">#REF!</definedName>
    <definedName name="adfhdfhsd" localSheetId="11">#REF!</definedName>
    <definedName name="adfhdfhsd" localSheetId="17">#REF!</definedName>
    <definedName name="adfhdfhsd">#REF!</definedName>
    <definedName name="ADPL" localSheetId="2">#REF!</definedName>
    <definedName name="ADPL" localSheetId="1">#REF!</definedName>
    <definedName name="ADPL" localSheetId="17">#REF!</definedName>
    <definedName name="ADPL">#REF!</definedName>
    <definedName name="ADS" localSheetId="2">#REF!</definedName>
    <definedName name="ADS" localSheetId="1">#REF!</definedName>
    <definedName name="ADS" localSheetId="17">#REF!</definedName>
    <definedName name="ADS">#REF!</definedName>
    <definedName name="AFSDF" localSheetId="2">#REF!</definedName>
    <definedName name="AFSDF" localSheetId="1">#REF!</definedName>
    <definedName name="AFSDF" localSheetId="17">#REF!</definedName>
    <definedName name="AFSDF">#REF!</definedName>
    <definedName name="AFSF" localSheetId="2">#REF!</definedName>
    <definedName name="AFSF" localSheetId="1">#REF!</definedName>
    <definedName name="AFSF" localSheetId="17">#REF!</definedName>
    <definedName name="AFSF">#REF!</definedName>
    <definedName name="AGERGADO0" localSheetId="2">#REF!</definedName>
    <definedName name="AGERGADO0" localSheetId="1">#REF!</definedName>
    <definedName name="AGERGADO0" localSheetId="17">#REF!</definedName>
    <definedName name="AGERGADO0">#REF!</definedName>
    <definedName name="AGREGADO" localSheetId="17">#REF!</definedName>
    <definedName name="AGREGADO">#REF!</definedName>
    <definedName name="AGREGADOS" localSheetId="2">#REF!</definedName>
    <definedName name="AGREGADOS" localSheetId="1">#REF!</definedName>
    <definedName name="AGREGADOS" localSheetId="17">#REF!</definedName>
    <definedName name="AGREGADOS">#REF!</definedName>
    <definedName name="AGSD" localSheetId="2">#REF!</definedName>
    <definedName name="AGSD" localSheetId="1">#REF!</definedName>
    <definedName name="AGSD" localSheetId="17">#REF!</definedName>
    <definedName name="AGSD">#REF!</definedName>
    <definedName name="AGSDG" localSheetId="2">#REF!</definedName>
    <definedName name="AGSDG" localSheetId="1">#REF!</definedName>
    <definedName name="AGSDG" localSheetId="17">#REF!</definedName>
    <definedName name="AGSDG">#REF!</definedName>
    <definedName name="AKSDGL" localSheetId="2">#REF!</definedName>
    <definedName name="AKSDGL" localSheetId="1">#REF!</definedName>
    <definedName name="AKSDGL" localSheetId="17">#REF!</definedName>
    <definedName name="AKSDGL">#REF!</definedName>
    <definedName name="Alex" localSheetId="2">#REF!</definedName>
    <definedName name="Alex" localSheetId="1">#REF!</definedName>
    <definedName name="Alex" localSheetId="17">#REF!</definedName>
    <definedName name="Alex">#REF!</definedName>
    <definedName name="ALTA" localSheetId="15">#REF!</definedName>
    <definedName name="ALTA" localSheetId="4">#REF!</definedName>
    <definedName name="ALTA" localSheetId="9">#REF!</definedName>
    <definedName name="ALTA" localSheetId="7">#REF!</definedName>
    <definedName name="ALTA" localSheetId="2">#REF!</definedName>
    <definedName name="ALTA" localSheetId="1">#REF!</definedName>
    <definedName name="ALTA" localSheetId="17">#REF!</definedName>
    <definedName name="ALTA">#REF!</definedName>
    <definedName name="alvenaria_1" localSheetId="2">#REF!</definedName>
    <definedName name="alvenaria_1" localSheetId="1">#REF!</definedName>
    <definedName name="alvenaria_1" localSheetId="17">#REF!</definedName>
    <definedName name="alvenaria_1">#REF!</definedName>
    <definedName name="alvenaria_1_1_2" localSheetId="2">#REF!</definedName>
    <definedName name="alvenaria_1_1_2" localSheetId="1">#REF!</definedName>
    <definedName name="alvenaria_1_1_2" localSheetId="17">#REF!</definedName>
    <definedName name="alvenaria_1_1_2">#REF!</definedName>
    <definedName name="alvenaria_1_2" localSheetId="2">#REF!</definedName>
    <definedName name="alvenaria_1_2" localSheetId="1">#REF!</definedName>
    <definedName name="alvenaria_1_2" localSheetId="17">#REF!</definedName>
    <definedName name="alvenaria_1_2">#REF!</definedName>
    <definedName name="amarela" localSheetId="15">#REF!</definedName>
    <definedName name="amarela" localSheetId="4">#REF!</definedName>
    <definedName name="amarela" localSheetId="9">#REF!</definedName>
    <definedName name="amarela" localSheetId="7">#REF!</definedName>
    <definedName name="amarela" localSheetId="2">#REF!</definedName>
    <definedName name="amarela" localSheetId="1">#REF!</definedName>
    <definedName name="amarela" localSheetId="12">#REF!</definedName>
    <definedName name="amarela" localSheetId="11">#REF!</definedName>
    <definedName name="amarela" localSheetId="17">#REF!</definedName>
    <definedName name="amarela">#REF!</definedName>
    <definedName name="ANA" localSheetId="17">#REF!</definedName>
    <definedName name="ANA">#REF!</definedName>
    <definedName name="ANDRE" localSheetId="2">#REF!</definedName>
    <definedName name="ANDRE" localSheetId="1">#REF!</definedName>
    <definedName name="ANDRE" localSheetId="17">#REF!</definedName>
    <definedName name="ANDRE">#REF!</definedName>
    <definedName name="anel" localSheetId="2">#REF!</definedName>
    <definedName name="anel" localSheetId="1">#REF!</definedName>
    <definedName name="anel" localSheetId="17">#REF!</definedName>
    <definedName name="anel">#REF!</definedName>
    <definedName name="anscount" hidden="1">1</definedName>
    <definedName name="AQCAP" localSheetId="15">#REF!</definedName>
    <definedName name="AQCAP" localSheetId="4">#REF!</definedName>
    <definedName name="AQCAP" localSheetId="9">#REF!</definedName>
    <definedName name="AQCAP" localSheetId="7">#REF!</definedName>
    <definedName name="AQCAP" localSheetId="2">#REF!</definedName>
    <definedName name="AQCAP" localSheetId="1">#REF!</definedName>
    <definedName name="AQCAP" localSheetId="13">#REF!</definedName>
    <definedName name="AQCAP" localSheetId="12">#REF!</definedName>
    <definedName name="AQCAP" localSheetId="11">#REF!</definedName>
    <definedName name="AQCAP" localSheetId="17">#REF!</definedName>
    <definedName name="AQCAP">#REF!</definedName>
    <definedName name="AQCM30" localSheetId="15">#REF!</definedName>
    <definedName name="AQCM30" localSheetId="4">#REF!</definedName>
    <definedName name="AQCM30" localSheetId="9">#REF!</definedName>
    <definedName name="AQCM30" localSheetId="7">#REF!</definedName>
    <definedName name="AQCM30" localSheetId="2">#REF!</definedName>
    <definedName name="AQCM30" localSheetId="1">#REF!</definedName>
    <definedName name="AQCM30" localSheetId="13">#REF!</definedName>
    <definedName name="AQCM30" localSheetId="12">#REF!</definedName>
    <definedName name="AQCM30" localSheetId="11">#REF!</definedName>
    <definedName name="AQCM30" localSheetId="17">#REF!</definedName>
    <definedName name="AQCM30">#REF!</definedName>
    <definedName name="AQRC1C" localSheetId="15">#REF!</definedName>
    <definedName name="AQRC1C" localSheetId="4">#REF!</definedName>
    <definedName name="AQRC1C" localSheetId="9">#REF!</definedName>
    <definedName name="AQRC1C" localSheetId="7">#REF!</definedName>
    <definedName name="AQRC1C" localSheetId="2">#REF!</definedName>
    <definedName name="AQRC1C" localSheetId="1">#REF!</definedName>
    <definedName name="AQRC1C" localSheetId="13">#REF!</definedName>
    <definedName name="AQRC1C" localSheetId="12">#REF!</definedName>
    <definedName name="AQRC1C" localSheetId="11">#REF!</definedName>
    <definedName name="AQRC1C" localSheetId="17">#REF!</definedName>
    <definedName name="AQRC1C">#REF!</definedName>
    <definedName name="AQRR1C" localSheetId="15">#REF!</definedName>
    <definedName name="AQRR1C" localSheetId="4">#REF!</definedName>
    <definedName name="AQRR1C" localSheetId="9">#REF!</definedName>
    <definedName name="AQRR1C" localSheetId="7">#REF!</definedName>
    <definedName name="AQRR1C" localSheetId="2">#REF!</definedName>
    <definedName name="AQRR1C" localSheetId="1">#REF!</definedName>
    <definedName name="AQRR1C" localSheetId="13">#REF!</definedName>
    <definedName name="AQRR1C" localSheetId="12">#REF!</definedName>
    <definedName name="AQRR1C" localSheetId="11">#REF!</definedName>
    <definedName name="AQRR1C" localSheetId="17">#REF!</definedName>
    <definedName name="AQRR1C">#REF!</definedName>
    <definedName name="AQRR2C" localSheetId="15">#REF!</definedName>
    <definedName name="AQRR2C" localSheetId="4">#REF!</definedName>
    <definedName name="AQRR2C" localSheetId="9">#REF!</definedName>
    <definedName name="AQRR2C" localSheetId="7">#REF!</definedName>
    <definedName name="AQRR2C" localSheetId="2">#REF!</definedName>
    <definedName name="AQRR2C" localSheetId="1">#REF!</definedName>
    <definedName name="AQRR2C" localSheetId="13">#REF!</definedName>
    <definedName name="AQRR2C" localSheetId="12">#REF!</definedName>
    <definedName name="AQRR2C" localSheetId="11">#REF!</definedName>
    <definedName name="AQRR2C" localSheetId="17">#REF!</definedName>
    <definedName name="AQRR2C">#REF!</definedName>
    <definedName name="ÀREA" localSheetId="15">#REF!</definedName>
    <definedName name="ÀREA" localSheetId="4">#REF!</definedName>
    <definedName name="ÀREA" localSheetId="9">#REF!</definedName>
    <definedName name="ÀREA" localSheetId="0">#REF!</definedName>
    <definedName name="ÀREA" localSheetId="7">#REF!</definedName>
    <definedName name="ÀREA" localSheetId="2">#REF!</definedName>
    <definedName name="ÀREA" localSheetId="1">#REF!</definedName>
    <definedName name="ÀREA" localSheetId="12">#REF!</definedName>
    <definedName name="ÀREA" localSheetId="11">#REF!</definedName>
    <definedName name="ÀREA" localSheetId="17">#REF!</definedName>
    <definedName name="ÀREA">#REF!</definedName>
    <definedName name="ÀREA_ACUM" localSheetId="15">#REF!</definedName>
    <definedName name="ÀREA_ACUM" localSheetId="4">#REF!</definedName>
    <definedName name="ÀREA_ACUM" localSheetId="9">#REF!</definedName>
    <definedName name="ÀREA_ACUM" localSheetId="0">#REF!</definedName>
    <definedName name="ÀREA_ACUM" localSheetId="7">#REF!</definedName>
    <definedName name="ÀREA_ACUM" localSheetId="2">#REF!</definedName>
    <definedName name="ÀREA_ACUM" localSheetId="1">#REF!</definedName>
    <definedName name="ÀREA_ACUM" localSheetId="12">#REF!</definedName>
    <definedName name="ÀREA_ACUM" localSheetId="11">#REF!</definedName>
    <definedName name="ÀREA_ACUM" localSheetId="17">#REF!</definedName>
    <definedName name="ÀREA_ACUM">#REF!</definedName>
    <definedName name="_xlnm.Extract" localSheetId="17">#REF!</definedName>
    <definedName name="_xlnm.Extract">#REF!</definedName>
    <definedName name="_xlnm.Print_Area" localSheetId="16">'CALÇADA - JDA-E2'!$A$1:$U$60</definedName>
    <definedName name="_xlnm.Print_Area" localSheetId="15">'CALÇADA E ACESS. - JDML'!$B$2:$AI$43</definedName>
    <definedName name="_xlnm.Print_Area" localSheetId="5">'COORD RETIRADAS'!$B$1:$I$12</definedName>
    <definedName name="_xlnm.Print_Area" localSheetId="4">'DEMOLIÇÃO - JDML'!$D$4:$L$14</definedName>
    <definedName name="_xlnm.Print_Area" localSheetId="10">'DISP. DRENAGEM - JDA-E2'!$A$1:$I$36</definedName>
    <definedName name="_xlnm.Print_Area" localSheetId="9">'DISP. DRENAGEM - JDML'!$B$2:$H$37</definedName>
    <definedName name="_xlnm.Print_Area" localSheetId="0">DMT!$B$4:$F$16</definedName>
    <definedName name="_xlnm.Print_Area" localSheetId="8">'DRENAGEM - JDA-E2'!$AT$10:$DG$47</definedName>
    <definedName name="_xlnm.Print_Area" localSheetId="7">'DRENAGEM - JDML'!$AT$10:$DB$48</definedName>
    <definedName name="_xlnm.Print_Area" localSheetId="6">'DRENO - JDA-E2'!$B$2:$X$18</definedName>
    <definedName name="_xlnm.Print_Area" localSheetId="2">GRELHA!$A$1:$N$35</definedName>
    <definedName name="_xlnm.Print_Area" localSheetId="1">'MAT BET'!$A$1:$N$38</definedName>
    <definedName name="_xlnm.Print_Area" localSheetId="13">'PAVIMENTAÇÃO - JDML'!$B$2:$AJ$20</definedName>
    <definedName name="_xlnm.Print_Area" localSheetId="3">'PRELIMINARES - JDML+JDA-E2'!$B$2:$G$13</definedName>
    <definedName name="_xlnm.Print_Area" localSheetId="12">'RECAPEAMENTO - JDML'!$B$2:$AI$15</definedName>
    <definedName name="_xlnm.Print_Area" localSheetId="11">'REMENDO - JDML'!$B$2:$T$12</definedName>
    <definedName name="_xlnm.Print_Area" localSheetId="18">'SINALIZAÇÃO - JDA-E2'!$B$2:$H$30</definedName>
    <definedName name="_xlnm.Print_Area" localSheetId="17">'SINALIZAÇÃO - JDML'!$B$2:$H$52</definedName>
    <definedName name="Área_impressão_IM" localSheetId="15">#REF!</definedName>
    <definedName name="Área_impressão_IM" localSheetId="4">#REF!</definedName>
    <definedName name="Área_impressão_IM" localSheetId="9">#REF!</definedName>
    <definedName name="Área_impressão_IM" localSheetId="0">#REF!</definedName>
    <definedName name="Área_impressão_IM" localSheetId="7">#REF!</definedName>
    <definedName name="Área_impressão_IM" localSheetId="2">#REF!</definedName>
    <definedName name="Área_impressão_IM" localSheetId="1">#REF!</definedName>
    <definedName name="Área_impressão_IM" localSheetId="12">#REF!</definedName>
    <definedName name="Área_impressão_IM" localSheetId="11">#REF!</definedName>
    <definedName name="Área_impressão_IM" localSheetId="17">#REF!</definedName>
    <definedName name="Área_impressão_IM">#REF!</definedName>
    <definedName name="AREAL" localSheetId="15">#REF!</definedName>
    <definedName name="AREAL" localSheetId="4">#REF!</definedName>
    <definedName name="AREAL" localSheetId="9">#REF!</definedName>
    <definedName name="AREAL" localSheetId="7">#REF!</definedName>
    <definedName name="AREAL" localSheetId="2">#REF!</definedName>
    <definedName name="AREAL" localSheetId="1">#REF!</definedName>
    <definedName name="AREAL" localSheetId="13">#REF!</definedName>
    <definedName name="AREAL" localSheetId="12">#REF!</definedName>
    <definedName name="AREAL" localSheetId="11">#REF!</definedName>
    <definedName name="AREAL" localSheetId="17">#REF!</definedName>
    <definedName name="AREAL">#REF!</definedName>
    <definedName name="AREIA" localSheetId="15">#REF!</definedName>
    <definedName name="AREIA" localSheetId="4">#REF!</definedName>
    <definedName name="AREIA" localSheetId="9">#REF!</definedName>
    <definedName name="AREIA" localSheetId="0">#REF!</definedName>
    <definedName name="AREIA" localSheetId="7">#REF!</definedName>
    <definedName name="AREIA" localSheetId="2">#REF!</definedName>
    <definedName name="AREIA" localSheetId="1">#REF!</definedName>
    <definedName name="AREIA" localSheetId="12">#REF!</definedName>
    <definedName name="AREIA" localSheetId="11">#REF!</definedName>
    <definedName name="AREIA" localSheetId="17">#REF!</definedName>
    <definedName name="AREIA">#REF!</definedName>
    <definedName name="ARMADURA" localSheetId="4">#REF!</definedName>
    <definedName name="ARMADURA" localSheetId="2">#REF!</definedName>
    <definedName name="ARMADURA" localSheetId="1">#REF!</definedName>
    <definedName name="ARMADURA" localSheetId="17">#REF!</definedName>
    <definedName name="ARMADURA">#REF!</definedName>
    <definedName name="ARRUMADA" localSheetId="4">#REF!</definedName>
    <definedName name="ARRUMADA" localSheetId="2">#REF!</definedName>
    <definedName name="ARRUMADA" localSheetId="1">#REF!</definedName>
    <definedName name="ARRUMADA" localSheetId="17">#REF!</definedName>
    <definedName name="ARRUMADA">#REF!</definedName>
    <definedName name="as" localSheetId="15">#REF!</definedName>
    <definedName name="as" localSheetId="4">#REF!</definedName>
    <definedName name="as" localSheetId="9">#REF!</definedName>
    <definedName name="as" localSheetId="0">#REF!</definedName>
    <definedName name="as" localSheetId="7">#REF!</definedName>
    <definedName name="as" localSheetId="2">#REF!</definedName>
    <definedName name="as" localSheetId="1">#REF!</definedName>
    <definedName name="as" localSheetId="12">#REF!</definedName>
    <definedName name="as" localSheetId="11">#REF!</definedName>
    <definedName name="as" localSheetId="17">#REF!</definedName>
    <definedName name="as">#REF!</definedName>
    <definedName name="ASA" localSheetId="2">#REF!</definedName>
    <definedName name="ASA" localSheetId="1">#REF!</definedName>
    <definedName name="ASA" localSheetId="17">#REF!</definedName>
    <definedName name="ASA">#REF!</definedName>
    <definedName name="ASCAS" localSheetId="2">#REF!</definedName>
    <definedName name="ASCAS" localSheetId="1">#REF!</definedName>
    <definedName name="ASCAS" localSheetId="17">#REF!</definedName>
    <definedName name="ASCAS">#REF!</definedName>
    <definedName name="asd" localSheetId="2">#REF!</definedName>
    <definedName name="asd" localSheetId="1">#REF!</definedName>
    <definedName name="asd" localSheetId="17">#REF!</definedName>
    <definedName name="asd">#REF!</definedName>
    <definedName name="asdf" localSheetId="2">#REF!</definedName>
    <definedName name="asdf" localSheetId="1">#REF!</definedName>
    <definedName name="asdf" localSheetId="17">#REF!</definedName>
    <definedName name="asdf">#REF!</definedName>
    <definedName name="asdfas" localSheetId="2">#REF!</definedName>
    <definedName name="asdfas" localSheetId="1">#REF!</definedName>
    <definedName name="asdfas" localSheetId="17">#REF!</definedName>
    <definedName name="asdfas">#REF!</definedName>
    <definedName name="ASDFF" localSheetId="2">#REF!</definedName>
    <definedName name="ASDFF" localSheetId="1">#REF!</definedName>
    <definedName name="ASDFF" localSheetId="17">#REF!</definedName>
    <definedName name="ASDFF">#REF!</definedName>
    <definedName name="asfasgas" localSheetId="15">#REF!</definedName>
    <definedName name="asfasgas" localSheetId="4">#REF!</definedName>
    <definedName name="asfasgas" localSheetId="9">#REF!</definedName>
    <definedName name="asfasgas" localSheetId="2">#REF!</definedName>
    <definedName name="asfasgas" localSheetId="1">#REF!</definedName>
    <definedName name="asfasgas" localSheetId="12">#REF!</definedName>
    <definedName name="asfasgas" localSheetId="17">#REF!</definedName>
    <definedName name="asfasgas">#REF!</definedName>
    <definedName name="ASFDG" localSheetId="2">#REF!</definedName>
    <definedName name="ASFDG" localSheetId="1">#REF!</definedName>
    <definedName name="ASFDG" localSheetId="17">#REF!</definedName>
    <definedName name="ASFDG">#REF!</definedName>
    <definedName name="ASFDGD" localSheetId="2">#REF!</definedName>
    <definedName name="ASFDGD" localSheetId="1">#REF!</definedName>
    <definedName name="ASFDGD" localSheetId="17">#REF!</definedName>
    <definedName name="ASFDGD">#REF!</definedName>
    <definedName name="ASFVASV" localSheetId="2">#REF!</definedName>
    <definedName name="ASFVASV" localSheetId="1">#REF!</definedName>
    <definedName name="ASFVASV" localSheetId="17">#REF!</definedName>
    <definedName name="ASFVASV">#REF!</definedName>
    <definedName name="ASG" localSheetId="2">#REF!</definedName>
    <definedName name="ASG" localSheetId="1">#REF!</definedName>
    <definedName name="ASG" localSheetId="17">#REF!</definedName>
    <definedName name="ASG">#REF!</definedName>
    <definedName name="ASGD" localSheetId="2">#REF!</definedName>
    <definedName name="ASGD" localSheetId="1">#REF!</definedName>
    <definedName name="ASGD" localSheetId="17">#REF!</definedName>
    <definedName name="ASGD">#REF!</definedName>
    <definedName name="ASGDF" localSheetId="2">#REF!</definedName>
    <definedName name="ASGDF" localSheetId="1">#REF!</definedName>
    <definedName name="ASGDF" localSheetId="17">#REF!</definedName>
    <definedName name="ASGDF">#REF!</definedName>
    <definedName name="ASVDVFA" localSheetId="2">#REF!</definedName>
    <definedName name="ASVDVFA" localSheetId="1">#REF!</definedName>
    <definedName name="ASVDVFA" localSheetId="17">#REF!</definedName>
    <definedName name="ASVDVFA">#REF!</definedName>
    <definedName name="ATENÇÃO" localSheetId="15" hidden="1">{#N/A,#N/A,FALSE,"MO (2)"}</definedName>
    <definedName name="ATENÇÃO" localSheetId="8" hidden="1">{#N/A,#N/A,FALSE,"MO (2)"}</definedName>
    <definedName name="ATENÇÃO" localSheetId="6" hidden="1">{#N/A,#N/A,FALSE,"MO (2)"}</definedName>
    <definedName name="ATENÇÃO" localSheetId="2" hidden="1">{#N/A,#N/A,FALSE,"MO (2)"}</definedName>
    <definedName name="ATENÇÃO" localSheetId="13" hidden="1">{#N/A,#N/A,FALSE,"MO (2)"}</definedName>
    <definedName name="ATENÇÃO" localSheetId="12" hidden="1">{#N/A,#N/A,FALSE,"MO (2)"}</definedName>
    <definedName name="ATENÇÃO" localSheetId="17" hidden="1">{#N/A,#N/A,FALSE,"MO (2)"}</definedName>
    <definedName name="ATENÇÃO" hidden="1">{#N/A,#N/A,FALSE,"MO (2)"}</definedName>
    <definedName name="Aut_original" localSheetId="15">#REF!</definedName>
    <definedName name="Aut_original" localSheetId="4">#REF!</definedName>
    <definedName name="Aut_original" localSheetId="9">#REF!</definedName>
    <definedName name="Aut_original" localSheetId="7">#REF!</definedName>
    <definedName name="Aut_original" localSheetId="2">#REF!</definedName>
    <definedName name="Aut_original" localSheetId="1">#REF!</definedName>
    <definedName name="Aut_original" localSheetId="12">#REF!</definedName>
    <definedName name="Aut_original" localSheetId="11">#REF!</definedName>
    <definedName name="Aut_original" localSheetId="17">#REF!</definedName>
    <definedName name="Aut_original">#REF!</definedName>
    <definedName name="Aut_resumo" localSheetId="4">#REF!</definedName>
    <definedName name="Aut_resumo" localSheetId="9">#REF!</definedName>
    <definedName name="Aut_resumo" localSheetId="7">#REF!</definedName>
    <definedName name="Aut_resumo" localSheetId="2">#REF!</definedName>
    <definedName name="Aut_resumo" localSheetId="1">#REF!</definedName>
    <definedName name="Aut_resumo" localSheetId="11">#REF!</definedName>
    <definedName name="Aut_resumo" localSheetId="17">#REF!</definedName>
    <definedName name="Aut_resumo">#REF!</definedName>
    <definedName name="aux" localSheetId="2">#REF!</definedName>
    <definedName name="aux" localSheetId="1">#REF!</definedName>
    <definedName name="aux" localSheetId="17">#REF!</definedName>
    <definedName name="aux">#REF!</definedName>
    <definedName name="avenida" localSheetId="2">#REF!</definedName>
    <definedName name="avenida" localSheetId="1">#REF!</definedName>
    <definedName name="avenida" localSheetId="17">#REF!</definedName>
    <definedName name="avenida">#REF!</definedName>
    <definedName name="azul" localSheetId="15">#REF!</definedName>
    <definedName name="azul" localSheetId="4">#REF!</definedName>
    <definedName name="azul" localSheetId="9">#REF!</definedName>
    <definedName name="azul" localSheetId="7">#REF!</definedName>
    <definedName name="azul" localSheetId="2">#REF!</definedName>
    <definedName name="azul" localSheetId="1">#REF!</definedName>
    <definedName name="azul" localSheetId="12">#REF!</definedName>
    <definedName name="azul" localSheetId="11">#REF!</definedName>
    <definedName name="azul" localSheetId="17">#REF!</definedName>
    <definedName name="azul">#REF!</definedName>
    <definedName name="AZULSINAL" localSheetId="15">#REF!</definedName>
    <definedName name="AZULSINAL" localSheetId="4">#REF!</definedName>
    <definedName name="AZULSINAL" localSheetId="9">#REF!</definedName>
    <definedName name="AZULSINAL" localSheetId="2">#REF!</definedName>
    <definedName name="AZULSINAL" localSheetId="1">#REF!</definedName>
    <definedName name="AZULSINAL" localSheetId="12">#REF!</definedName>
    <definedName name="AZULSINAL" localSheetId="17">#REF!</definedName>
    <definedName name="AZULSINAL">#REF!</definedName>
    <definedName name="B" localSheetId="15" hidden="1">{#N/A,#N/A,FALSE,"MO (2)"}</definedName>
    <definedName name="B" localSheetId="8" hidden="1">{#N/A,#N/A,FALSE,"MO (2)"}</definedName>
    <definedName name="B" localSheetId="6" hidden="1">{#N/A,#N/A,FALSE,"MO (2)"}</definedName>
    <definedName name="B" localSheetId="2" hidden="1">{#N/A,#N/A,FALSE,"MO (2)"}</definedName>
    <definedName name="B" localSheetId="13" hidden="1">{#N/A,#N/A,FALSE,"MO (2)"}</definedName>
    <definedName name="B" localSheetId="12" hidden="1">{#N/A,#N/A,FALSE,"MO (2)"}</definedName>
    <definedName name="B" localSheetId="17" hidden="1">{#N/A,#N/A,FALSE,"MO (2)"}</definedName>
    <definedName name="B" hidden="1">{#N/A,#N/A,FALSE,"MO (2)"}</definedName>
    <definedName name="BACIA_3" localSheetId="2">#REF!</definedName>
    <definedName name="BACIA_3" localSheetId="1">#REF!</definedName>
    <definedName name="BACIA_3" localSheetId="17">#REF!</definedName>
    <definedName name="BACIA_3">#REF!</definedName>
    <definedName name="bacia15" localSheetId="2">#REF!</definedName>
    <definedName name="bacia15" localSheetId="1">#REF!</definedName>
    <definedName name="bacia15" localSheetId="17">#REF!</definedName>
    <definedName name="bacia15">#REF!</definedName>
    <definedName name="bacia16" localSheetId="2">#REF!</definedName>
    <definedName name="bacia16" localSheetId="1">#REF!</definedName>
    <definedName name="bacia16" localSheetId="17">#REF!</definedName>
    <definedName name="bacia16">#REF!</definedName>
    <definedName name="BACIA160" localSheetId="2">#REF!</definedName>
    <definedName name="BACIA160" localSheetId="1">#REF!</definedName>
    <definedName name="BACIA160" localSheetId="17">#REF!</definedName>
    <definedName name="BACIA160">#REF!</definedName>
    <definedName name="BACIA17" localSheetId="2">#REF!</definedName>
    <definedName name="BACIA17" localSheetId="1">#REF!</definedName>
    <definedName name="BACIA17" localSheetId="17">#REF!</definedName>
    <definedName name="BACIA17">#REF!</definedName>
    <definedName name="BAIANO" localSheetId="2">#REF!</definedName>
    <definedName name="BAIANO" localSheetId="1">#REF!</definedName>
    <definedName name="BAIANO" localSheetId="17">#REF!</definedName>
    <definedName name="BAIANO">#REF!</definedName>
    <definedName name="Banco_dados_IM" localSheetId="2">#REF!</definedName>
    <definedName name="Banco_dados_IM" localSheetId="1">#REF!</definedName>
    <definedName name="Banco_dados_IM" localSheetId="17">#REF!</definedName>
    <definedName name="Banco_dados_IM">#REF!</definedName>
    <definedName name="Banco_dados_IM2" localSheetId="2">#REF!</definedName>
    <definedName name="Banco_dados_IM2" localSheetId="1">#REF!</definedName>
    <definedName name="Banco_dados_IM2" localSheetId="17">#REF!</definedName>
    <definedName name="Banco_dados_IM2">#REF!</definedName>
    <definedName name="_xlnm.Database" localSheetId="15">#REF!</definedName>
    <definedName name="_xlnm.Database" localSheetId="4">#REF!</definedName>
    <definedName name="_xlnm.Database" localSheetId="9">#REF!</definedName>
    <definedName name="_xlnm.Database" localSheetId="0">#REF!</definedName>
    <definedName name="_xlnm.Database" localSheetId="2">#REF!</definedName>
    <definedName name="_xlnm.Database" localSheetId="1">#REF!</definedName>
    <definedName name="_xlnm.Database" localSheetId="12">#REF!</definedName>
    <definedName name="_xlnm.Database" localSheetId="17">#REF!</definedName>
    <definedName name="_xlnm.Database">#REF!</definedName>
    <definedName name="BB" localSheetId="15">#REF!</definedName>
    <definedName name="BB" localSheetId="4">#REF!</definedName>
    <definedName name="BB" localSheetId="9">#REF!</definedName>
    <definedName name="BB" localSheetId="0">#REF!</definedName>
    <definedName name="BB" localSheetId="2">#REF!</definedName>
    <definedName name="BB" localSheetId="1">#REF!</definedName>
    <definedName name="BB" localSheetId="12">#REF!</definedName>
    <definedName name="BB" localSheetId="17">#REF!</definedName>
    <definedName name="BB">#REF!</definedName>
    <definedName name="BD" localSheetId="2">#REF!</definedName>
    <definedName name="BD" localSheetId="1">#REF!</definedName>
    <definedName name="BD" localSheetId="17">#REF!</definedName>
    <definedName name="BD">#REF!</definedName>
    <definedName name="bdgfsb" localSheetId="2">#REF!</definedName>
    <definedName name="bdgfsb" localSheetId="1">#REF!</definedName>
    <definedName name="bdgfsb" localSheetId="17">#REF!</definedName>
    <definedName name="bdgfsb">#REF!</definedName>
    <definedName name="BDI" localSheetId="15">#REF!</definedName>
    <definedName name="BDI" localSheetId="4">#REF!</definedName>
    <definedName name="BDI" localSheetId="9">#REF!</definedName>
    <definedName name="BDI" localSheetId="0">#REF!</definedName>
    <definedName name="BDI" localSheetId="7">#REF!</definedName>
    <definedName name="BDI" localSheetId="2">#REF!</definedName>
    <definedName name="BDI" localSheetId="1">#REF!</definedName>
    <definedName name="BDI" localSheetId="13">#REF!</definedName>
    <definedName name="BDI" localSheetId="11">#REF!</definedName>
    <definedName name="BDI" localSheetId="17">#REF!</definedName>
    <definedName name="BDI">#REF!</definedName>
    <definedName name="BDI_7">#N/A</definedName>
    <definedName name="BDI_8">#N/A</definedName>
    <definedName name="BDIc" localSheetId="2">#REF!</definedName>
    <definedName name="BDIc" localSheetId="1">#REF!</definedName>
    <definedName name="BDIc" localSheetId="17">#REF!</definedName>
    <definedName name="BDIc">#REF!</definedName>
    <definedName name="BDIf" localSheetId="2">#REF!</definedName>
    <definedName name="BDIf" localSheetId="1">#REF!</definedName>
    <definedName name="BDIf" localSheetId="17">#REF!</definedName>
    <definedName name="BDIf">#REF!</definedName>
    <definedName name="BG" localSheetId="15">#REF!</definedName>
    <definedName name="BG" localSheetId="4">#REF!</definedName>
    <definedName name="BG" localSheetId="9">#REF!</definedName>
    <definedName name="BG" localSheetId="7">#REF!</definedName>
    <definedName name="BG" localSheetId="2">#REF!</definedName>
    <definedName name="BG" localSheetId="1">#REF!</definedName>
    <definedName name="BG" localSheetId="12">#REF!</definedName>
    <definedName name="BG" localSheetId="11">#REF!</definedName>
    <definedName name="BG" localSheetId="17">#REF!</definedName>
    <definedName name="BG">#REF!</definedName>
    <definedName name="BGU" localSheetId="15">#REF!</definedName>
    <definedName name="BGU" localSheetId="4">#REF!</definedName>
    <definedName name="BGU" localSheetId="9">#REF!</definedName>
    <definedName name="BGU" localSheetId="2">#REF!</definedName>
    <definedName name="BGU" localSheetId="1">#REF!</definedName>
    <definedName name="BGU" localSheetId="12">#REF!</definedName>
    <definedName name="BGU" localSheetId="17">#REF!</definedName>
    <definedName name="BGU">#REF!</definedName>
    <definedName name="Bloco" localSheetId="15" hidden="1">#REF!</definedName>
    <definedName name="Bloco" localSheetId="4" hidden="1">#REF!</definedName>
    <definedName name="Bloco" localSheetId="9" hidden="1">#REF!</definedName>
    <definedName name="Bloco" localSheetId="2" hidden="1">#REF!</definedName>
    <definedName name="Bloco" localSheetId="1" hidden="1">#REF!</definedName>
    <definedName name="Bloco" localSheetId="12" hidden="1">#REF!</definedName>
    <definedName name="Bloco" localSheetId="17" hidden="1">#REF!</definedName>
    <definedName name="Bloco" hidden="1">#REF!</definedName>
    <definedName name="Bloco2" localSheetId="15" hidden="1">#REF!</definedName>
    <definedName name="Bloco2" localSheetId="4" hidden="1">#REF!</definedName>
    <definedName name="Bloco2" localSheetId="9" hidden="1">#REF!</definedName>
    <definedName name="Bloco2" localSheetId="2" hidden="1">#REF!</definedName>
    <definedName name="Bloco2" localSheetId="1" hidden="1">#REF!</definedName>
    <definedName name="Bloco2" localSheetId="12" hidden="1">#REF!</definedName>
    <definedName name="Bloco2" localSheetId="17" hidden="1">#REF!</definedName>
    <definedName name="Bloco2" hidden="1">#REF!</definedName>
    <definedName name="BOLETIM" localSheetId="15">#REF!</definedName>
    <definedName name="BOLETIM" localSheetId="4">#REF!</definedName>
    <definedName name="BOLETIM" localSheetId="9">#REF!</definedName>
    <definedName name="BOLETIM" localSheetId="0">#REF!</definedName>
    <definedName name="BOLETIM" localSheetId="2">#REF!</definedName>
    <definedName name="BOLETIM" localSheetId="1">#REF!</definedName>
    <definedName name="BOLETIM" localSheetId="12">#REF!</definedName>
    <definedName name="BOLETIM" localSheetId="17">#REF!</definedName>
    <definedName name="BOLETIM">#REF!</definedName>
    <definedName name="BR" localSheetId="4">#REF!</definedName>
    <definedName name="BR" localSheetId="2">#REF!</definedName>
    <definedName name="BR" localSheetId="1">#REF!</definedName>
    <definedName name="BR" localSheetId="17">#REF!</definedName>
    <definedName name="BR">#REF!</definedName>
    <definedName name="BRITA" localSheetId="15">#REF!</definedName>
    <definedName name="BRITA" localSheetId="4">#REF!</definedName>
    <definedName name="BRITA" localSheetId="9">#REF!</definedName>
    <definedName name="BRITA" localSheetId="0">#REF!</definedName>
    <definedName name="BRITA" localSheetId="7">#REF!</definedName>
    <definedName name="BRITA" localSheetId="2">#REF!</definedName>
    <definedName name="BRITA" localSheetId="1">#REF!</definedName>
    <definedName name="BRITA" localSheetId="12">#REF!</definedName>
    <definedName name="BRITA" localSheetId="11">#REF!</definedName>
    <definedName name="BRITA" localSheetId="17">#REF!</definedName>
    <definedName name="BRITA">#REF!</definedName>
    <definedName name="BRITAREM" localSheetId="4">#REF!</definedName>
    <definedName name="BRITAREM" localSheetId="2">#REF!</definedName>
    <definedName name="BRITAREM" localSheetId="1">#REF!</definedName>
    <definedName name="BRITAREM" localSheetId="17">#REF!</definedName>
    <definedName name="BRITAREM">#REF!</definedName>
    <definedName name="bruno" localSheetId="2">#REF!</definedName>
    <definedName name="bruno" localSheetId="1">#REF!</definedName>
    <definedName name="bruno" localSheetId="17">#REF!</definedName>
    <definedName name="bruno">#REF!</definedName>
    <definedName name="BSCC" localSheetId="15">#REF!</definedName>
    <definedName name="BSCC" localSheetId="4">#REF!</definedName>
    <definedName name="BSCC" localSheetId="9">#REF!</definedName>
    <definedName name="BSCC" localSheetId="0">#REF!</definedName>
    <definedName name="BSCC" localSheetId="7">#REF!</definedName>
    <definedName name="BSCC" localSheetId="2">#REF!</definedName>
    <definedName name="BSCC" localSheetId="1">#REF!</definedName>
    <definedName name="BSCC" localSheetId="13">#REF!</definedName>
    <definedName name="BSCC" localSheetId="12">#REF!</definedName>
    <definedName name="BSCC" localSheetId="11">#REF!</definedName>
    <definedName name="BSCC" localSheetId="17">#REF!</definedName>
    <definedName name="BSCC">#REF!</definedName>
    <definedName name="bsdbsd" localSheetId="2">#REF!</definedName>
    <definedName name="bsdbsd" localSheetId="1">#REF!</definedName>
    <definedName name="bsdbsd" localSheetId="17">#REF!</definedName>
    <definedName name="bsdbsd">#REF!</definedName>
    <definedName name="bsdbsgfdzb" localSheetId="2">#REF!</definedName>
    <definedName name="bsdbsgfdzb" localSheetId="1">#REF!</definedName>
    <definedName name="bsdbsgfdzb" localSheetId="17">#REF!</definedName>
    <definedName name="bsdbsgfdzb">#REF!</definedName>
    <definedName name="bsgfdbsgfdb" localSheetId="2">#REF!</definedName>
    <definedName name="bsgfdbsgfdb" localSheetId="1">#REF!</definedName>
    <definedName name="bsgfdbsgfdb" localSheetId="17">#REF!</definedName>
    <definedName name="bsgfdbsgfdb">#REF!</definedName>
    <definedName name="BuiltIn_Print_Area___0" localSheetId="2">#REF!</definedName>
    <definedName name="BuiltIn_Print_Area___0" localSheetId="1">#REF!</definedName>
    <definedName name="BuiltIn_Print_Area___0" localSheetId="17">#REF!</definedName>
    <definedName name="BuiltIn_Print_Area___0">#REF!</definedName>
    <definedName name="BuiltIn_Print_Area___0___0" localSheetId="2">#REF!</definedName>
    <definedName name="BuiltIn_Print_Area___0___0" localSheetId="1">#REF!</definedName>
    <definedName name="BuiltIn_Print_Area___0___0" localSheetId="17">#REF!</definedName>
    <definedName name="BuiltIn_Print_Area___0___0">#REF!</definedName>
    <definedName name="BuiltIn_Print_Area___0___0___0___0" localSheetId="2">#REF!</definedName>
    <definedName name="BuiltIn_Print_Area___0___0___0___0" localSheetId="1">#REF!</definedName>
    <definedName name="BuiltIn_Print_Area___0___0___0___0" localSheetId="17">#REF!</definedName>
    <definedName name="BuiltIn_Print_Area___0___0___0___0">#REF!</definedName>
    <definedName name="BuiltIn_Print_Area___0___0___0___0___0" localSheetId="2">#REF!</definedName>
    <definedName name="BuiltIn_Print_Area___0___0___0___0___0" localSheetId="1">#REF!</definedName>
    <definedName name="BuiltIn_Print_Area___0___0___0___0___0" localSheetId="17">#REF!</definedName>
    <definedName name="BuiltIn_Print_Area___0___0___0___0___0">#REF!</definedName>
    <definedName name="BuiltIn_Print_Area___0___0___0___0___0___0" localSheetId="2">#REF!</definedName>
    <definedName name="BuiltIn_Print_Area___0___0___0___0___0___0" localSheetId="1">#REF!</definedName>
    <definedName name="BuiltIn_Print_Area___0___0___0___0___0___0" localSheetId="17">#REF!</definedName>
    <definedName name="BuiltIn_Print_Area___0___0___0___0___0___0">#REF!</definedName>
    <definedName name="BuiltIn_Print_Titles" localSheetId="2">#REF!</definedName>
    <definedName name="BuiltIn_Print_Titles" localSheetId="1">#REF!</definedName>
    <definedName name="BuiltIn_Print_Titles" localSheetId="17">#REF!</definedName>
    <definedName name="BuiltIn_Print_Titles">#REF!</definedName>
    <definedName name="BuiltIn_Print_Titles___0" localSheetId="2">#REF!</definedName>
    <definedName name="BuiltIn_Print_Titles___0" localSheetId="1">#REF!</definedName>
    <definedName name="BuiltIn_Print_Titles___0" localSheetId="17">#REF!</definedName>
    <definedName name="BuiltIn_Print_Titles___0">#REF!</definedName>
    <definedName name="BuiltIn_Print_Titles___0___0___0" localSheetId="2">#REF!</definedName>
    <definedName name="BuiltIn_Print_Titles___0___0___0" localSheetId="1">#REF!</definedName>
    <definedName name="BuiltIn_Print_Titles___0___0___0" localSheetId="17">#REF!</definedName>
    <definedName name="BuiltIn_Print_Titles___0___0___0">#REF!</definedName>
    <definedName name="BuiltIn_Print_Titles___0___0___0___0" localSheetId="2">#REF!</definedName>
    <definedName name="BuiltIn_Print_Titles___0___0___0___0" localSheetId="1">#REF!</definedName>
    <definedName name="BuiltIn_Print_Titles___0___0___0___0" localSheetId="17">#REF!</definedName>
    <definedName name="BuiltIn_Print_Titles___0___0___0___0">#REF!</definedName>
    <definedName name="BuiltIn_Print_Titles___0___0___0___0___0___0" localSheetId="2">#REF!</definedName>
    <definedName name="BuiltIn_Print_Titles___0___0___0___0___0___0" localSheetId="1">#REF!</definedName>
    <definedName name="BuiltIn_Print_Titles___0___0___0___0___0___0" localSheetId="17">#REF!</definedName>
    <definedName name="BuiltIn_Print_Titles___0___0___0___0___0___0">#REF!</definedName>
    <definedName name="Button_3">"Monitoramento_de_OAC_Caixas_de_ligação_Reg_I_Lista"</definedName>
    <definedName name="Button_4">"Monitoramento_de_OAC_Caixas_de_ligação_Reg_I_Lista"</definedName>
    <definedName name="ca" localSheetId="4">#REF!</definedName>
    <definedName name="ca" localSheetId="9">#REF!</definedName>
    <definedName name="ca" localSheetId="0">#REF!</definedName>
    <definedName name="ca" localSheetId="7">#REF!</definedName>
    <definedName name="ca" localSheetId="2">#REF!</definedName>
    <definedName name="ca" localSheetId="1">#REF!</definedName>
    <definedName name="ca" localSheetId="12">#REF!</definedName>
    <definedName name="ca" localSheetId="17">#REF!</definedName>
    <definedName name="ca">#REF!</definedName>
    <definedName name="CadIns" localSheetId="15" hidden="1">#REF!</definedName>
    <definedName name="CadIns" localSheetId="4" hidden="1">#REF!</definedName>
    <definedName name="CadIns" localSheetId="9" hidden="1">#REF!</definedName>
    <definedName name="CadIns" localSheetId="8" hidden="1">#REF!</definedName>
    <definedName name="CadIns" localSheetId="7" hidden="1">#REF!</definedName>
    <definedName name="CadIns" localSheetId="2" hidden="1">#REF!</definedName>
    <definedName name="CadIns" localSheetId="1" hidden="1">#REF!</definedName>
    <definedName name="CadIns" localSheetId="12" hidden="1">#REF!</definedName>
    <definedName name="CadIns" localSheetId="11" hidden="1">#REF!</definedName>
    <definedName name="CadIns" localSheetId="17" hidden="1">#REF!</definedName>
    <definedName name="CadIns" hidden="1">#REF!</definedName>
    <definedName name="CadSrv" localSheetId="15" hidden="1">#REF!</definedName>
    <definedName name="CadSrv" localSheetId="4" hidden="1">#REF!</definedName>
    <definedName name="CadSrv" localSheetId="9" hidden="1">#REF!</definedName>
    <definedName name="CadSrv" localSheetId="2" hidden="1">#REF!</definedName>
    <definedName name="CadSrv" localSheetId="1" hidden="1">#REF!</definedName>
    <definedName name="CadSrv" localSheetId="12" hidden="1">#REF!</definedName>
    <definedName name="CadSrv" localSheetId="17" hidden="1">#REF!</definedName>
    <definedName name="CadSrv" hidden="1">#REF!</definedName>
    <definedName name="CAIAÇÃO" localSheetId="15">#REF!</definedName>
    <definedName name="CAIAÇÃO" localSheetId="4">#REF!</definedName>
    <definedName name="CAIAÇÃO" localSheetId="9">#REF!</definedName>
    <definedName name="CAIAÇÃO" localSheetId="0">#REF!</definedName>
    <definedName name="CAIAÇÃO" localSheetId="2">#REF!</definedName>
    <definedName name="CAIAÇÃO" localSheetId="1">#REF!</definedName>
    <definedName name="CAIAÇÃO" localSheetId="12">#REF!</definedName>
    <definedName name="CAIAÇÃO" localSheetId="17">#REF!</definedName>
    <definedName name="CAIAÇÃO">#REF!</definedName>
    <definedName name="CAMINHAO" localSheetId="4">#REF!</definedName>
    <definedName name="CAMINHAO" localSheetId="2">#REF!</definedName>
    <definedName name="CAMINHAO" localSheetId="1">#REF!</definedName>
    <definedName name="CAMINHAO" localSheetId="17">#REF!</definedName>
    <definedName name="CAMINHAO">#REF!</definedName>
    <definedName name="CANTEIRO" localSheetId="15">#REF!</definedName>
    <definedName name="CANTEIRO" localSheetId="4">#REF!</definedName>
    <definedName name="CANTEIRO" localSheetId="9">#REF!</definedName>
    <definedName name="CANTEIRO" localSheetId="7">#REF!</definedName>
    <definedName name="CANTEIRO" localSheetId="2">#REF!</definedName>
    <definedName name="CANTEIRO" localSheetId="1">#REF!</definedName>
    <definedName name="CANTEIRO" localSheetId="13">#REF!</definedName>
    <definedName name="CANTEIRO" localSheetId="12">#REF!</definedName>
    <definedName name="CANTEIRO" localSheetId="11">#REF!</definedName>
    <definedName name="CANTEIRO" localSheetId="17">#REF!</definedName>
    <definedName name="CANTEIRO">#REF!</definedName>
    <definedName name="CAP" localSheetId="17">#REF!</definedName>
    <definedName name="CAP">#REF!</definedName>
    <definedName name="CAPASELANTE" localSheetId="15">#REF!</definedName>
    <definedName name="CAPASELANTE" localSheetId="4">#REF!</definedName>
    <definedName name="CAPASELANTE" localSheetId="9">#REF!</definedName>
    <definedName name="CAPASELANTE" localSheetId="0">#REF!</definedName>
    <definedName name="CAPASELANTE" localSheetId="7">#REF!</definedName>
    <definedName name="CAPASELANTE" localSheetId="2">#REF!</definedName>
    <definedName name="CAPASELANTE" localSheetId="1">#REF!</definedName>
    <definedName name="CAPASELANTE" localSheetId="12">#REF!</definedName>
    <definedName name="CAPASELANTE" localSheetId="11">#REF!</definedName>
    <definedName name="CAPASELANTE" localSheetId="17">#REF!</definedName>
    <definedName name="CAPASELANTE">#REF!</definedName>
    <definedName name="CAPINA" localSheetId="15">#REF!</definedName>
    <definedName name="CAPINA" localSheetId="4">#REF!</definedName>
    <definedName name="CAPINA" localSheetId="9">#REF!</definedName>
    <definedName name="CAPINA" localSheetId="0">#REF!</definedName>
    <definedName name="CAPINA" localSheetId="7">#REF!</definedName>
    <definedName name="CAPINA" localSheetId="2">#REF!</definedName>
    <definedName name="CAPINA" localSheetId="1">#REF!</definedName>
    <definedName name="CAPINA" localSheetId="12">#REF!</definedName>
    <definedName name="CAPINA" localSheetId="17">#REF!</definedName>
    <definedName name="CAPINA">#REF!</definedName>
    <definedName name="CARRO" localSheetId="4">#REF!</definedName>
    <definedName name="CARRO" localSheetId="2">#REF!</definedName>
    <definedName name="CARRO" localSheetId="1">#REF!</definedName>
    <definedName name="CARRO" localSheetId="17">#REF!</definedName>
    <definedName name="CARRO">#REF!</definedName>
    <definedName name="CASCALHO_MS_299" localSheetId="2">#REF!</definedName>
    <definedName name="CASCALHO_MS_299" localSheetId="1">#REF!</definedName>
    <definedName name="CASCALHO_MS_299" localSheetId="17">#REF!</definedName>
    <definedName name="CASCALHO_MS_299">#REF!</definedName>
    <definedName name="CBU" localSheetId="15">#REF!</definedName>
    <definedName name="CBU" localSheetId="4">#REF!</definedName>
    <definedName name="CBU" localSheetId="9">#REF!</definedName>
    <definedName name="CBU" localSheetId="7">#REF!</definedName>
    <definedName name="CBU" localSheetId="2">#REF!</definedName>
    <definedName name="CBU" localSheetId="1">#REF!</definedName>
    <definedName name="CBU" localSheetId="12">#REF!</definedName>
    <definedName name="CBU" localSheetId="11">#REF!</definedName>
    <definedName name="CBU" localSheetId="17">#REF!</definedName>
    <definedName name="CBU">#REF!</definedName>
    <definedName name="CBUII" localSheetId="15">#REF!</definedName>
    <definedName name="CBUII" localSheetId="4">#REF!</definedName>
    <definedName name="CBUII" localSheetId="9">#REF!</definedName>
    <definedName name="CBUII" localSheetId="2">#REF!</definedName>
    <definedName name="CBUII" localSheetId="1">#REF!</definedName>
    <definedName name="CBUII" localSheetId="12">#REF!</definedName>
    <definedName name="CBUII" localSheetId="17">#REF!</definedName>
    <definedName name="CBUII">#REF!</definedName>
    <definedName name="CBUQ" localSheetId="15">#REF!</definedName>
    <definedName name="CBUQ" localSheetId="4">#REF!</definedName>
    <definedName name="CBUQ" localSheetId="9">#REF!</definedName>
    <definedName name="CBUQ" localSheetId="7">#REF!</definedName>
    <definedName name="CBUQ" localSheetId="2">#REF!</definedName>
    <definedName name="CBUQ" localSheetId="1">#REF!</definedName>
    <definedName name="CBUQ" localSheetId="13">#REF!</definedName>
    <definedName name="CBUQ" localSheetId="12">#REF!</definedName>
    <definedName name="CBUQ" localSheetId="11">#REF!</definedName>
    <definedName name="CBUQ" localSheetId="17">#REF!</definedName>
    <definedName name="CBUQ">#REF!</definedName>
    <definedName name="CBUQB" localSheetId="15">#REF!</definedName>
    <definedName name="CBUQB" localSheetId="4">#REF!</definedName>
    <definedName name="CBUQB" localSheetId="9">#REF!</definedName>
    <definedName name="CBUQB" localSheetId="7">#REF!</definedName>
    <definedName name="CBUQB" localSheetId="2">#REF!</definedName>
    <definedName name="CBUQB" localSheetId="1">#REF!</definedName>
    <definedName name="CBUQB" localSheetId="12">#REF!</definedName>
    <definedName name="CBUQB" localSheetId="11">#REF!</definedName>
    <definedName name="CBUQB" localSheetId="17">#REF!</definedName>
    <definedName name="CBUQB">#REF!</definedName>
    <definedName name="CBUQc" localSheetId="15">#REF!</definedName>
    <definedName name="CBUQc" localSheetId="4">#REF!</definedName>
    <definedName name="CBUQc" localSheetId="9">#REF!</definedName>
    <definedName name="CBUQc" localSheetId="7">#REF!</definedName>
    <definedName name="CBUQc" localSheetId="2">#REF!</definedName>
    <definedName name="CBUQc" localSheetId="1">#REF!</definedName>
    <definedName name="CBUQc" localSheetId="12">#REF!</definedName>
    <definedName name="CBUQc" localSheetId="17">#REF!</definedName>
    <definedName name="CBUQc">#REF!</definedName>
    <definedName name="CBUQFINA" localSheetId="15">#REF!</definedName>
    <definedName name="CBUQFINA" localSheetId="4">#REF!</definedName>
    <definedName name="CBUQFINA" localSheetId="9">#REF!</definedName>
    <definedName name="CBUQFINA" localSheetId="7">#REF!</definedName>
    <definedName name="CBUQFINA" localSheetId="2">#REF!</definedName>
    <definedName name="CBUQFINA" localSheetId="1">#REF!</definedName>
    <definedName name="CBUQFINA" localSheetId="13">#REF!</definedName>
    <definedName name="CBUQFINA" localSheetId="12">#REF!</definedName>
    <definedName name="CBUQFINA" localSheetId="11">#REF!</definedName>
    <definedName name="CBUQFINA" localSheetId="17">#REF!</definedName>
    <definedName name="CBUQFINA">#REF!</definedName>
    <definedName name="ccc" localSheetId="2">#REF!</definedName>
    <definedName name="ccc" localSheetId="1">#REF!</definedName>
    <definedName name="ccc" localSheetId="17">#REF!</definedName>
    <definedName name="ccc">#REF!</definedName>
    <definedName name="CCCCCCCCCCC" localSheetId="15">'CALÇADA E ACESS. - JDML'!CCCCCCCCCCC</definedName>
    <definedName name="CCCCCCCCCCC" localSheetId="4">'DEMOLIÇÃO - JDML'!CCCCCCCCCCC</definedName>
    <definedName name="CCCCCCCCCCC" localSheetId="9">'DISP. DRENAGEM - JDML'!CCCCCCCCCCC</definedName>
    <definedName name="CCCCCCCCCCC" localSheetId="0">DMT!CCCCCCCCCCC</definedName>
    <definedName name="CCCCCCCCCCC" localSheetId="8">#N/A</definedName>
    <definedName name="CCCCCCCCCCC" localSheetId="7">'DRENAGEM - JDML'!CCCCCCCCCCC</definedName>
    <definedName name="CCCCCCCCCCC" localSheetId="6">#N/A</definedName>
    <definedName name="CCCCCCCCCCC" localSheetId="2">GRELHA!CCCCCCCCCCC</definedName>
    <definedName name="CCCCCCCCCCC" localSheetId="1">'MAT BET'!CCCCCCCCCCC</definedName>
    <definedName name="CCCCCCCCCCC" localSheetId="13">'PAVIMENTAÇÃO - JDML'!CCCCCCCCCCC</definedName>
    <definedName name="CCCCCCCCCCC" localSheetId="3">'PRELIMINARES - JDML+JDA-E2'!CCCCCCCCCCC</definedName>
    <definedName name="CCCCCCCCCCC" localSheetId="12">'RECAPEAMENTO - JDML'!CCCCCCCCCCC</definedName>
    <definedName name="CCCCCCCCCCC" localSheetId="11">'REMENDO - JDML'!CCCCCCCCCCC</definedName>
    <definedName name="CCCCCCCCCCC" localSheetId="17">'SINALIZAÇÃO - JDML'!CCCCCCCCCCC</definedName>
    <definedName name="CCCCCCCCCCC">[0]!CCCCCCCCCCC</definedName>
    <definedName name="cch" hidden="1">#N/A</definedName>
    <definedName name="CCONST" localSheetId="15">#REF!</definedName>
    <definedName name="CCONST" localSheetId="4">#REF!</definedName>
    <definedName name="CCONST" localSheetId="9">#REF!</definedName>
    <definedName name="CCONST" localSheetId="7">#REF!</definedName>
    <definedName name="CCONST" localSheetId="2">#REF!</definedName>
    <definedName name="CCONST" localSheetId="1">#REF!</definedName>
    <definedName name="CCONST" localSheetId="13">#REF!</definedName>
    <definedName name="CCONST" localSheetId="12">#REF!</definedName>
    <definedName name="CCONST" localSheetId="11">#REF!</definedName>
    <definedName name="CCONST" localSheetId="17">#REF!</definedName>
    <definedName name="CCONST">#REF!</definedName>
    <definedName name="CD" localSheetId="4">#REF!</definedName>
    <definedName name="CD" localSheetId="2">#REF!</definedName>
    <definedName name="CD" localSheetId="1">#REF!</definedName>
    <definedName name="CD" localSheetId="17">#REF!</definedName>
    <definedName name="CD">#REF!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Qtd">5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ELIA" localSheetId="2">#REF!</definedName>
    <definedName name="CELIA" localSheetId="1">#REF!</definedName>
    <definedName name="CELIA" localSheetId="17">#REF!</definedName>
    <definedName name="CELIA">#REF!</definedName>
    <definedName name="CELSO" localSheetId="15">'CALÇADA E ACESS. - JDML'!CELSO</definedName>
    <definedName name="CELSO" localSheetId="4">'DEMOLIÇÃO - JDML'!CELSO</definedName>
    <definedName name="CELSO" localSheetId="9">'DISP. DRENAGEM - JDML'!CELSO</definedName>
    <definedName name="CELSO" localSheetId="0">DMT!CELSO</definedName>
    <definedName name="CELSO" localSheetId="8">#N/A</definedName>
    <definedName name="CELSO" localSheetId="7">'DRENAGEM - JDML'!CELSO</definedName>
    <definedName name="CELSO" localSheetId="6">#N/A</definedName>
    <definedName name="CELSO" localSheetId="2">GRELHA!CELSO</definedName>
    <definedName name="CELSO" localSheetId="1">'MAT BET'!CELSO</definedName>
    <definedName name="CELSO" localSheetId="13">'PAVIMENTAÇÃO - JDML'!CELSO</definedName>
    <definedName name="CELSO" localSheetId="3">'PRELIMINARES - JDML+JDA-E2'!CELSO</definedName>
    <definedName name="CELSO" localSheetId="12">'RECAPEAMENTO - JDML'!CELSO</definedName>
    <definedName name="CELSO" localSheetId="11">'REMENDO - JDML'!CELSO</definedName>
    <definedName name="CELSO" localSheetId="17">'SINALIZAÇÃO - JDML'!CELSO</definedName>
    <definedName name="CELSO">[0]!CELSO</definedName>
    <definedName name="CÉLULA" localSheetId="15">#REF!</definedName>
    <definedName name="CÉLULA" localSheetId="4">#REF!</definedName>
    <definedName name="CÉLULA" localSheetId="9">#REF!</definedName>
    <definedName name="CÉLULA" localSheetId="0">#REF!</definedName>
    <definedName name="CÉLULA" localSheetId="7">#REF!</definedName>
    <definedName name="CÉLULA" localSheetId="2">#REF!</definedName>
    <definedName name="CÉLULA" localSheetId="1">#REF!</definedName>
    <definedName name="CÉLULA" localSheetId="12">#REF!</definedName>
    <definedName name="CÉLULA" localSheetId="11">#REF!</definedName>
    <definedName name="CÉLULA" localSheetId="17">#REF!</definedName>
    <definedName name="CÉLULA">#REF!</definedName>
    <definedName name="Chave" localSheetId="15" hidden="1">#REF!</definedName>
    <definedName name="Chave" localSheetId="4" hidden="1">#REF!</definedName>
    <definedName name="Chave" localSheetId="9" hidden="1">#REF!</definedName>
    <definedName name="Chave" localSheetId="7" hidden="1">#REF!</definedName>
    <definedName name="Chave" localSheetId="2" hidden="1">#REF!</definedName>
    <definedName name="Chave" localSheetId="1" hidden="1">#REF!</definedName>
    <definedName name="Chave" localSheetId="12" hidden="1">#REF!</definedName>
    <definedName name="Chave" localSheetId="17" hidden="1">#REF!</definedName>
    <definedName name="Chave" hidden="1">#REF!</definedName>
    <definedName name="Chave1" localSheetId="15" hidden="1">#REF!</definedName>
    <definedName name="Chave1" localSheetId="4" hidden="1">#REF!</definedName>
    <definedName name="Chave1" localSheetId="9" hidden="1">#REF!</definedName>
    <definedName name="Chave1" localSheetId="2" hidden="1">#REF!</definedName>
    <definedName name="Chave1" localSheetId="1" hidden="1">#REF!</definedName>
    <definedName name="Chave1" localSheetId="12" hidden="1">#REF!</definedName>
    <definedName name="Chave1" localSheetId="17" hidden="1">#REF!</definedName>
    <definedName name="Chave1" hidden="1">#REF!</definedName>
    <definedName name="CIMENTO" localSheetId="15">#REF!</definedName>
    <definedName name="CIMENTO" localSheetId="4">#REF!</definedName>
    <definedName name="CIMENTO" localSheetId="9">#REF!</definedName>
    <definedName name="CIMENTO" localSheetId="0">#REF!</definedName>
    <definedName name="CIMENTO" localSheetId="2">#REF!</definedName>
    <definedName name="CIMENTO" localSheetId="1">#REF!</definedName>
    <definedName name="CIMENTO" localSheetId="12">#REF!</definedName>
    <definedName name="CIMENTO" localSheetId="17">#REF!</definedName>
    <definedName name="CIMENTO">#REF!</definedName>
    <definedName name="çl" localSheetId="2">#REF!</definedName>
    <definedName name="çl" localSheetId="1">#REF!</definedName>
    <definedName name="çl" localSheetId="17">#REF!</definedName>
    <definedName name="çl">#REF!</definedName>
    <definedName name="Clas" localSheetId="15" hidden="1">MAX(LEN(#REF!))</definedName>
    <definedName name="Clas" localSheetId="4" hidden="1">MAX(LEN(#REF!))</definedName>
    <definedName name="Clas" localSheetId="9" hidden="1">MAX(LEN(#REF!))</definedName>
    <definedName name="Clas" localSheetId="2" hidden="1">MAX(LEN(#REF!))</definedName>
    <definedName name="Clas" localSheetId="1" hidden="1">MAX(LEN(#REF!))</definedName>
    <definedName name="Clas" localSheetId="12" hidden="1">MAX(LEN(#REF!))</definedName>
    <definedName name="Clas" localSheetId="17" hidden="1">MAX(LEN(#REF!))</definedName>
    <definedName name="Clas" hidden="1">MAX(LEN(#REF!))</definedName>
    <definedName name="Cliente" hidden="1">""</definedName>
    <definedName name="Cls" hidden="1">#N/A</definedName>
    <definedName name="CM.30" localSheetId="15">#REF!</definedName>
    <definedName name="CM.30" localSheetId="4">#REF!</definedName>
    <definedName name="CM.30" localSheetId="9">#REF!</definedName>
    <definedName name="CM.30" localSheetId="0">#REF!</definedName>
    <definedName name="CM.30" localSheetId="7">#REF!</definedName>
    <definedName name="CM.30" localSheetId="2">#REF!</definedName>
    <definedName name="CM.30" localSheetId="1">#REF!</definedName>
    <definedName name="CM.30" localSheetId="12">#REF!</definedName>
    <definedName name="CM.30" localSheetId="11">#REF!</definedName>
    <definedName name="CM.30" localSheetId="17">#REF!</definedName>
    <definedName name="CM.30">#REF!</definedName>
    <definedName name="CNVDFNVN" localSheetId="2">#REF!</definedName>
    <definedName name="CNVDFNVN" localSheetId="1">#REF!</definedName>
    <definedName name="CNVDFNVN" localSheetId="17">#REF!</definedName>
    <definedName name="CNVDFNVN">#REF!</definedName>
    <definedName name="cocacola" localSheetId="2">#REF!</definedName>
    <definedName name="cocacola" localSheetId="1">#REF!</definedName>
    <definedName name="cocacola" localSheetId="17">#REF!</definedName>
    <definedName name="cocacola">#REF!</definedName>
    <definedName name="cocaina" localSheetId="2">#REF!</definedName>
    <definedName name="cocaina" localSheetId="1">#REF!</definedName>
    <definedName name="cocaina" localSheetId="17">#REF!</definedName>
    <definedName name="cocaina">#REF!</definedName>
    <definedName name="Cod" localSheetId="15" hidden="1">#REF!</definedName>
    <definedName name="Cod" localSheetId="4" hidden="1">#REF!</definedName>
    <definedName name="Cod" localSheetId="9" hidden="1">#REF!</definedName>
    <definedName name="Cod" localSheetId="2" hidden="1">#REF!</definedName>
    <definedName name="Cod" localSheetId="1" hidden="1">#REF!</definedName>
    <definedName name="Cod" localSheetId="12" hidden="1">#REF!</definedName>
    <definedName name="Cod" localSheetId="17" hidden="1">#REF!</definedName>
    <definedName name="Cod" hidden="1">#REF!</definedName>
    <definedName name="Cód." localSheetId="15">#REF!</definedName>
    <definedName name="Cód." localSheetId="4">#REF!</definedName>
    <definedName name="Cód." localSheetId="9">#REF!</definedName>
    <definedName name="Cód." localSheetId="7">#REF!</definedName>
    <definedName name="Cód." localSheetId="2">#REF!</definedName>
    <definedName name="Cód." localSheetId="1">#REF!</definedName>
    <definedName name="Cód." localSheetId="13">#REF!</definedName>
    <definedName name="Cód." localSheetId="12">#REF!</definedName>
    <definedName name="Cód." localSheetId="11">#REF!</definedName>
    <definedName name="Cód." localSheetId="17">#REF!</definedName>
    <definedName name="Cód.">#REF!</definedName>
    <definedName name="cod.1" localSheetId="15">#REF!</definedName>
    <definedName name="cod.1" localSheetId="4">#REF!</definedName>
    <definedName name="cod.1" localSheetId="9">#REF!</definedName>
    <definedName name="cod.1" localSheetId="7">#REF!</definedName>
    <definedName name="cod.1" localSheetId="2">#REF!</definedName>
    <definedName name="cod.1" localSheetId="1">#REF!</definedName>
    <definedName name="cod.1" localSheetId="12">#REF!</definedName>
    <definedName name="cod.1" localSheetId="11">#REF!</definedName>
    <definedName name="cod.1" localSheetId="17">#REF!</definedName>
    <definedName name="cod.1">#REF!</definedName>
    <definedName name="cod.2" localSheetId="15">#REF!</definedName>
    <definedName name="cod.2" localSheetId="4">#REF!</definedName>
    <definedName name="cod.2" localSheetId="9">#REF!</definedName>
    <definedName name="cod.2" localSheetId="7">#REF!</definedName>
    <definedName name="cod.2" localSheetId="2">#REF!</definedName>
    <definedName name="cod.2" localSheetId="1">#REF!</definedName>
    <definedName name="cod.2" localSheetId="12">#REF!</definedName>
    <definedName name="cod.2" localSheetId="17">#REF!</definedName>
    <definedName name="cod.2">#REF!</definedName>
    <definedName name="Cód.3" localSheetId="15">#REF!</definedName>
    <definedName name="Cód.3" localSheetId="4">#REF!</definedName>
    <definedName name="Cód.3" localSheetId="9">#REF!</definedName>
    <definedName name="Cód.3" localSheetId="2">#REF!</definedName>
    <definedName name="Cód.3" localSheetId="1">#REF!</definedName>
    <definedName name="Cód.3" localSheetId="12">#REF!</definedName>
    <definedName name="Cód.3" localSheetId="17">#REF!</definedName>
    <definedName name="Cód.3">#REF!</definedName>
    <definedName name="Cód.4" localSheetId="15">#REF!</definedName>
    <definedName name="Cód.4" localSheetId="4">#REF!</definedName>
    <definedName name="Cód.4" localSheetId="9">#REF!</definedName>
    <definedName name="Cód.4" localSheetId="7">#REF!</definedName>
    <definedName name="Cód.4" localSheetId="2">#REF!</definedName>
    <definedName name="Cód.4" localSheetId="1">#REF!</definedName>
    <definedName name="Cód.4" localSheetId="13">#REF!</definedName>
    <definedName name="Cód.4" localSheetId="12">#REF!</definedName>
    <definedName name="Cód.4" localSheetId="11">#REF!</definedName>
    <definedName name="Cód.4" localSheetId="17">#REF!</definedName>
    <definedName name="Cód.4">#REF!</definedName>
    <definedName name="Cód.Equip." localSheetId="15">#REF!</definedName>
    <definedName name="Cód.Equip." localSheetId="4">#REF!</definedName>
    <definedName name="Cód.Equip." localSheetId="9">#REF!</definedName>
    <definedName name="Cód.Equip." localSheetId="7">#REF!</definedName>
    <definedName name="Cód.Equip." localSheetId="2">#REF!</definedName>
    <definedName name="Cód.Equip." localSheetId="1">#REF!</definedName>
    <definedName name="Cód.Equip." localSheetId="12">#REF!</definedName>
    <definedName name="Cód.Equip." localSheetId="11">#REF!</definedName>
    <definedName name="Cód.Equip." localSheetId="17">#REF!</definedName>
    <definedName name="Cód.Equip.">#REF!</definedName>
    <definedName name="Cód.SER" localSheetId="15">#REF!</definedName>
    <definedName name="Cód.SER" localSheetId="4">#REF!</definedName>
    <definedName name="Cód.SER" localSheetId="9">#REF!</definedName>
    <definedName name="Cód.SER" localSheetId="7">#REF!</definedName>
    <definedName name="Cód.SER" localSheetId="2">#REF!</definedName>
    <definedName name="Cód.SER" localSheetId="1">#REF!</definedName>
    <definedName name="Cód.SER" localSheetId="13">#REF!</definedName>
    <definedName name="Cód.SER" localSheetId="12">#REF!</definedName>
    <definedName name="Cód.SER" localSheetId="11">#REF!</definedName>
    <definedName name="Cód.SER" localSheetId="17">#REF!</definedName>
    <definedName name="Cód.SER">#REF!</definedName>
    <definedName name="Cód.serv." localSheetId="15">#REF!</definedName>
    <definedName name="Cód.serv." localSheetId="4">#REF!</definedName>
    <definedName name="Cód.serv." localSheetId="9">#REF!</definedName>
    <definedName name="Cód.serv." localSheetId="7">#REF!</definedName>
    <definedName name="Cód.serv." localSheetId="2">#REF!</definedName>
    <definedName name="Cód.serv." localSheetId="1">#REF!</definedName>
    <definedName name="Cód.serv." localSheetId="12">#REF!</definedName>
    <definedName name="Cód.serv." localSheetId="11">#REF!</definedName>
    <definedName name="Cód.serv." localSheetId="17">#REF!</definedName>
    <definedName name="Cód.serv.">#REF!</definedName>
    <definedName name="Codigo" localSheetId="15" hidden="1">#REF!</definedName>
    <definedName name="Codigo" localSheetId="4" hidden="1">#REF!</definedName>
    <definedName name="Codigo" localSheetId="9" hidden="1">#REF!</definedName>
    <definedName name="Codigo" localSheetId="7" hidden="1">#REF!</definedName>
    <definedName name="Codigo" localSheetId="2" hidden="1">#REF!</definedName>
    <definedName name="Codigo" localSheetId="1" hidden="1">#REF!</definedName>
    <definedName name="Codigo" localSheetId="12" hidden="1">#REF!</definedName>
    <definedName name="Codigo" localSheetId="17" hidden="1">#REF!</definedName>
    <definedName name="Codigo" hidden="1">#REF!</definedName>
    <definedName name="Coluna" localSheetId="15" hidden="1">#REF!</definedName>
    <definedName name="Coluna" localSheetId="4" hidden="1">#REF!</definedName>
    <definedName name="Coluna" localSheetId="9" hidden="1">#REF!</definedName>
    <definedName name="Coluna" localSheetId="2" hidden="1">#REF!</definedName>
    <definedName name="Coluna" localSheetId="1" hidden="1">#REF!</definedName>
    <definedName name="Coluna" localSheetId="12" hidden="1">#REF!</definedName>
    <definedName name="Coluna" localSheetId="17" hidden="1">#REF!</definedName>
    <definedName name="Coluna" hidden="1">#REF!</definedName>
    <definedName name="comp" localSheetId="15">#REF!</definedName>
    <definedName name="comp" localSheetId="4">#REF!</definedName>
    <definedName name="comp" localSheetId="9">#REF!</definedName>
    <definedName name="comp" localSheetId="0">#REF!</definedName>
    <definedName name="comp" localSheetId="2">#REF!</definedName>
    <definedName name="comp" localSheetId="1">#REF!</definedName>
    <definedName name="comp" localSheetId="12">#REF!</definedName>
    <definedName name="comp" localSheetId="17">#REF!</definedName>
    <definedName name="comp">#REF!</definedName>
    <definedName name="CONCIM" localSheetId="15">#REF!</definedName>
    <definedName name="CONCIM" localSheetId="4">#REF!</definedName>
    <definedName name="CONCIM" localSheetId="9">#REF!</definedName>
    <definedName name="CONCIM" localSheetId="0">#REF!</definedName>
    <definedName name="CONCIM" localSheetId="7">#REF!</definedName>
    <definedName name="CONCIM" localSheetId="2">#REF!</definedName>
    <definedName name="CONCIM" localSheetId="1">#REF!</definedName>
    <definedName name="CONCIM" localSheetId="12">#REF!</definedName>
    <definedName name="CONCIM" localSheetId="11">#REF!</definedName>
    <definedName name="CONCIM" localSheetId="17">#REF!</definedName>
    <definedName name="CONCIM">#REF!</definedName>
    <definedName name="CONCR" localSheetId="4">#REF!</definedName>
    <definedName name="CONCR" localSheetId="2">#REF!</definedName>
    <definedName name="CONCR" localSheetId="1">#REF!</definedName>
    <definedName name="CONCR" localSheetId="17">#REF!</definedName>
    <definedName name="CONCR">#REF!</definedName>
    <definedName name="CONCRETO" localSheetId="15">#REF!</definedName>
    <definedName name="CONCRETO" localSheetId="4">#REF!</definedName>
    <definedName name="CONCRETO" localSheetId="9">#REF!</definedName>
    <definedName name="CONCRETO" localSheetId="0">#REF!</definedName>
    <definedName name="CONCRETO" localSheetId="7">#REF!</definedName>
    <definedName name="CONCRETO" localSheetId="2">#REF!</definedName>
    <definedName name="CONCRETO" localSheetId="1">#REF!</definedName>
    <definedName name="CONCRETO" localSheetId="12">#REF!</definedName>
    <definedName name="CONCRETO" localSheetId="11">#REF!</definedName>
    <definedName name="CONCRETO" localSheetId="17">#REF!</definedName>
    <definedName name="CONCRETO">#REF!</definedName>
    <definedName name="CONSERVA1" localSheetId="15">#REF!</definedName>
    <definedName name="CONSERVA1" localSheetId="4">#REF!</definedName>
    <definedName name="CONSERVA1" localSheetId="9">#REF!</definedName>
    <definedName name="CONSERVA1" localSheetId="7">#REF!</definedName>
    <definedName name="CONSERVA1" localSheetId="2">#REF!</definedName>
    <definedName name="CONSERVA1" localSheetId="1">#REF!</definedName>
    <definedName name="CONSERVA1" localSheetId="13">#REF!</definedName>
    <definedName name="CONSERVA1" localSheetId="12">#REF!</definedName>
    <definedName name="CONSERVA1" localSheetId="11">#REF!</definedName>
    <definedName name="CONSERVA1" localSheetId="17">#REF!</definedName>
    <definedName name="CONSERVA1">#REF!</definedName>
    <definedName name="CONSERVA2" localSheetId="15">#REF!</definedName>
    <definedName name="CONSERVA2" localSheetId="4">#REF!</definedName>
    <definedName name="CONSERVA2" localSheetId="9">#REF!</definedName>
    <definedName name="CONSERVA2" localSheetId="7">#REF!</definedName>
    <definedName name="CONSERVA2" localSheetId="2">#REF!</definedName>
    <definedName name="CONSERVA2" localSheetId="1">#REF!</definedName>
    <definedName name="CONSERVA2" localSheetId="13">#REF!</definedName>
    <definedName name="CONSERVA2" localSheetId="12">#REF!</definedName>
    <definedName name="CONSERVA2" localSheetId="11">#REF!</definedName>
    <definedName name="CONSERVA2" localSheetId="17">#REF!</definedName>
    <definedName name="CONSERVA2">#REF!</definedName>
    <definedName name="consumo.2" localSheetId="15">#REF!</definedName>
    <definedName name="consumo.2" localSheetId="4">#REF!</definedName>
    <definedName name="consumo.2" localSheetId="9">#REF!</definedName>
    <definedName name="consumo.2" localSheetId="7">#REF!</definedName>
    <definedName name="consumo.2" localSheetId="2">#REF!</definedName>
    <definedName name="consumo.2" localSheetId="1">#REF!</definedName>
    <definedName name="consumo.2" localSheetId="12">#REF!</definedName>
    <definedName name="consumo.2" localSheetId="11">#REF!</definedName>
    <definedName name="consumo.2" localSheetId="17">#REF!</definedName>
    <definedName name="consumo.2">#REF!</definedName>
    <definedName name="CONTAINER">#REF!</definedName>
    <definedName name="CONTRATO" localSheetId="15">#REF!</definedName>
    <definedName name="CONTRATO" localSheetId="4">#REF!</definedName>
    <definedName name="CONTRATO" localSheetId="9">#REF!</definedName>
    <definedName name="CONTRATO" localSheetId="0">#REF!</definedName>
    <definedName name="CONTRATO" localSheetId="7">#REF!</definedName>
    <definedName name="CONTRATO" localSheetId="2">#REF!</definedName>
    <definedName name="CONTRATO" localSheetId="1">#REF!</definedName>
    <definedName name="CONTRATO" localSheetId="13">#REF!</definedName>
    <definedName name="CONTRATO" localSheetId="12">#REF!</definedName>
    <definedName name="CONTRATO" localSheetId="11">#REF!</definedName>
    <definedName name="CONTRATO" localSheetId="17">#REF!</definedName>
    <definedName name="CONTRATO">#REF!</definedName>
    <definedName name="cópia" localSheetId="2">#REF!</definedName>
    <definedName name="cópia" localSheetId="1">#REF!</definedName>
    <definedName name="cópia" localSheetId="17">#REF!</definedName>
    <definedName name="cópia">#REF!</definedName>
    <definedName name="correção" localSheetId="15">#REF!</definedName>
    <definedName name="correção" localSheetId="4">#REF!</definedName>
    <definedName name="correção" localSheetId="9">#REF!</definedName>
    <definedName name="correção" localSheetId="0">#REF!</definedName>
    <definedName name="correção" localSheetId="7">#REF!</definedName>
    <definedName name="correção" localSheetId="2">#REF!</definedName>
    <definedName name="correção" localSheetId="1">#REF!</definedName>
    <definedName name="correção" localSheetId="13">#REF!</definedName>
    <definedName name="correção" localSheetId="12">#REF!</definedName>
    <definedName name="correção" localSheetId="11">#REF!</definedName>
    <definedName name="correção" localSheetId="17">#REF!</definedName>
    <definedName name="correção">#REF!</definedName>
    <definedName name="CpuAux" localSheetId="15" hidden="1">#REF!</definedName>
    <definedName name="CpuAux" localSheetId="4" hidden="1">#REF!</definedName>
    <definedName name="CpuAux" localSheetId="9" hidden="1">#REF!</definedName>
    <definedName name="CpuAux" localSheetId="8" hidden="1">#REF!</definedName>
    <definedName name="CpuAux" localSheetId="7" hidden="1">#REF!</definedName>
    <definedName name="CpuAux" localSheetId="2" hidden="1">#REF!</definedName>
    <definedName name="CpuAux" localSheetId="1" hidden="1">#REF!</definedName>
    <definedName name="CpuAux" localSheetId="12" hidden="1">#REF!</definedName>
    <definedName name="CpuAux" localSheetId="11" hidden="1">#REF!</definedName>
    <definedName name="CpuAux" localSheetId="17" hidden="1">#REF!</definedName>
    <definedName name="CpuAux" hidden="1">#REF!</definedName>
    <definedName name="CPUs" localSheetId="15" hidden="1">#REF!</definedName>
    <definedName name="CPUs" localSheetId="4" hidden="1">#REF!</definedName>
    <definedName name="CPUs" localSheetId="9" hidden="1">#REF!</definedName>
    <definedName name="CPUs" localSheetId="2" hidden="1">#REF!</definedName>
    <definedName name="CPUs" localSheetId="1" hidden="1">#REF!</definedName>
    <definedName name="CPUs" localSheetId="12" hidden="1">#REF!</definedName>
    <definedName name="CPUs" localSheetId="17" hidden="1">#REF!</definedName>
    <definedName name="CPUs" hidden="1">#REF!</definedName>
    <definedName name="CRC" localSheetId="15">#REF!</definedName>
    <definedName name="CRC" localSheetId="4">#REF!</definedName>
    <definedName name="CRC" localSheetId="9">#REF!</definedName>
    <definedName name="CRC" localSheetId="0">#REF!</definedName>
    <definedName name="CRC" localSheetId="7">#REF!</definedName>
    <definedName name="CRC" localSheetId="2">#REF!</definedName>
    <definedName name="CRC" localSheetId="1">#REF!</definedName>
    <definedName name="CRC" localSheetId="12">#REF!</definedName>
    <definedName name="CRC" localSheetId="11">#REF!</definedName>
    <definedName name="CRC" localSheetId="17">#REF!</definedName>
    <definedName name="CRC">#REF!</definedName>
    <definedName name="CRIT" localSheetId="15" hidden="1">#REF!</definedName>
    <definedName name="CRIT" localSheetId="4" hidden="1">#REF!</definedName>
    <definedName name="CRIT" localSheetId="9" hidden="1">#REF!</definedName>
    <definedName name="CRIT" localSheetId="8" hidden="1">#REF!</definedName>
    <definedName name="CRIT" localSheetId="7" hidden="1">#REF!</definedName>
    <definedName name="CRIT" localSheetId="2" hidden="1">#REF!</definedName>
    <definedName name="CRIT" localSheetId="1" hidden="1">#REF!</definedName>
    <definedName name="CRIT" localSheetId="12" hidden="1">#REF!</definedName>
    <definedName name="CRIT" localSheetId="11" hidden="1">#REF!</definedName>
    <definedName name="CRIT" localSheetId="17" hidden="1">#REF!</definedName>
    <definedName name="CRIT" hidden="1">#REF!</definedName>
    <definedName name="Criteria" localSheetId="15">#REF!</definedName>
    <definedName name="Criteria" localSheetId="4">#REF!</definedName>
    <definedName name="Criteria" localSheetId="9">#REF!</definedName>
    <definedName name="Criteria" localSheetId="0">#REF!</definedName>
    <definedName name="Criteria" localSheetId="2">#REF!</definedName>
    <definedName name="Criteria" localSheetId="1">#REF!</definedName>
    <definedName name="Criteria" localSheetId="12">#REF!</definedName>
    <definedName name="Criteria" localSheetId="17">#REF!</definedName>
    <definedName name="Criteria">#REF!</definedName>
    <definedName name="_xlnm.Criteria" localSheetId="15">#REF!</definedName>
    <definedName name="_xlnm.Criteria" localSheetId="4">#REF!</definedName>
    <definedName name="_xlnm.Criteria" localSheetId="9">#REF!</definedName>
    <definedName name="_xlnm.Criteria" localSheetId="0" hidden="1">#REF!</definedName>
    <definedName name="_xlnm.Criteria" localSheetId="2">#REF!</definedName>
    <definedName name="_xlnm.Criteria" localSheetId="1">#REF!</definedName>
    <definedName name="_xlnm.Criteria" localSheetId="12">#REF!</definedName>
    <definedName name="_xlnm.Criteria" localSheetId="17">#REF!</definedName>
    <definedName name="_xlnm.Criteria">#REF!</definedName>
    <definedName name="crono" localSheetId="2">#REF!</definedName>
    <definedName name="crono" localSheetId="1">#REF!</definedName>
    <definedName name="crono" localSheetId="17">#REF!</definedName>
    <definedName name="crono">#REF!</definedName>
    <definedName name="Cronograma" localSheetId="4">#REF!</definedName>
    <definedName name="Cronograma" localSheetId="2">#REF!</definedName>
    <definedName name="Cronograma" localSheetId="1">#REF!</definedName>
    <definedName name="Cronograma" localSheetId="17">#REF!</definedName>
    <definedName name="Cronograma">#REF!</definedName>
    <definedName name="CSA" localSheetId="15">#REF!</definedName>
    <definedName name="CSA" localSheetId="4">#REF!</definedName>
    <definedName name="CSA" localSheetId="9">#REF!</definedName>
    <definedName name="CSA" localSheetId="0">#REF!</definedName>
    <definedName name="CSA" localSheetId="7">#REF!</definedName>
    <definedName name="CSA" localSheetId="2">#REF!</definedName>
    <definedName name="CSA" localSheetId="1">#REF!</definedName>
    <definedName name="CSA" localSheetId="12">#REF!</definedName>
    <definedName name="CSA" localSheetId="11">#REF!</definedName>
    <definedName name="CSA" localSheetId="17">#REF!</definedName>
    <definedName name="CSA">#REF!</definedName>
    <definedName name="CT" localSheetId="2">#REF!</definedName>
    <definedName name="CT" localSheetId="1">#REF!</definedName>
    <definedName name="CT" localSheetId="17">#REF!</definedName>
    <definedName name="CT">#REF!</definedName>
    <definedName name="CU" localSheetId="2">#REF!</definedName>
    <definedName name="CU" localSheetId="1">#REF!</definedName>
    <definedName name="CU" localSheetId="17">#REF!</definedName>
    <definedName name="CU">#REF!</definedName>
    <definedName name="CUN" localSheetId="15">#REF!</definedName>
    <definedName name="CUN" localSheetId="4">#REF!</definedName>
    <definedName name="CUN" localSheetId="9">#REF!</definedName>
    <definedName name="CUN" localSheetId="7">#REF!</definedName>
    <definedName name="CUN" localSheetId="2">#REF!</definedName>
    <definedName name="CUN" localSheetId="1">#REF!</definedName>
    <definedName name="CUN" localSheetId="12">#REF!</definedName>
    <definedName name="CUN" localSheetId="11">#REF!</definedName>
    <definedName name="CUN" localSheetId="17">#REF!</definedName>
    <definedName name="CUN">#REF!</definedName>
    <definedName name="CunEq" localSheetId="16" hidden="1">SUM(IF(#REF! =#REF!,(#REF!)*(#REF!="EQ")))</definedName>
    <definedName name="CunEq" localSheetId="15" hidden="1">SUM(IF(#REF! =#REF!,(#REF!)*(#REF!="EQ")))</definedName>
    <definedName name="CunEq" localSheetId="4" hidden="1">SUM(IF(#REF! =#REF!,(#REF!)*(#REF!="EQ")))</definedName>
    <definedName name="CunEq" localSheetId="9" hidden="1">SUM(IF(#REF! =#REF!,(#REF!)*(#REF!="EQ")))</definedName>
    <definedName name="CunEq" localSheetId="8" hidden="1">SUM(IF(#REF! =#REF!,(#REF!)*(#REF!="EQ")))</definedName>
    <definedName name="CunEq" localSheetId="7" hidden="1">SUM(IF(#REF! =#REF!,(#REF!)*(#REF!="EQ")))</definedName>
    <definedName name="CunEq" localSheetId="2" hidden="1">SUM(IF(#REF! =#REF!,(#REF!)*(#REF!="EQ")))</definedName>
    <definedName name="CunEq" localSheetId="1" hidden="1">SUM(IF(#REF! =#REF!,(#REF!)*(#REF!="EQ")))</definedName>
    <definedName name="CunEq" localSheetId="13" hidden="1">SUM(IF(#REF! =#REF!,(#REF!)*(#REF!="EQ")))</definedName>
    <definedName name="CunEq" localSheetId="12" hidden="1">SUM(IF(#REF! =#REF!,(#REF!)*(#REF!="EQ")))</definedName>
    <definedName name="CunEq" localSheetId="11" hidden="1">SUM(IF(#REF! =#REF!,(#REF!)*(#REF!="EQ")))</definedName>
    <definedName name="CunEq" localSheetId="18" hidden="1">SUM(IF(#REF! =#REF!,(#REF!)*(#REF!="EQ")))</definedName>
    <definedName name="CunEq" localSheetId="17" hidden="1">SUM(IF(#REF! =#REF!,(#REF!)*(#REF!="EQ")))</definedName>
    <definedName name="CunEq" hidden="1">SUM(IF(#REF! =#REF!,(#REF!)*(#REF!="EQ")))</definedName>
    <definedName name="CunImp">0</definedName>
    <definedName name="CunMo" localSheetId="16" hidden="1">SUM(IF(#REF! =#REF!,(#REF!)*(#REF!="MO")))</definedName>
    <definedName name="CunMo" localSheetId="15" hidden="1">SUM(IF(#REF! =#REF!,(#REF!)*(#REF!="MO")))</definedName>
    <definedName name="CunMo" localSheetId="4" hidden="1">SUM(IF(#REF! =#REF!,(#REF!)*(#REF!="MO")))</definedName>
    <definedName name="CunMo" localSheetId="9" hidden="1">SUM(IF(#REF! =#REF!,(#REF!)*(#REF!="MO")))</definedName>
    <definedName name="CunMo" localSheetId="8" hidden="1">SUM(IF(#REF! =#REF!,(#REF!)*(#REF!="MO")))</definedName>
    <definedName name="CunMo" localSheetId="7" hidden="1">SUM(IF(#REF! =#REF!,(#REF!)*(#REF!="MO")))</definedName>
    <definedName name="CunMo" localSheetId="2" hidden="1">SUM(IF(#REF! =#REF!,(#REF!)*(#REF!="MO")))</definedName>
    <definedName name="CunMo" localSheetId="1" hidden="1">SUM(IF(#REF! =#REF!,(#REF!)*(#REF!="MO")))</definedName>
    <definedName name="CunMo" localSheetId="13" hidden="1">SUM(IF(#REF! =#REF!,(#REF!)*(#REF!="MO")))</definedName>
    <definedName name="CunMo" localSheetId="12" hidden="1">SUM(IF(#REF! =#REF!,(#REF!)*(#REF!="MO")))</definedName>
    <definedName name="CunMo" localSheetId="11" hidden="1">SUM(IF(#REF! =#REF!,(#REF!)*(#REF!="MO")))</definedName>
    <definedName name="CunMo" localSheetId="18" hidden="1">SUM(IF(#REF! =#REF!,(#REF!)*(#REF!="MO")))</definedName>
    <definedName name="CunMo" localSheetId="17" hidden="1">SUM(IF(#REF! =#REF!,(#REF!)*(#REF!="MO")))</definedName>
    <definedName name="CunMo" hidden="1">SUM(IF(#REF! =#REF!,(#REF!)*(#REF!="MO")))</definedName>
    <definedName name="CunMp" localSheetId="16" hidden="1">SUM(IF(#REF! =#REF!,(#REF!)*(#REF!="MP")))</definedName>
    <definedName name="CunMp" localSheetId="15" hidden="1">SUM(IF(#REF! =#REF!,(#REF!)*(#REF!="MP")))</definedName>
    <definedName name="CunMp" localSheetId="4" hidden="1">SUM(IF(#REF! =#REF!,(#REF!)*(#REF!="MP")))</definedName>
    <definedName name="CunMp" localSheetId="9" hidden="1">SUM(IF(#REF! =#REF!,(#REF!)*(#REF!="MP")))</definedName>
    <definedName name="CunMp" localSheetId="8" hidden="1">SUM(IF(#REF! =#REF!,(#REF!)*(#REF!="MP")))</definedName>
    <definedName name="CunMp" localSheetId="7" hidden="1">SUM(IF(#REF! =#REF!,(#REF!)*(#REF!="MP")))</definedName>
    <definedName name="CunMp" localSheetId="2" hidden="1">SUM(IF(#REF! =#REF!,(#REF!)*(#REF!="MP")))</definedName>
    <definedName name="CunMp" localSheetId="1" hidden="1">SUM(IF(#REF! =#REF!,(#REF!)*(#REF!="MP")))</definedName>
    <definedName name="CunMp" localSheetId="13" hidden="1">SUM(IF(#REF! =#REF!,(#REF!)*(#REF!="MP")))</definedName>
    <definedName name="CunMp" localSheetId="12" hidden="1">SUM(IF(#REF! =#REF!,(#REF!)*(#REF!="MP")))</definedName>
    <definedName name="CunMp" localSheetId="11" hidden="1">SUM(IF(#REF! =#REF!,(#REF!)*(#REF!="MP")))</definedName>
    <definedName name="CunMp" localSheetId="18" hidden="1">SUM(IF(#REF! =#REF!,(#REF!)*(#REF!="MP")))</definedName>
    <definedName name="CunMp" localSheetId="17" hidden="1">SUM(IF(#REF! =#REF!,(#REF!)*(#REF!="MP")))</definedName>
    <definedName name="CunMp" hidden="1">SUM(IF(#REF! =#REF!,(#REF!)*(#REF!="MP")))</definedName>
    <definedName name="CustoReal" localSheetId="2">#REF!</definedName>
    <definedName name="CustoReal" localSheetId="1">#REF!</definedName>
    <definedName name="CustoReal" localSheetId="17">#REF!</definedName>
    <definedName name="CustoReal">#REF!</definedName>
    <definedName name="cx" localSheetId="15">#REF!</definedName>
    <definedName name="cx" localSheetId="4">#REF!</definedName>
    <definedName name="cx" localSheetId="9">#REF!</definedName>
    <definedName name="cx" localSheetId="0">#REF!</definedName>
    <definedName name="cx" localSheetId="7">#REF!</definedName>
    <definedName name="cx" localSheetId="2">#REF!</definedName>
    <definedName name="cx" localSheetId="1">#REF!</definedName>
    <definedName name="cx" localSheetId="12">#REF!</definedName>
    <definedName name="cx" localSheetId="11">#REF!</definedName>
    <definedName name="cx" localSheetId="17">#REF!</definedName>
    <definedName name="cx">#REF!</definedName>
    <definedName name="d" localSheetId="15">#REF!</definedName>
    <definedName name="d" localSheetId="4">#REF!</definedName>
    <definedName name="d" localSheetId="9">#REF!</definedName>
    <definedName name="d" localSheetId="0">#REF!</definedName>
    <definedName name="d" localSheetId="7">#REF!</definedName>
    <definedName name="d" localSheetId="2">#REF!</definedName>
    <definedName name="d" localSheetId="1">#REF!</definedName>
    <definedName name="d" localSheetId="12">#REF!</definedName>
    <definedName name="d" localSheetId="11">#REF!</definedName>
    <definedName name="d" localSheetId="17">#REF!</definedName>
    <definedName name="d">#REF!</definedName>
    <definedName name="dadinho" localSheetId="15">#REF!</definedName>
    <definedName name="dadinho" localSheetId="4">#REF!</definedName>
    <definedName name="dadinho" localSheetId="9">#REF!</definedName>
    <definedName name="dadinho" localSheetId="7">#REF!</definedName>
    <definedName name="dadinho" localSheetId="2">#REF!</definedName>
    <definedName name="dadinho" localSheetId="1">#REF!</definedName>
    <definedName name="dadinho" localSheetId="12">#REF!</definedName>
    <definedName name="dadinho" localSheetId="17">#REF!</definedName>
    <definedName name="dadinho">#REF!</definedName>
    <definedName name="DADOS" localSheetId="15">#REF!</definedName>
    <definedName name="DADOS" localSheetId="4">#REF!</definedName>
    <definedName name="DADOS" localSheetId="9">#REF!</definedName>
    <definedName name="DADOS" localSheetId="0">#REF!</definedName>
    <definedName name="DADOS" localSheetId="7">#REF!</definedName>
    <definedName name="DADOS" localSheetId="2">#REF!</definedName>
    <definedName name="DADOS" localSheetId="1">#REF!</definedName>
    <definedName name="DADOS" localSheetId="13">#REF!</definedName>
    <definedName name="DADOS" localSheetId="12">#REF!</definedName>
    <definedName name="DADOS" localSheetId="11">#REF!</definedName>
    <definedName name="DADOS" localSheetId="17">#REF!</definedName>
    <definedName name="DADOS">#REF!</definedName>
    <definedName name="dal" localSheetId="15">#REF!</definedName>
    <definedName name="dal" localSheetId="4">#REF!</definedName>
    <definedName name="dal" localSheetId="9">#REF!</definedName>
    <definedName name="dal" localSheetId="0">#REF!</definedName>
    <definedName name="dal" localSheetId="7">#REF!</definedName>
    <definedName name="dal" localSheetId="2">#REF!</definedName>
    <definedName name="dal" localSheetId="1">#REF!</definedName>
    <definedName name="dal" localSheetId="12">#REF!</definedName>
    <definedName name="dal" localSheetId="11">#REF!</definedName>
    <definedName name="dal" localSheetId="17">#REF!</definedName>
    <definedName name="dal">#REF!</definedName>
    <definedName name="danilo" localSheetId="2">#REF!</definedName>
    <definedName name="danilo" localSheetId="1">#REF!</definedName>
    <definedName name="danilo" localSheetId="17">#REF!</definedName>
    <definedName name="danilo">#REF!</definedName>
    <definedName name="DAR" localSheetId="15">#REF!</definedName>
    <definedName name="DAR" localSheetId="4">#REF!</definedName>
    <definedName name="DAR" localSheetId="9">#REF!</definedName>
    <definedName name="DAR" localSheetId="7">#REF!</definedName>
    <definedName name="DAR" localSheetId="2">#REF!</definedName>
    <definedName name="DAR" localSheetId="1">#REF!</definedName>
    <definedName name="DAR" localSheetId="13">#REF!</definedName>
    <definedName name="DAR" localSheetId="12">#REF!</definedName>
    <definedName name="DAR" localSheetId="11">#REF!</definedName>
    <definedName name="DAR" localSheetId="17">#REF!</definedName>
    <definedName name="DAR">#REF!</definedName>
    <definedName name="dasd" localSheetId="2">#REF!</definedName>
    <definedName name="dasd" localSheetId="1">#REF!</definedName>
    <definedName name="dasd" localSheetId="17">#REF!</definedName>
    <definedName name="dasd">#REF!</definedName>
    <definedName name="DATA" localSheetId="15">#REF!</definedName>
    <definedName name="DATA" localSheetId="4">#REF!</definedName>
    <definedName name="DATA" localSheetId="9">#REF!</definedName>
    <definedName name="Data" localSheetId="0">#REF!</definedName>
    <definedName name="DATA" localSheetId="7">#REF!</definedName>
    <definedName name="DATA" localSheetId="2">#REF!</definedName>
    <definedName name="DATA" localSheetId="1">#REF!</definedName>
    <definedName name="DATA" localSheetId="13">#REF!</definedName>
    <definedName name="DATA" localSheetId="12">#REF!</definedName>
    <definedName name="DATA" localSheetId="11">#REF!</definedName>
    <definedName name="DATA" localSheetId="17">#REF!</definedName>
    <definedName name="DATA">#REF!</definedName>
    <definedName name="DATA_AT" localSheetId="15">#REF!</definedName>
    <definedName name="DATA_AT" localSheetId="4">#REF!</definedName>
    <definedName name="DATA_AT" localSheetId="9">#REF!</definedName>
    <definedName name="DATA_AT" localSheetId="0">#REF!</definedName>
    <definedName name="DATA_AT" localSheetId="7">#REF!</definedName>
    <definedName name="DATA_AT" localSheetId="2">#REF!</definedName>
    <definedName name="DATA_AT" localSheetId="1">#REF!</definedName>
    <definedName name="DATA_AT" localSheetId="13">#REF!</definedName>
    <definedName name="DATA_AT" localSheetId="12">#REF!</definedName>
    <definedName name="DATA_AT" localSheetId="11">#REF!</definedName>
    <definedName name="DATA_AT" localSheetId="17">#REF!</definedName>
    <definedName name="DATA_AT">#REF!</definedName>
    <definedName name="Data_Final" localSheetId="15">#REF!</definedName>
    <definedName name="Data_Final" localSheetId="4">#REF!</definedName>
    <definedName name="Data_Final" localSheetId="9">#REF!</definedName>
    <definedName name="Data_Final" localSheetId="7">#REF!</definedName>
    <definedName name="Data_Final" localSheetId="2">#REF!</definedName>
    <definedName name="Data_Final" localSheetId="1">#REF!</definedName>
    <definedName name="Data_Final" localSheetId="12">#REF!</definedName>
    <definedName name="Data_Final" localSheetId="11">#REF!</definedName>
    <definedName name="Data_Final" localSheetId="17">#REF!</definedName>
    <definedName name="Data_Final">#REF!</definedName>
    <definedName name="Data_Início" localSheetId="15">#REF!</definedName>
    <definedName name="Data_Início" localSheetId="4">#REF!</definedName>
    <definedName name="Data_Início" localSheetId="9">#REF!</definedName>
    <definedName name="Data_Início" localSheetId="7">#REF!</definedName>
    <definedName name="Data_Início" localSheetId="2">#REF!</definedName>
    <definedName name="Data_Início" localSheetId="1">#REF!</definedName>
    <definedName name="Data_Início" localSheetId="12">#REF!</definedName>
    <definedName name="Data_Início" localSheetId="17">#REF!</definedName>
    <definedName name="Data_Início">#REF!</definedName>
    <definedName name="DATA_M" localSheetId="15">#REF!</definedName>
    <definedName name="DATA_M" localSheetId="4">#REF!</definedName>
    <definedName name="DATA_M" localSheetId="9">#REF!</definedName>
    <definedName name="DATA_M" localSheetId="0">#REF!</definedName>
    <definedName name="DATA_M" localSheetId="7">#REF!</definedName>
    <definedName name="DATA_M" localSheetId="2">#REF!</definedName>
    <definedName name="DATA_M" localSheetId="1">#REF!</definedName>
    <definedName name="DATA_M" localSheetId="13">#REF!</definedName>
    <definedName name="DATA_M" localSheetId="12">#REF!</definedName>
    <definedName name="DATA_M" localSheetId="11">#REF!</definedName>
    <definedName name="DATA_M" localSheetId="17">#REF!</definedName>
    <definedName name="DATA_M">#REF!</definedName>
    <definedName name="DATA_NF" localSheetId="15">#REF!</definedName>
    <definedName name="DATA_NF" localSheetId="4">#REF!</definedName>
    <definedName name="DATA_NF" localSheetId="9">#REF!</definedName>
    <definedName name="DATA_NF" localSheetId="0">#REF!</definedName>
    <definedName name="DATA_NF" localSheetId="7">#REF!</definedName>
    <definedName name="DATA_NF" localSheetId="2">#REF!</definedName>
    <definedName name="DATA_NF" localSheetId="1">#REF!</definedName>
    <definedName name="DATA_NF" localSheetId="13">#REF!</definedName>
    <definedName name="DATA_NF" localSheetId="12">#REF!</definedName>
    <definedName name="DATA_NF" localSheetId="11">#REF!</definedName>
    <definedName name="DATA_NF" localSheetId="17">#REF!</definedName>
    <definedName name="DATA_NF">#REF!</definedName>
    <definedName name="data1" localSheetId="15">#REF!</definedName>
    <definedName name="data1" localSheetId="4">#REF!</definedName>
    <definedName name="data1" localSheetId="2">#REF!</definedName>
    <definedName name="data1" localSheetId="1">#REF!</definedName>
    <definedName name="data1" localSheetId="12">#REF!</definedName>
    <definedName name="data1" localSheetId="11">#REF!</definedName>
    <definedName name="data1" localSheetId="17">#REF!</definedName>
    <definedName name="data1">#REF!</definedName>
    <definedName name="Database" localSheetId="15">#REF!</definedName>
    <definedName name="Database" localSheetId="4">#REF!</definedName>
    <definedName name="Database" localSheetId="9">#REF!</definedName>
    <definedName name="Database" localSheetId="0">#REF!</definedName>
    <definedName name="Database" localSheetId="7">#REF!</definedName>
    <definedName name="Database" localSheetId="2">#REF!</definedName>
    <definedName name="Database" localSheetId="1">#REF!</definedName>
    <definedName name="Database" localSheetId="12">#REF!</definedName>
    <definedName name="Database" localSheetId="11">#REF!</definedName>
    <definedName name="Database" localSheetId="17">#REF!</definedName>
    <definedName name="Database">#REF!</definedName>
    <definedName name="DATAMEDIÇÃO" localSheetId="15">#REF!</definedName>
    <definedName name="DATAMEDIÇÃO" localSheetId="4">#REF!</definedName>
    <definedName name="DATAMEDIÇÃO" localSheetId="9">#REF!</definedName>
    <definedName name="DATAMEDIÇÃO" localSheetId="0">#REF!</definedName>
    <definedName name="DATAMEDIÇÃO" localSheetId="7">#REF!</definedName>
    <definedName name="DATAMEDIÇÃO" localSheetId="2">#REF!</definedName>
    <definedName name="DATAMEDIÇÃO" localSheetId="1">#REF!</definedName>
    <definedName name="DATAMEDIÇÃO" localSheetId="13">#REF!</definedName>
    <definedName name="DATAMEDIÇÃO" localSheetId="12">#REF!</definedName>
    <definedName name="DATAMEDIÇÃO" localSheetId="11">#REF!</definedName>
    <definedName name="DATAMEDIÇÃO" localSheetId="17">#REF!</definedName>
    <definedName name="DATAMEDIÇÃO">#REF!</definedName>
    <definedName name="DB" localSheetId="4">#REF!</definedName>
    <definedName name="DB" localSheetId="2">#REF!</definedName>
    <definedName name="DB" localSheetId="1">#REF!</definedName>
    <definedName name="DB" localSheetId="17">#REF!</definedName>
    <definedName name="DB">#REF!</definedName>
    <definedName name="DD" localSheetId="15">#REF!</definedName>
    <definedName name="DD" localSheetId="4">#REF!</definedName>
    <definedName name="DD" localSheetId="9">#REF!</definedName>
    <definedName name="DD" localSheetId="0">#REF!</definedName>
    <definedName name="DD" localSheetId="7">#REF!</definedName>
    <definedName name="DD" localSheetId="2">#REF!</definedName>
    <definedName name="DD" localSheetId="1">#REF!</definedName>
    <definedName name="DD" localSheetId="12">#REF!</definedName>
    <definedName name="DD" localSheetId="11">#REF!</definedName>
    <definedName name="DD" localSheetId="17">#REF!</definedName>
    <definedName name="DD">#REF!</definedName>
    <definedName name="DDDD" localSheetId="15">#REF!</definedName>
    <definedName name="DDDD" localSheetId="4">#REF!</definedName>
    <definedName name="DDDD" localSheetId="9">#REF!</definedName>
    <definedName name="DDDD" localSheetId="7">#REF!</definedName>
    <definedName name="DDDD" localSheetId="2">#REF!</definedName>
    <definedName name="DDDD" localSheetId="1">#REF!</definedName>
    <definedName name="DDDD" localSheetId="12">#REF!</definedName>
    <definedName name="DDDD" localSheetId="11">#REF!</definedName>
    <definedName name="DDDD" localSheetId="17">#REF!</definedName>
    <definedName name="DDDD">#REF!</definedName>
    <definedName name="dddddddd" localSheetId="15">#REF!</definedName>
    <definedName name="dddddddd" localSheetId="4">#REF!</definedName>
    <definedName name="dddddddd" localSheetId="9">#REF!</definedName>
    <definedName name="dddddddd" localSheetId="7">#REF!</definedName>
    <definedName name="dddddddd" localSheetId="2">#REF!</definedName>
    <definedName name="dddddddd" localSheetId="1">#REF!</definedName>
    <definedName name="dddddddd" localSheetId="12">#REF!</definedName>
    <definedName name="dddddddd" localSheetId="11">#REF!</definedName>
    <definedName name="dddddddd" localSheetId="17">#REF!</definedName>
    <definedName name="dddddddd">#REF!</definedName>
    <definedName name="DE_km" localSheetId="15">#REF!</definedName>
    <definedName name="DE_km" localSheetId="4">#REF!</definedName>
    <definedName name="DE_km" localSheetId="9">#REF!</definedName>
    <definedName name="DE_km" localSheetId="0">#REF!</definedName>
    <definedName name="DE_km" localSheetId="7">#REF!</definedName>
    <definedName name="DE_km" localSheetId="2">#REF!</definedName>
    <definedName name="DE_km" localSheetId="1">#REF!</definedName>
    <definedName name="DE_km" localSheetId="12">#REF!</definedName>
    <definedName name="DE_km" localSheetId="11">#REF!</definedName>
    <definedName name="DE_km" localSheetId="17">#REF!</definedName>
    <definedName name="DE_km">#REF!</definedName>
    <definedName name="Declividade">#REF!</definedName>
    <definedName name="Deco" localSheetId="2">#REF!</definedName>
    <definedName name="Deco" localSheetId="1">#REF!</definedName>
    <definedName name="Deco" localSheetId="17">#REF!</definedName>
    <definedName name="Deco">#REF!</definedName>
    <definedName name="dedss" localSheetId="15">#REF!</definedName>
    <definedName name="dedss" localSheetId="4">#REF!</definedName>
    <definedName name="dedss" localSheetId="9">#REF!</definedName>
    <definedName name="dedss" localSheetId="0">#REF!</definedName>
    <definedName name="dedss" localSheetId="7">#REF!</definedName>
    <definedName name="dedss" localSheetId="2">#REF!</definedName>
    <definedName name="dedss" localSheetId="1">#REF!</definedName>
    <definedName name="dedss" localSheetId="13">#REF!</definedName>
    <definedName name="dedss" localSheetId="12">#REF!</definedName>
    <definedName name="dedss" localSheetId="11">#REF!</definedName>
    <definedName name="dedss" localSheetId="17">#REF!</definedName>
    <definedName name="dedss">#REF!</definedName>
    <definedName name="DEMONSTRATIVO_DO_RESULTADO_GERENCIAL___DGR" localSheetId="15">#REF!</definedName>
    <definedName name="DEMONSTRATIVO_DO_RESULTADO_GERENCIAL___DGR" localSheetId="4">#REF!</definedName>
    <definedName name="DEMONSTRATIVO_DO_RESULTADO_GERENCIAL___DGR" localSheetId="9">#REF!</definedName>
    <definedName name="DEMONSTRATIVO_DO_RESULTADO_GERENCIAL___DGR" localSheetId="0">#REF!</definedName>
    <definedName name="DEMONSTRATIVO_DO_RESULTADO_GERENCIAL___DGR" localSheetId="7">#REF!</definedName>
    <definedName name="DEMONSTRATIVO_DO_RESULTADO_GERENCIAL___DGR" localSheetId="2">#REF!</definedName>
    <definedName name="DEMONSTRATIVO_DO_RESULTADO_GERENCIAL___DGR" localSheetId="1">#REF!</definedName>
    <definedName name="DEMONSTRATIVO_DO_RESULTADO_GERENCIAL___DGR" localSheetId="12">#REF!</definedName>
    <definedName name="DEMONSTRATIVO_DO_RESULTADO_GERENCIAL___DGR" localSheetId="11">#REF!</definedName>
    <definedName name="DEMONSTRATIVO_DO_RESULTADO_GERENCIAL___DGR" localSheetId="17">#REF!</definedName>
    <definedName name="DEMONSTRATIVO_DO_RESULTADO_GERENCIAL___DGR">#REF!</definedName>
    <definedName name="DER" localSheetId="15">#REF!</definedName>
    <definedName name="DER" localSheetId="4">#REF!</definedName>
    <definedName name="DER" localSheetId="9">#REF!</definedName>
    <definedName name="DER" localSheetId="7">#REF!</definedName>
    <definedName name="DER" localSheetId="2">#REF!</definedName>
    <definedName name="DER" localSheetId="1">#REF!</definedName>
    <definedName name="DER" localSheetId="13">#REF!</definedName>
    <definedName name="DER" localSheetId="12">#REF!</definedName>
    <definedName name="DER" localSheetId="11">#REF!</definedName>
    <definedName name="DER" localSheetId="17">#REF!</definedName>
    <definedName name="DER">#REF!</definedName>
    <definedName name="des" localSheetId="15">#REF!</definedName>
    <definedName name="des" localSheetId="4">#REF!</definedName>
    <definedName name="des" localSheetId="9">#REF!</definedName>
    <definedName name="des" localSheetId="0">#REF!</definedName>
    <definedName name="des" localSheetId="7">#REF!</definedName>
    <definedName name="des" localSheetId="2">#REF!</definedName>
    <definedName name="des" localSheetId="1">#REF!</definedName>
    <definedName name="des" localSheetId="12">#REF!</definedName>
    <definedName name="des" localSheetId="11">#REF!</definedName>
    <definedName name="des" localSheetId="17">#REF!</definedName>
    <definedName name="des">#REF!</definedName>
    <definedName name="DescAux" hidden="1">#N/A</definedName>
    <definedName name="DESCR">"bds"</definedName>
    <definedName name="descricao" localSheetId="15">#REF!</definedName>
    <definedName name="descricao" localSheetId="4">#REF!</definedName>
    <definedName name="descricao" localSheetId="9">#REF!</definedName>
    <definedName name="descricao" localSheetId="7">#REF!</definedName>
    <definedName name="descricao" localSheetId="2">#REF!</definedName>
    <definedName name="descricao" localSheetId="1">#REF!</definedName>
    <definedName name="descricao" localSheetId="12">#REF!</definedName>
    <definedName name="descricao" localSheetId="11">#REF!</definedName>
    <definedName name="descricao" localSheetId="17">#REF!</definedName>
    <definedName name="descricao">#REF!</definedName>
    <definedName name="Desma" localSheetId="15">#REF!</definedName>
    <definedName name="Desma" localSheetId="4">#REF!</definedName>
    <definedName name="Desma" localSheetId="9">#REF!</definedName>
    <definedName name="Desma" localSheetId="0">#REF!</definedName>
    <definedName name="Desma" localSheetId="7">#REF!</definedName>
    <definedName name="Desma" localSheetId="2">#REF!</definedName>
    <definedName name="Desma" localSheetId="1">#REF!</definedName>
    <definedName name="Desma" localSheetId="12">#REF!</definedName>
    <definedName name="Desma" localSheetId="17">#REF!</definedName>
    <definedName name="Desma">#REF!</definedName>
    <definedName name="DESOBBUE" localSheetId="15">#REF!</definedName>
    <definedName name="DESOBBUE" localSheetId="4">#REF!</definedName>
    <definedName name="DESOBBUE" localSheetId="9">#REF!</definedName>
    <definedName name="DESOBBUE" localSheetId="0">#REF!</definedName>
    <definedName name="DESOBBUE" localSheetId="2">#REF!</definedName>
    <definedName name="DESOBBUE" localSheetId="1">#REF!</definedName>
    <definedName name="DESOBBUE" localSheetId="12">#REF!</definedName>
    <definedName name="DESOBBUE" localSheetId="17">#REF!</definedName>
    <definedName name="DESOBBUE">#REF!</definedName>
    <definedName name="DESONERACAO" localSheetId="15" hidden="1">IF(OR(Import.Desoneracao="DESONERADO",Import.Desoneracao="SIM"),"SIM","NÃO")</definedName>
    <definedName name="DESONERACAO" localSheetId="8" hidden="1">IF(OR(Import.Desoneracao="DESONERADO",Import.Desoneracao="SIM"),"SIM","NÃO")</definedName>
    <definedName name="DESONERACAO" localSheetId="6" hidden="1">IF(OR(Import.Desoneracao="DESONERADO",Import.Desoneracao="SIM"),"SIM","NÃO")</definedName>
    <definedName name="DESONERACAO" localSheetId="2" hidden="1">IF(OR(Import.Desoneracao="DESONERADO",Import.Desoneracao="SIM"),"SIM","NÃO")</definedName>
    <definedName name="DESONERACAO" localSheetId="13" hidden="1">IF(OR(Import.Desoneracao="DESONERADO",Import.Desoneracao="SIM"),"SIM","NÃO")</definedName>
    <definedName name="DESONERACAO" localSheetId="12" hidden="1">IF(OR(Import.Desoneracao="DESONERADO",Import.Desoneracao="SIM"),"SIM","NÃO")</definedName>
    <definedName name="DESONERACAO" localSheetId="17" hidden="1">IF(OR('SINALIZAÇÃO - JDML'!Import.Desoneracao="DESONERADO",'SINALIZAÇÃO - JDML'!Import.Desoneracao="SIM"),"SIM","NÃO")</definedName>
    <definedName name="DESONERACAO" hidden="1">IF(OR(Import.Desoneracao="DESONERADO",Import.Desoneracao="SIM"),"SIM","NÃO")</definedName>
    <definedName name="DESTOC15" localSheetId="15">#REF!</definedName>
    <definedName name="DESTOC15" localSheetId="4">#REF!</definedName>
    <definedName name="DESTOC15" localSheetId="2">#REF!</definedName>
    <definedName name="DESTOC15" localSheetId="1">#REF!</definedName>
    <definedName name="DESTOC15" localSheetId="13">#REF!</definedName>
    <definedName name="DESTOC15" localSheetId="17">#REF!</definedName>
    <definedName name="DESTOC15">#REF!</definedName>
    <definedName name="DESTOC30" localSheetId="4">#REF!</definedName>
    <definedName name="DESTOC30" localSheetId="2">#REF!</definedName>
    <definedName name="DESTOC30" localSheetId="1">#REF!</definedName>
    <definedName name="DESTOC30" localSheetId="17">#REF!</definedName>
    <definedName name="DESTOC30">#REF!</definedName>
    <definedName name="Df" localSheetId="2">#REF!</definedName>
    <definedName name="Df" localSheetId="1">#REF!</definedName>
    <definedName name="Df" localSheetId="17">#REF!</definedName>
    <definedName name="Df">#REF!</definedName>
    <definedName name="dfdf" localSheetId="15" hidden="1">{#N/A,#N/A,FALSE,"MO (2)"}</definedName>
    <definedName name="dfdf" localSheetId="8" hidden="1">{#N/A,#N/A,FALSE,"MO (2)"}</definedName>
    <definedName name="dfdf" localSheetId="6" hidden="1">{#N/A,#N/A,FALSE,"MO (2)"}</definedName>
    <definedName name="dfdf" localSheetId="2" hidden="1">{#N/A,#N/A,FALSE,"MO (2)"}</definedName>
    <definedName name="dfdf" localSheetId="13" hidden="1">{#N/A,#N/A,FALSE,"MO (2)"}</definedName>
    <definedName name="dfdf" localSheetId="12" hidden="1">{#N/A,#N/A,FALSE,"MO (2)"}</definedName>
    <definedName name="dfdf" localSheetId="17" hidden="1">{#N/A,#N/A,FALSE,"MO (2)"}</definedName>
    <definedName name="dfdf" hidden="1">{#N/A,#N/A,FALSE,"MO (2)"}</definedName>
    <definedName name="DGA" localSheetId="15">#REF!</definedName>
    <definedName name="DGA" localSheetId="4">#REF!</definedName>
    <definedName name="DGA" localSheetId="9">#REF!</definedName>
    <definedName name="DGA" localSheetId="7">#REF!</definedName>
    <definedName name="DGA" localSheetId="2">#REF!</definedName>
    <definedName name="DGA" localSheetId="1">#REF!</definedName>
    <definedName name="DGA" localSheetId="12">#REF!</definedName>
    <definedName name="DGA" localSheetId="11">#REF!</definedName>
    <definedName name="DGA" localSheetId="17">#REF!</definedName>
    <definedName name="DGA">#REF!</definedName>
    <definedName name="dghdfhsdf" localSheetId="15">#REF!</definedName>
    <definedName name="dghdfhsdf" localSheetId="4">#REF!</definedName>
    <definedName name="dghdfhsdf" localSheetId="9">#REF!</definedName>
    <definedName name="dghdfhsdf" localSheetId="0">#REF!</definedName>
    <definedName name="dghdfhsdf" localSheetId="7">#REF!</definedName>
    <definedName name="dghdfhsdf" localSheetId="2">#REF!</definedName>
    <definedName name="dghdfhsdf" localSheetId="1">#REF!</definedName>
    <definedName name="dghdfhsdf" localSheetId="12">#REF!</definedName>
    <definedName name="dghdfhsdf" localSheetId="11">#REF!</definedName>
    <definedName name="dghdfhsdf" localSheetId="17">#REF!</definedName>
    <definedName name="dghdfhsdf">#REF!</definedName>
    <definedName name="dghzdfhsd" localSheetId="16" hidden="1">{#N/A,#N/A,FALSE,"Pla_Preço";#N/A,#N/A,FALSE,"Crono"}</definedName>
    <definedName name="dghzdfhsd" localSheetId="15" hidden="1">{#N/A,#N/A,FALSE,"Pla_Preço";#N/A,#N/A,FALSE,"Crono"}</definedName>
    <definedName name="dghzdfhsd" localSheetId="4" hidden="1">{#N/A,#N/A,FALSE,"Pla_Preço";#N/A,#N/A,FALSE,"Crono"}</definedName>
    <definedName name="dghzdfhsd" localSheetId="9" hidden="1">{#N/A,#N/A,FALSE,"Pla_Preço";#N/A,#N/A,FALSE,"Crono"}</definedName>
    <definedName name="dghzdfhsd" localSheetId="0" hidden="1">{#N/A,#N/A,FALSE,"Pla_Preço";#N/A,#N/A,FALSE,"Crono"}</definedName>
    <definedName name="dghzdfhsd" localSheetId="8" hidden="1">{#N/A,#N/A,FALSE,"Pla_Preço";#N/A,#N/A,FALSE,"Crono"}</definedName>
    <definedName name="dghzdfhsd" localSheetId="7" hidden="1">{#N/A,#N/A,FALSE,"Pla_Preço";#N/A,#N/A,FALSE,"Crono"}</definedName>
    <definedName name="dghzdfhsd" localSheetId="6" hidden="1">{#N/A,#N/A,FALSE,"Pla_Preço";#N/A,#N/A,FALSE,"Crono"}</definedName>
    <definedName name="dghzdfhsd" localSheetId="2" hidden="1">{#N/A,#N/A,FALSE,"Pla_Preço";#N/A,#N/A,FALSE,"Crono"}</definedName>
    <definedName name="dghzdfhsd" localSheetId="1" hidden="1">{#N/A,#N/A,FALSE,"Pla_Preço";#N/A,#N/A,FALSE,"Crono"}</definedName>
    <definedName name="dghzdfhsd" localSheetId="13" hidden="1">{#N/A,#N/A,FALSE,"Pla_Preço";#N/A,#N/A,FALSE,"Crono"}</definedName>
    <definedName name="dghzdfhsd" localSheetId="3" hidden="1">{#N/A,#N/A,FALSE,"Pla_Preço";#N/A,#N/A,FALSE,"Crono"}</definedName>
    <definedName name="dghzdfhsd" localSheetId="12" hidden="1">{#N/A,#N/A,FALSE,"Pla_Preço";#N/A,#N/A,FALSE,"Crono"}</definedName>
    <definedName name="dghzdfhsd" localSheetId="11" hidden="1">{#N/A,#N/A,FALSE,"Pla_Preço";#N/A,#N/A,FALSE,"Crono"}</definedName>
    <definedName name="dghzdfhsd" localSheetId="18" hidden="1">{#N/A,#N/A,FALSE,"Pla_Preço";#N/A,#N/A,FALSE,"Crono"}</definedName>
    <definedName name="dghzdfhsd" localSheetId="17" hidden="1">{#N/A,#N/A,FALSE,"Pla_Preço";#N/A,#N/A,FALSE,"Crono"}</definedName>
    <definedName name="dghzdfhsd" hidden="1">{#N/A,#N/A,FALSE,"Pla_Preço";#N/A,#N/A,FALSE,"Crono"}</definedName>
    <definedName name="DIE" localSheetId="15">#REF!</definedName>
    <definedName name="DIE" localSheetId="4">#REF!</definedName>
    <definedName name="DIE" localSheetId="2">#REF!</definedName>
    <definedName name="DIE" localSheetId="1">#REF!</definedName>
    <definedName name="DIE" localSheetId="12">#REF!</definedName>
    <definedName name="DIE" localSheetId="11">#REF!</definedName>
    <definedName name="DIE" localSheetId="17">#REF!</definedName>
    <definedName name="DIE">#REF!</definedName>
    <definedName name="DIESEL1" localSheetId="17">#REF!</definedName>
    <definedName name="DIESEL1">#REF!</definedName>
    <definedName name="DIGITAL" localSheetId="15">'CALÇADA E ACESS. - JDML'!DIGITAL</definedName>
    <definedName name="DIGITAL" localSheetId="4">'DEMOLIÇÃO - JDML'!DIGITAL</definedName>
    <definedName name="DIGITAL" localSheetId="9">'DISP. DRENAGEM - JDML'!DIGITAL</definedName>
    <definedName name="DIGITAL" localSheetId="0">DMT!DIGITAL</definedName>
    <definedName name="DIGITAL" localSheetId="8">#N/A</definedName>
    <definedName name="DIGITAL" localSheetId="7">'DRENAGEM - JDML'!DIGITAL</definedName>
    <definedName name="DIGITAL" localSheetId="6">#N/A</definedName>
    <definedName name="DIGITAL" localSheetId="2">GRELHA!DIGITAL</definedName>
    <definedName name="DIGITAL" localSheetId="1">'MAT BET'!DIGITAL</definedName>
    <definedName name="DIGITAL" localSheetId="13">'PAVIMENTAÇÃO - JDML'!DIGITAL</definedName>
    <definedName name="DIGITAL" localSheetId="3">'PRELIMINARES - JDML+JDA-E2'!DIGITAL</definedName>
    <definedName name="DIGITAL" localSheetId="12">'RECAPEAMENTO - JDML'!DIGITAL</definedName>
    <definedName name="DIGITAL" localSheetId="11">'REMENDO - JDML'!DIGITAL</definedName>
    <definedName name="DIGITAL" localSheetId="17">'SINALIZAÇÃO - JDML'!DIGITAL</definedName>
    <definedName name="DIGITAL">[0]!DIGITAL</definedName>
    <definedName name="DISTAU" localSheetId="15">#REF!</definedName>
    <definedName name="DISTAU" localSheetId="4">#REF!</definedName>
    <definedName name="DISTAU" localSheetId="9">#REF!</definedName>
    <definedName name="DISTAU" localSheetId="7">#REF!</definedName>
    <definedName name="DISTAU" localSheetId="2">#REF!</definedName>
    <definedName name="DISTAU" localSheetId="1">#REF!</definedName>
    <definedName name="DISTAU" localSheetId="13">#REF!</definedName>
    <definedName name="DISTAU" localSheetId="12">#REF!</definedName>
    <definedName name="DISTAU" localSheetId="11">#REF!</definedName>
    <definedName name="DISTAU" localSheetId="17">#REF!</definedName>
    <definedName name="DISTAU">#REF!</definedName>
    <definedName name="DISTBP" localSheetId="15">#REF!</definedName>
    <definedName name="DISTBP" localSheetId="4">#REF!</definedName>
    <definedName name="DISTBP" localSheetId="9">#REF!</definedName>
    <definedName name="DISTBP" localSheetId="7">#REF!</definedName>
    <definedName name="DISTBP" localSheetId="2">#REF!</definedName>
    <definedName name="DISTBP" localSheetId="1">#REF!</definedName>
    <definedName name="DISTBP" localSheetId="13">#REF!</definedName>
    <definedName name="DISTBP" localSheetId="12">#REF!</definedName>
    <definedName name="DISTBP" localSheetId="11">#REF!</definedName>
    <definedName name="DISTBP" localSheetId="17">#REF!</definedName>
    <definedName name="DISTBP">#REF!</definedName>
    <definedName name="DISTBU" localSheetId="15">#REF!</definedName>
    <definedName name="DISTBU" localSheetId="4">#REF!</definedName>
    <definedName name="DISTBU" localSheetId="9">#REF!</definedName>
    <definedName name="DISTBU" localSheetId="7">#REF!</definedName>
    <definedName name="DISTBU" localSheetId="2">#REF!</definedName>
    <definedName name="DISTBU" localSheetId="1">#REF!</definedName>
    <definedName name="DISTBU" localSheetId="13">#REF!</definedName>
    <definedName name="DISTBU" localSheetId="12">#REF!</definedName>
    <definedName name="DISTBU" localSheetId="11">#REF!</definedName>
    <definedName name="DISTBU" localSheetId="17">#REF!</definedName>
    <definedName name="DISTBU">#REF!</definedName>
    <definedName name="DISTCIM" localSheetId="15">#REF!</definedName>
    <definedName name="DISTCIM" localSheetId="4">#REF!</definedName>
    <definedName name="DISTCIM" localSheetId="9">#REF!</definedName>
    <definedName name="DISTCIM" localSheetId="7">#REF!</definedName>
    <definedName name="DISTCIM" localSheetId="2">#REF!</definedName>
    <definedName name="DISTCIM" localSheetId="1">#REF!</definedName>
    <definedName name="DISTCIM" localSheetId="13">#REF!</definedName>
    <definedName name="DISTCIM" localSheetId="12">#REF!</definedName>
    <definedName name="DISTCIM" localSheetId="11">#REF!</definedName>
    <definedName name="DISTCIM" localSheetId="17">#REF!</definedName>
    <definedName name="DISTCIM">#REF!</definedName>
    <definedName name="DISTFILLER" localSheetId="15">#REF!</definedName>
    <definedName name="DISTFILLER" localSheetId="4">#REF!</definedName>
    <definedName name="DISTFILLER" localSheetId="9">#REF!</definedName>
    <definedName name="DISTFILLER" localSheetId="7">#REF!</definedName>
    <definedName name="DISTFILLER" localSheetId="2">#REF!</definedName>
    <definedName name="DISTFILLER" localSheetId="1">#REF!</definedName>
    <definedName name="DISTFILLER" localSheetId="13">#REF!</definedName>
    <definedName name="DISTFILLER" localSheetId="12">#REF!</definedName>
    <definedName name="DISTFILLER" localSheetId="11">#REF!</definedName>
    <definedName name="DISTFILLER" localSheetId="17">#REF!</definedName>
    <definedName name="DISTFILLER">#REF!</definedName>
    <definedName name="DISTFRESADO" localSheetId="15">#REF!</definedName>
    <definedName name="DISTFRESADO" localSheetId="4">#REF!</definedName>
    <definedName name="DISTFRESADO" localSheetId="9">#REF!</definedName>
    <definedName name="DISTFRESADO" localSheetId="7">#REF!</definedName>
    <definedName name="DISTFRESADO" localSheetId="2">#REF!</definedName>
    <definedName name="DISTFRESADO" localSheetId="1">#REF!</definedName>
    <definedName name="DISTFRESADO" localSheetId="13">#REF!</definedName>
    <definedName name="DISTFRESADO" localSheetId="12">#REF!</definedName>
    <definedName name="DISTFRESADO" localSheetId="11">#REF!</definedName>
    <definedName name="DISTFRESADO" localSheetId="17">#REF!</definedName>
    <definedName name="DISTFRESADO">#REF!</definedName>
    <definedName name="DISTMASSA" localSheetId="15">#REF!</definedName>
    <definedName name="DISTMASSA" localSheetId="4">#REF!</definedName>
    <definedName name="DISTMASSA" localSheetId="9">#REF!</definedName>
    <definedName name="DISTMASSA" localSheetId="7">#REF!</definedName>
    <definedName name="DISTMASSA" localSheetId="2">#REF!</definedName>
    <definedName name="DISTMASSA" localSheetId="1">#REF!</definedName>
    <definedName name="DISTMASSA" localSheetId="13">#REF!</definedName>
    <definedName name="DISTMASSA" localSheetId="12">#REF!</definedName>
    <definedName name="DISTMASSA" localSheetId="11">#REF!</definedName>
    <definedName name="DISTMASSA" localSheetId="17">#REF!</definedName>
    <definedName name="DISTMASSA">#REF!</definedName>
    <definedName name="DISTSOLO" localSheetId="15">#REF!</definedName>
    <definedName name="DISTSOLO" localSheetId="4">#REF!</definedName>
    <definedName name="DISTSOLO" localSheetId="9">#REF!</definedName>
    <definedName name="DISTSOLO" localSheetId="7">#REF!</definedName>
    <definedName name="DISTSOLO" localSheetId="2">#REF!</definedName>
    <definedName name="DISTSOLO" localSheetId="1">#REF!</definedName>
    <definedName name="DISTSOLO" localSheetId="13">#REF!</definedName>
    <definedName name="DISTSOLO" localSheetId="12">#REF!</definedName>
    <definedName name="DISTSOLO" localSheetId="11">#REF!</definedName>
    <definedName name="DISTSOLO" localSheetId="17">#REF!</definedName>
    <definedName name="DISTSOLO">#REF!</definedName>
    <definedName name="DJ" localSheetId="15">#REF!</definedName>
    <definedName name="DJ" localSheetId="4">#REF!</definedName>
    <definedName name="DJ" localSheetId="9">#REF!</definedName>
    <definedName name="DJ" localSheetId="7">#REF!</definedName>
    <definedName name="DJ" localSheetId="2">#REF!</definedName>
    <definedName name="DJ" localSheetId="1">#REF!</definedName>
    <definedName name="DJ" localSheetId="12">#REF!</definedName>
    <definedName name="DJ" localSheetId="11">#REF!</definedName>
    <definedName name="DJ" localSheetId="17">#REF!</definedName>
    <definedName name="DJ">#REF!</definedName>
    <definedName name="DKJBGKSHAK" localSheetId="2">#REF!</definedName>
    <definedName name="DKJBGKSHAK" localSheetId="1">#REF!</definedName>
    <definedName name="DKJBGKSHAK" localSheetId="17">#REF!</definedName>
    <definedName name="DKJBGKSHAK">#REF!</definedName>
    <definedName name="DMT">2</definedName>
    <definedName name="DMT.BF" localSheetId="7">#REF!</definedName>
    <definedName name="DMT.BF" localSheetId="2">#REF!</definedName>
    <definedName name="DMT.BF" localSheetId="1">#REF!</definedName>
    <definedName name="DMT.BF" localSheetId="17">#REF!</definedName>
    <definedName name="DMT.BF">#REF!</definedName>
    <definedName name="DMT_ADP" localSheetId="7">#REF!</definedName>
    <definedName name="DMT_ADP" localSheetId="2">#REF!</definedName>
    <definedName name="DMT_ADP" localSheetId="1">#REF!</definedName>
    <definedName name="DMT_ADP" localSheetId="17">#REF!</definedName>
    <definedName name="DMT_ADP">#REF!</definedName>
    <definedName name="DMT_ADUELAS" localSheetId="4">#REF!</definedName>
    <definedName name="DMT_ADUELAS" localSheetId="9">#REF!</definedName>
    <definedName name="DMT_ADUELAS" localSheetId="2">#REF!</definedName>
    <definedName name="DMT_ADUELAS" localSheetId="1">#REF!</definedName>
    <definedName name="DMT_ADUELAS" localSheetId="17">#REF!</definedName>
    <definedName name="DMT_ADUELAS">#REF!</definedName>
    <definedName name="DMT_AREIA" localSheetId="2">#REF!</definedName>
    <definedName name="DMT_AREIA" localSheetId="1">#REF!</definedName>
    <definedName name="DMT_AREIA" localSheetId="17">#REF!</definedName>
    <definedName name="DMT_AREIA">#REF!</definedName>
    <definedName name="DMT_ARGILA" localSheetId="4">#REF!</definedName>
    <definedName name="DMT_ARGILA" localSheetId="9">#REF!</definedName>
    <definedName name="DMT_ARGILA" localSheetId="2">#REF!</definedName>
    <definedName name="DMT_ARGILA" localSheetId="1">#REF!</definedName>
    <definedName name="DMT_ARGILA" localSheetId="17">#REF!</definedName>
    <definedName name="DMT_ARGILA">#REF!</definedName>
    <definedName name="DMT_B.ESPERA" localSheetId="7">#REF!</definedName>
    <definedName name="DMT_B.ESPERA" localSheetId="2">#REF!</definedName>
    <definedName name="DMT_B.ESPERA" localSheetId="1">#REF!</definedName>
    <definedName name="DMT_B.ESPERA" localSheetId="17">#REF!</definedName>
    <definedName name="DMT_B.ESPERA">#REF!</definedName>
    <definedName name="DMT_BASE" localSheetId="4">#REF!</definedName>
    <definedName name="DMT_BASE" localSheetId="9">#REF!</definedName>
    <definedName name="DMT_BASE" localSheetId="2">#REF!</definedName>
    <definedName name="DMT_BASE" localSheetId="1">#REF!</definedName>
    <definedName name="DMT_BASE" localSheetId="17">#REF!</definedName>
    <definedName name="DMT_BASE">#REF!</definedName>
    <definedName name="DMT_BASE.SUB.BASE">#REF!</definedName>
    <definedName name="DMT_BE" localSheetId="17">#REF!</definedName>
    <definedName name="DMT_BE">#REF!</definedName>
    <definedName name="DMT_BF" localSheetId="4">#REF!</definedName>
    <definedName name="DMT_BF" localSheetId="9">#REF!</definedName>
    <definedName name="DMT_BF" localSheetId="2">#REF!</definedName>
    <definedName name="DMT_BF" localSheetId="1">#REF!</definedName>
    <definedName name="DMT_BF" localSheetId="17">#REF!</definedName>
    <definedName name="DMT_BF">#REF!</definedName>
    <definedName name="DMT_BOTA.FORA">#REF!</definedName>
    <definedName name="DMT_BOTAFORA" localSheetId="2">#REF!</definedName>
    <definedName name="DMT_BOTAFORA" localSheetId="1">#REF!</definedName>
    <definedName name="DMT_BOTAFORA" localSheetId="17">#REF!</definedName>
    <definedName name="DMT_BOTAFORA">#REF!</definedName>
    <definedName name="DMT_BRITA">#REF!</definedName>
    <definedName name="DMT_CBUQ" localSheetId="4">#REF!</definedName>
    <definedName name="DMT_CBUQ" localSheetId="9">#REF!</definedName>
    <definedName name="DMT_CBUQ" localSheetId="2">#REF!</definedName>
    <definedName name="DMT_CBUQ" localSheetId="1">#REF!</definedName>
    <definedName name="DMT_CBUQ" localSheetId="17">#REF!</definedName>
    <definedName name="DMT_CBUQ">#REF!</definedName>
    <definedName name="DMT_CM30" localSheetId="4">#REF!</definedName>
    <definedName name="DMT_CM30" localSheetId="9">#REF!</definedName>
    <definedName name="DMT_CM30" localSheetId="2">#REF!</definedName>
    <definedName name="DMT_CM30" localSheetId="1">#REF!</definedName>
    <definedName name="DMT_CM30" localSheetId="17">#REF!</definedName>
    <definedName name="DMT_CM30">#REF!</definedName>
    <definedName name="DMT_EA" localSheetId="2">#REF!</definedName>
    <definedName name="DMT_EA" localSheetId="1">#REF!</definedName>
    <definedName name="DMT_EA" localSheetId="17">#REF!</definedName>
    <definedName name="DMT_EA">#REF!</definedName>
    <definedName name="DMT_EAI" localSheetId="4">#REF!</definedName>
    <definedName name="DMT_EAI" localSheetId="2">#REF!</definedName>
    <definedName name="DMT_EAI" localSheetId="1">#REF!</definedName>
    <definedName name="DMT_EAI" localSheetId="17">#REF!</definedName>
    <definedName name="DMT_EAI">#REF!</definedName>
    <definedName name="DMT_JAZ.AT" localSheetId="2">#REF!</definedName>
    <definedName name="DMT_JAZ.AT" localSheetId="1">#REF!</definedName>
    <definedName name="DMT_JAZ.AT" localSheetId="17">#REF!</definedName>
    <definedName name="DMT_JAZ.AT">#REF!</definedName>
    <definedName name="DMT_PEDREIRA" localSheetId="4">#REF!</definedName>
    <definedName name="DMT_PEDREIRA" localSheetId="9">#REF!</definedName>
    <definedName name="DMT_PEDREIRA" localSheetId="7">#REF!</definedName>
    <definedName name="DMT_PEDREIRA" localSheetId="2">#REF!</definedName>
    <definedName name="DMT_PEDREIRA" localSheetId="1">#REF!</definedName>
    <definedName name="DMT_PEDREIRA" localSheetId="17">#REF!</definedName>
    <definedName name="DMT_PEDREIRA">#REF!</definedName>
    <definedName name="DMT_PISO" localSheetId="4">#REF!</definedName>
    <definedName name="DMT_PISO" localSheetId="9">#REF!</definedName>
    <definedName name="DMT_PISO" localSheetId="2">#REF!</definedName>
    <definedName name="DMT_PISO" localSheetId="1">#REF!</definedName>
    <definedName name="DMT_PISO" localSheetId="17">#REF!</definedName>
    <definedName name="DMT_PISO">#REF!</definedName>
    <definedName name="DMT_RR.2C">#REF!</definedName>
    <definedName name="DMT_RR2C" localSheetId="2">#REF!</definedName>
    <definedName name="DMT_RR2C" localSheetId="1">#REF!</definedName>
    <definedName name="DMT_RR2C" localSheetId="17">#REF!</definedName>
    <definedName name="DMT_RR2C">#REF!</definedName>
    <definedName name="DMT_TUBOS" localSheetId="4">#REF!</definedName>
    <definedName name="DMT_TUBOS" localSheetId="9">#REF!</definedName>
    <definedName name="DMT_TUBOS" localSheetId="7">#REF!</definedName>
    <definedName name="DMT_TUBOS" localSheetId="2">#REF!</definedName>
    <definedName name="DMT_TUBOS" localSheetId="1">#REF!</definedName>
    <definedName name="DMT_TUBOS" localSheetId="17">#REF!</definedName>
    <definedName name="DMT_TUBOS">#REF!</definedName>
    <definedName name="dre" localSheetId="15">#REF!</definedName>
    <definedName name="dre" localSheetId="4">#REF!</definedName>
    <definedName name="dre" localSheetId="9">#REF!</definedName>
    <definedName name="dre" localSheetId="7">#REF!</definedName>
    <definedName name="dre" localSheetId="2">#REF!</definedName>
    <definedName name="dre" localSheetId="1">#REF!</definedName>
    <definedName name="dre" localSheetId="11">#REF!</definedName>
    <definedName name="dre" localSheetId="17">#REF!</definedName>
    <definedName name="dre">#REF!</definedName>
    <definedName name="drenae" localSheetId="15">#REF!</definedName>
    <definedName name="drenae" localSheetId="4">#REF!</definedName>
    <definedName name="drenae" localSheetId="9">#REF!</definedName>
    <definedName name="drenae" localSheetId="7">#REF!</definedName>
    <definedName name="drenae" localSheetId="2">#REF!</definedName>
    <definedName name="drenae" localSheetId="1">#REF!</definedName>
    <definedName name="drenae" localSheetId="12">#REF!</definedName>
    <definedName name="drenae" localSheetId="11">#REF!</definedName>
    <definedName name="drenae" localSheetId="17">#REF!</definedName>
    <definedName name="drenae">#REF!</definedName>
    <definedName name="drenag" localSheetId="2">#REF!</definedName>
    <definedName name="drenag" localSheetId="1">#REF!</definedName>
    <definedName name="drenag" localSheetId="17">#REF!</definedName>
    <definedName name="drenag">#REF!</definedName>
    <definedName name="drenagem" localSheetId="2">#REF!</definedName>
    <definedName name="drenagem" localSheetId="1">#REF!</definedName>
    <definedName name="drenagem" localSheetId="17">#REF!</definedName>
    <definedName name="drenagem">#REF!</definedName>
    <definedName name="Dreno1" localSheetId="15">#REF!</definedName>
    <definedName name="Dreno1" localSheetId="4">#REF!</definedName>
    <definedName name="Dreno1" localSheetId="9">#REF!</definedName>
    <definedName name="Dreno1" localSheetId="0">#REF!</definedName>
    <definedName name="Dreno1" localSheetId="7">#REF!</definedName>
    <definedName name="Dreno1" localSheetId="2">#REF!</definedName>
    <definedName name="Dreno1" localSheetId="1">#REF!</definedName>
    <definedName name="Dreno1" localSheetId="12">#REF!</definedName>
    <definedName name="Dreno1" localSheetId="11">#REF!</definedName>
    <definedName name="Dreno1" localSheetId="17">#REF!</definedName>
    <definedName name="Dreno1">#REF!</definedName>
    <definedName name="DRI" localSheetId="2">#REF!</definedName>
    <definedName name="DRI" localSheetId="1">#REF!</definedName>
    <definedName name="DRI" localSheetId="17">#REF!</definedName>
    <definedName name="DRI">#REF!</definedName>
    <definedName name="dsad" localSheetId="2">#REF!</definedName>
    <definedName name="dsad" localSheetId="1">#REF!</definedName>
    <definedName name="dsad" localSheetId="17">#REF!</definedName>
    <definedName name="dsad">#REF!</definedName>
    <definedName name="DSASDSA">#REF!</definedName>
    <definedName name="Dsc">#N/A</definedName>
    <definedName name="dsghnfxgvnjxf" localSheetId="15">#REF!</definedName>
    <definedName name="dsghnfxgvnjxf" localSheetId="4">#REF!</definedName>
    <definedName name="dsghnfxgvnjxf" localSheetId="9">#REF!</definedName>
    <definedName name="dsghnfxgvnjxf" localSheetId="0">#REF!</definedName>
    <definedName name="dsghnfxgvnjxf" localSheetId="7">#REF!</definedName>
    <definedName name="dsghnfxgvnjxf" localSheetId="2">#REF!</definedName>
    <definedName name="dsghnfxgvnjxf" localSheetId="1">#REF!</definedName>
    <definedName name="dsghnfxgvnjxf" localSheetId="12">#REF!</definedName>
    <definedName name="dsghnfxgvnjxf" localSheetId="11">#REF!</definedName>
    <definedName name="dsghnfxgvnjxf" localSheetId="17">#REF!</definedName>
    <definedName name="dsghnfxgvnjxf">#REF!</definedName>
    <definedName name="dsgjhxgn" localSheetId="16" hidden="1">{#N/A,#N/A,FALSE,"Pla_Preço";#N/A,#N/A,FALSE,"Crono"}</definedName>
    <definedName name="dsgjhxgn" localSheetId="15" hidden="1">{#N/A,#N/A,FALSE,"Pla_Preço";#N/A,#N/A,FALSE,"Crono"}</definedName>
    <definedName name="dsgjhxgn" localSheetId="4" hidden="1">{#N/A,#N/A,FALSE,"Pla_Preço";#N/A,#N/A,FALSE,"Crono"}</definedName>
    <definedName name="dsgjhxgn" localSheetId="9" hidden="1">{#N/A,#N/A,FALSE,"Pla_Preço";#N/A,#N/A,FALSE,"Crono"}</definedName>
    <definedName name="dsgjhxgn" localSheetId="0" hidden="1">{#N/A,#N/A,FALSE,"Pla_Preço";#N/A,#N/A,FALSE,"Crono"}</definedName>
    <definedName name="dsgjhxgn" localSheetId="8" hidden="1">{#N/A,#N/A,FALSE,"Pla_Preço";#N/A,#N/A,FALSE,"Crono"}</definedName>
    <definedName name="dsgjhxgn" localSheetId="7" hidden="1">{#N/A,#N/A,FALSE,"Pla_Preço";#N/A,#N/A,FALSE,"Crono"}</definedName>
    <definedName name="dsgjhxgn" localSheetId="6" hidden="1">{#N/A,#N/A,FALSE,"Pla_Preço";#N/A,#N/A,FALSE,"Crono"}</definedName>
    <definedName name="dsgjhxgn" localSheetId="2" hidden="1">{#N/A,#N/A,FALSE,"Pla_Preço";#N/A,#N/A,FALSE,"Crono"}</definedName>
    <definedName name="dsgjhxgn" localSheetId="1" hidden="1">{#N/A,#N/A,FALSE,"Pla_Preço";#N/A,#N/A,FALSE,"Crono"}</definedName>
    <definedName name="dsgjhxgn" localSheetId="13" hidden="1">{#N/A,#N/A,FALSE,"Pla_Preço";#N/A,#N/A,FALSE,"Crono"}</definedName>
    <definedName name="dsgjhxgn" localSheetId="3" hidden="1">{#N/A,#N/A,FALSE,"Pla_Preço";#N/A,#N/A,FALSE,"Crono"}</definedName>
    <definedName name="dsgjhxgn" localSheetId="12" hidden="1">{#N/A,#N/A,FALSE,"Pla_Preço";#N/A,#N/A,FALSE,"Crono"}</definedName>
    <definedName name="dsgjhxgn" localSheetId="11" hidden="1">{#N/A,#N/A,FALSE,"Pla_Preço";#N/A,#N/A,FALSE,"Crono"}</definedName>
    <definedName name="dsgjhxgn" localSheetId="18" hidden="1">{#N/A,#N/A,FALSE,"Pla_Preço";#N/A,#N/A,FALSE,"Crono"}</definedName>
    <definedName name="dsgjhxgn" localSheetId="17" hidden="1">{#N/A,#N/A,FALSE,"Pla_Preço";#N/A,#N/A,FALSE,"Crono"}</definedName>
    <definedName name="dsgjhxgn" hidden="1">{#N/A,#N/A,FALSE,"Pla_Preço";#N/A,#N/A,FALSE,"Crono"}</definedName>
    <definedName name="dsgsd" localSheetId="4">#REF!</definedName>
    <definedName name="dsgsd" localSheetId="9">#REF!</definedName>
    <definedName name="dsgsd" localSheetId="2">#REF!</definedName>
    <definedName name="dsgsd" localSheetId="1">#REF!</definedName>
    <definedName name="dsgsd" localSheetId="17">#REF!</definedName>
    <definedName name="dsgsd">#REF!</definedName>
    <definedName name="DWD" localSheetId="17">#REF!</definedName>
    <definedName name="DWD">#REF!</definedName>
    <definedName name="E" localSheetId="2">#REF!</definedName>
    <definedName name="E" localSheetId="1">#REF!</definedName>
    <definedName name="E" localSheetId="17">#REF!</definedName>
    <definedName name="E">#REF!</definedName>
    <definedName name="e__cm" localSheetId="4">#REF!</definedName>
    <definedName name="e__cm" localSheetId="9">#REF!</definedName>
    <definedName name="e__cm" localSheetId="2">#REF!</definedName>
    <definedName name="e__cm" localSheetId="1">#REF!</definedName>
    <definedName name="e__cm" localSheetId="12">#REF!</definedName>
    <definedName name="e__cm" localSheetId="17">#REF!</definedName>
    <definedName name="e__cm">#REF!</definedName>
    <definedName name="ECJ" localSheetId="15">#REF!</definedName>
    <definedName name="ECJ" localSheetId="4">#REF!</definedName>
    <definedName name="ECJ" localSheetId="9">#REF!</definedName>
    <definedName name="ECJ" localSheetId="7">#REF!</definedName>
    <definedName name="ECJ" localSheetId="2">#REF!</definedName>
    <definedName name="ECJ" localSheetId="1">#REF!</definedName>
    <definedName name="ECJ" localSheetId="12">#REF!</definedName>
    <definedName name="ECJ" localSheetId="11">#REF!</definedName>
    <definedName name="ECJ" localSheetId="17">#REF!</definedName>
    <definedName name="ECJ">#REF!</definedName>
    <definedName name="edit" localSheetId="15">#REF!</definedName>
    <definedName name="edit" localSheetId="4">#REF!</definedName>
    <definedName name="Edit" localSheetId="0">#REF!</definedName>
    <definedName name="edit" localSheetId="2">#REF!</definedName>
    <definedName name="edit" localSheetId="1">#REF!</definedName>
    <definedName name="edit" localSheetId="12">#REF!</definedName>
    <definedName name="edit" localSheetId="11">#REF!</definedName>
    <definedName name="edit" localSheetId="17">#REF!</definedName>
    <definedName name="edit">#REF!</definedName>
    <definedName name="EDITAL" localSheetId="15">#REF!</definedName>
    <definedName name="EDITAL" localSheetId="4">#REF!</definedName>
    <definedName name="EDITAL" localSheetId="0">#REF!</definedName>
    <definedName name="EDITAL" localSheetId="2">#REF!</definedName>
    <definedName name="EDITAL" localSheetId="1">#REF!</definedName>
    <definedName name="EDITAL" localSheetId="12">#REF!</definedName>
    <definedName name="EDITAL" localSheetId="11">#REF!</definedName>
    <definedName name="EDITAL" localSheetId="17">#REF!</definedName>
    <definedName name="EDITAL">#REF!</definedName>
    <definedName name="ee" localSheetId="17">#REF!</definedName>
    <definedName name="ee">#REF!</definedName>
    <definedName name="eee" localSheetId="2">#REF!</definedName>
    <definedName name="eee" localSheetId="1">#REF!</definedName>
    <definedName name="eee" localSheetId="17">#REF!</definedName>
    <definedName name="eee">#REF!</definedName>
    <definedName name="EEEE" localSheetId="15">#REF!</definedName>
    <definedName name="EEEE" localSheetId="4">#REF!</definedName>
    <definedName name="EEEE" localSheetId="9">#REF!</definedName>
    <definedName name="EEEE" localSheetId="0">#REF!</definedName>
    <definedName name="EEEE" localSheetId="7">#REF!</definedName>
    <definedName name="EEEE" localSheetId="2">#REF!</definedName>
    <definedName name="EEEE" localSheetId="1">#REF!</definedName>
    <definedName name="EEEE" localSheetId="12">#REF!</definedName>
    <definedName name="EEEE" localSheetId="11">#REF!</definedName>
    <definedName name="EEEE" localSheetId="17">#REF!</definedName>
    <definedName name="EEEE">#REF!</definedName>
    <definedName name="EEEEE" localSheetId="17">#REF!</definedName>
    <definedName name="EEEEE">#REF!</definedName>
    <definedName name="EEEEEEEEE" localSheetId="2">#REF!</definedName>
    <definedName name="EEEEEEEEE" localSheetId="1">#REF!</definedName>
    <definedName name="EEEEEEEEE" localSheetId="17">#REF!</definedName>
    <definedName name="EEEEEEEEE">#REF!</definedName>
    <definedName name="EJ" localSheetId="15">#REF!</definedName>
    <definedName name="EJ" localSheetId="4">#REF!</definedName>
    <definedName name="EJ" localSheetId="9">#REF!</definedName>
    <definedName name="EJ" localSheetId="2">#REF!</definedName>
    <definedName name="EJ" localSheetId="1">#REF!</definedName>
    <definedName name="EJ" localSheetId="12">#REF!</definedName>
    <definedName name="EJ" localSheetId="17">#REF!</definedName>
    <definedName name="EJ">#REF!</definedName>
    <definedName name="eletrica1" localSheetId="15">'CALÇADA E ACESS. - JDML'!eletrica1</definedName>
    <definedName name="eletrica1" localSheetId="8">'DRENAGEM - JDA-E2'!eletrica1</definedName>
    <definedName name="eletrica1" localSheetId="6">'DRENO - JDA-E2'!eletrica1</definedName>
    <definedName name="eletrica1" localSheetId="2">GRELHA!eletrica1</definedName>
    <definedName name="eletrica1" localSheetId="13">'PAVIMENTAÇÃO - JDML'!eletrica1</definedName>
    <definedName name="eletrica1" localSheetId="12">'RECAPEAMENTO - JDML'!eletrica1</definedName>
    <definedName name="eletrica1" localSheetId="17">'SINALIZAÇÃO - JDML'!eletrica1</definedName>
    <definedName name="eletrica1">[0]!eletrica1</definedName>
    <definedName name="eliabe" localSheetId="2">#REF!</definedName>
    <definedName name="eliabe" localSheetId="1">#REF!</definedName>
    <definedName name="eliabe" localSheetId="17">#REF!</definedName>
    <definedName name="eliabe">#REF!</definedName>
    <definedName name="ELLICLAU" localSheetId="2">#REF!</definedName>
    <definedName name="ELLICLAU" localSheetId="1">#REF!</definedName>
    <definedName name="ELLICLAU" localSheetId="17">#REF!</definedName>
    <definedName name="ELLICLAU">#REF!</definedName>
    <definedName name="EM" localSheetId="2">#REF!</definedName>
    <definedName name="EM" localSheetId="1">#REF!</definedName>
    <definedName name="EM" localSheetId="17">#REF!</definedName>
    <definedName name="EM">#REF!</definedName>
    <definedName name="EMI" localSheetId="2">#REF!</definedName>
    <definedName name="EMI" localSheetId="1">#REF!</definedName>
    <definedName name="EMI" localSheetId="17">#REF!</definedName>
    <definedName name="EMI">#REF!</definedName>
    <definedName name="EmpAux" hidden="1">""</definedName>
    <definedName name="Empr" localSheetId="15">#REF!</definedName>
    <definedName name="Empr" localSheetId="4">#REF!</definedName>
    <definedName name="Empr" localSheetId="9">#REF!</definedName>
    <definedName name="Empr" localSheetId="7">#REF!</definedName>
    <definedName name="Empr" localSheetId="2">#REF!</definedName>
    <definedName name="Empr" localSheetId="1">#REF!</definedName>
    <definedName name="Empr" localSheetId="12">#REF!</definedName>
    <definedName name="Empr" localSheetId="11">#REF!</definedName>
    <definedName name="Empr" localSheetId="17">#REF!</definedName>
    <definedName name="Empr">#REF!</definedName>
    <definedName name="EMPRESA" localSheetId="15">#REF!</definedName>
    <definedName name="EMPRESA" localSheetId="4">#REF!</definedName>
    <definedName name="EMPRESA" localSheetId="9">#REF!</definedName>
    <definedName name="EMPRESA" localSheetId="7">#REF!</definedName>
    <definedName name="EMPRESA" localSheetId="2">#REF!</definedName>
    <definedName name="EMPRESA" localSheetId="1">#REF!</definedName>
    <definedName name="EMPRESA" localSheetId="13">#REF!</definedName>
    <definedName name="EMPRESA" localSheetId="12">#REF!</definedName>
    <definedName name="EMPRESA" localSheetId="11">#REF!</definedName>
    <definedName name="EMPRESA" localSheetId="17">#REF!</definedName>
    <definedName name="EMPRESA">#REF!</definedName>
    <definedName name="emprestimo" localSheetId="15">#REF!</definedName>
    <definedName name="emprestimo" localSheetId="4">#REF!</definedName>
    <definedName name="emprestimo" localSheetId="9">#REF!</definedName>
    <definedName name="emprestimo" localSheetId="7">#REF!</definedName>
    <definedName name="emprestimo" localSheetId="2">#REF!</definedName>
    <definedName name="emprestimo" localSheetId="1">#REF!</definedName>
    <definedName name="emprestimo" localSheetId="13">#REF!</definedName>
    <definedName name="emprestimo" localSheetId="12">#REF!</definedName>
    <definedName name="emprestimo" localSheetId="11">#REF!</definedName>
    <definedName name="emprestimo" localSheetId="17">#REF!</definedName>
    <definedName name="emprestimo">#REF!</definedName>
    <definedName name="ENC" localSheetId="15">#REF!</definedName>
    <definedName name="ENC" localSheetId="4">#REF!</definedName>
    <definedName name="ENC" localSheetId="9">#REF!</definedName>
    <definedName name="ENC" localSheetId="7">#REF!</definedName>
    <definedName name="ENC" localSheetId="2">#REF!</definedName>
    <definedName name="ENC" localSheetId="1">#REF!</definedName>
    <definedName name="ENC" localSheetId="12">#REF!</definedName>
    <definedName name="ENC" localSheetId="11">#REF!</definedName>
    <definedName name="ENC" localSheetId="17">#REF!</definedName>
    <definedName name="ENC">#REF!</definedName>
    <definedName name="ENCARREGADO" localSheetId="4">#REF!</definedName>
    <definedName name="ENCARREGADO" localSheetId="2">#REF!</definedName>
    <definedName name="ENCARREGADO" localSheetId="1">#REF!</definedName>
    <definedName name="ENCARREGADO" localSheetId="17">#REF!</definedName>
    <definedName name="ENCARREGADO">#REF!</definedName>
    <definedName name="ENG" localSheetId="15">#REF!</definedName>
    <definedName name="ENG" localSheetId="4">#REF!</definedName>
    <definedName name="ENG" localSheetId="9">#REF!</definedName>
    <definedName name="ENG" localSheetId="7">#REF!</definedName>
    <definedName name="ENG" localSheetId="2">#REF!</definedName>
    <definedName name="ENG" localSheetId="1">#REF!</definedName>
    <definedName name="ENG" localSheetId="13">#REF!</definedName>
    <definedName name="ENG" localSheetId="12">#REF!</definedName>
    <definedName name="ENG" localSheetId="11">#REF!</definedName>
    <definedName name="ENG" localSheetId="17">#REF!</definedName>
    <definedName name="ENG">#REF!</definedName>
    <definedName name="ENROCAMENTO" localSheetId="15">#REF!</definedName>
    <definedName name="ENROCAMENTO" localSheetId="4">#REF!</definedName>
    <definedName name="ENROCAMENTO" localSheetId="9">#REF!</definedName>
    <definedName name="ENROCAMENTO" localSheetId="0">#REF!</definedName>
    <definedName name="ENROCAMENTO" localSheetId="7">#REF!</definedName>
    <definedName name="ENROCAMENTO" localSheetId="2">#REF!</definedName>
    <definedName name="ENROCAMENTO" localSheetId="1">#REF!</definedName>
    <definedName name="ENROCAMENTO" localSheetId="12">#REF!</definedName>
    <definedName name="ENROCAMENTO" localSheetId="11">#REF!</definedName>
    <definedName name="ENROCAMENTO" localSheetId="17">#REF!</definedName>
    <definedName name="ENROCAMENTO">#REF!</definedName>
    <definedName name="ENROCAMENTOJOGADA" localSheetId="15">#REF!</definedName>
    <definedName name="ENROCAMENTOJOGADA" localSheetId="4">#REF!</definedName>
    <definedName name="ENROCAMENTOJOGADA" localSheetId="9">#REF!</definedName>
    <definedName name="ENROCAMENTOJOGADA" localSheetId="0">#REF!</definedName>
    <definedName name="ENROCAMENTOJOGADA" localSheetId="7">#REF!</definedName>
    <definedName name="ENROCAMENTOJOGADA" localSheetId="2">#REF!</definedName>
    <definedName name="ENROCAMENTOJOGADA" localSheetId="1">#REF!</definedName>
    <definedName name="ENROCAMENTOJOGADA" localSheetId="12">#REF!</definedName>
    <definedName name="ENROCAMENTOJOGADA" localSheetId="17">#REF!</definedName>
    <definedName name="ENROCAMENTOJOGADA">#REF!</definedName>
    <definedName name="EPA" localSheetId="15">#REF!</definedName>
    <definedName name="EPA" localSheetId="4">#REF!</definedName>
    <definedName name="EPA" localSheetId="9">#REF!</definedName>
    <definedName name="EPA" localSheetId="0">#REF!</definedName>
    <definedName name="EPA" localSheetId="7">#REF!</definedName>
    <definedName name="EPA" localSheetId="2">#REF!</definedName>
    <definedName name="EPA" localSheetId="1">#REF!</definedName>
    <definedName name="EPA" localSheetId="12">#REF!</definedName>
    <definedName name="EPA" localSheetId="11">#REF!</definedName>
    <definedName name="EPA" localSheetId="17">#REF!</definedName>
    <definedName name="EPA">#REF!</definedName>
    <definedName name="EPJ" localSheetId="4">#REF!</definedName>
    <definedName name="EPJ" localSheetId="9">#REF!</definedName>
    <definedName name="EPJ" localSheetId="0">#REF!</definedName>
    <definedName name="EPJ" localSheetId="7">#REF!</definedName>
    <definedName name="EPJ" localSheetId="2">#REF!</definedName>
    <definedName name="EPJ" localSheetId="1">#REF!</definedName>
    <definedName name="EPJ" localSheetId="12">#REF!</definedName>
    <definedName name="EPJ" localSheetId="17">#REF!</definedName>
    <definedName name="EPJ">#REF!</definedName>
    <definedName name="EQ" localSheetId="15" hidden="1">#REF!</definedName>
    <definedName name="EQ" localSheetId="4" hidden="1">#REF!</definedName>
    <definedName name="EQ" localSheetId="9" hidden="1">#REF!</definedName>
    <definedName name="EQ" localSheetId="8" hidden="1">#REF!</definedName>
    <definedName name="EQ" localSheetId="7" hidden="1">#REF!</definedName>
    <definedName name="EQ" localSheetId="2" hidden="1">#REF!</definedName>
    <definedName name="EQ" localSheetId="1" hidden="1">#REF!</definedName>
    <definedName name="EQ" localSheetId="12" hidden="1">#REF!</definedName>
    <definedName name="EQ" localSheetId="11" hidden="1">#REF!</definedName>
    <definedName name="EQ" localSheetId="17" hidden="1">#REF!</definedName>
    <definedName name="EQ" hidden="1">#REF!</definedName>
    <definedName name="EQUIP" localSheetId="15">#REF!</definedName>
    <definedName name="EQUIP" localSheetId="4">#REF!</definedName>
    <definedName name="Equip" localSheetId="0">#REF!</definedName>
    <definedName name="EQUIP" localSheetId="2">#REF!</definedName>
    <definedName name="EQUIP" localSheetId="1">#REF!</definedName>
    <definedName name="EQUIP" localSheetId="12">#REF!</definedName>
    <definedName name="EQUIP" localSheetId="11">#REF!</definedName>
    <definedName name="EQUIP" localSheetId="17">#REF!</definedName>
    <definedName name="EQUIP">#REF!</definedName>
    <definedName name="ER" localSheetId="17">#REF!</definedName>
    <definedName name="ER">#REF!</definedName>
    <definedName name="erte" localSheetId="2">#REF!</definedName>
    <definedName name="erte" localSheetId="1">#REF!</definedName>
    <definedName name="erte" localSheetId="17">#REF!</definedName>
    <definedName name="erte">#REF!</definedName>
    <definedName name="ES" localSheetId="15">#REF!</definedName>
    <definedName name="ES" localSheetId="4">#REF!</definedName>
    <definedName name="ES" localSheetId="9">#REF!</definedName>
    <definedName name="ES" localSheetId="7">#REF!</definedName>
    <definedName name="ES" localSheetId="2">#REF!</definedName>
    <definedName name="ES" localSheetId="1">#REF!</definedName>
    <definedName name="ES" localSheetId="12">#REF!</definedName>
    <definedName name="ES" localSheetId="11">#REF!</definedName>
    <definedName name="ES" localSheetId="17">#REF!</definedName>
    <definedName name="ES">#REF!</definedName>
    <definedName name="ESC1CAT" localSheetId="4">#REF!</definedName>
    <definedName name="ESC1CAT" localSheetId="2">#REF!</definedName>
    <definedName name="ESC1CAT" localSheetId="1">#REF!</definedName>
    <definedName name="ESC1CAT" localSheetId="17">#REF!</definedName>
    <definedName name="ESC1CAT">#REF!</definedName>
    <definedName name="ESCAVAÇÃO" localSheetId="15">#REF!</definedName>
    <definedName name="ESCAVAÇÃO" localSheetId="4">#REF!</definedName>
    <definedName name="ESCAVAÇÃO" localSheetId="9">#REF!</definedName>
    <definedName name="ESCAVAÇÃO" localSheetId="0">#REF!</definedName>
    <definedName name="ESCAVAÇÃO" localSheetId="7">#REF!</definedName>
    <definedName name="ESCAVAÇÃO" localSheetId="2">#REF!</definedName>
    <definedName name="ESCAVAÇÃO" localSheetId="1">#REF!</definedName>
    <definedName name="ESCAVAÇÃO" localSheetId="12">#REF!</definedName>
    <definedName name="ESCAVAÇÃO" localSheetId="11">#REF!</definedName>
    <definedName name="ESCAVAÇÃO" localSheetId="17">#REF!</definedName>
    <definedName name="ESCAVAÇÃO">#REF!</definedName>
    <definedName name="Eu" localSheetId="15">#REF!</definedName>
    <definedName name="Eu" localSheetId="4">#REF!</definedName>
    <definedName name="Eu" localSheetId="9">#REF!</definedName>
    <definedName name="Eu" localSheetId="0">#REF!</definedName>
    <definedName name="Eu" localSheetId="7">#REF!</definedName>
    <definedName name="Eu" localSheetId="2">#REF!</definedName>
    <definedName name="Eu" localSheetId="1">#REF!</definedName>
    <definedName name="Eu" localSheetId="12">#REF!</definedName>
    <definedName name="Eu" localSheetId="17">#REF!</definedName>
    <definedName name="Eu">#REF!</definedName>
    <definedName name="EX" localSheetId="15">#REF!</definedName>
    <definedName name="EX" localSheetId="4">#REF!</definedName>
    <definedName name="EX" localSheetId="9">#REF!</definedName>
    <definedName name="EX" localSheetId="0">#REF!</definedName>
    <definedName name="EX" localSheetId="2">#REF!</definedName>
    <definedName name="EX" localSheetId="1">#REF!</definedName>
    <definedName name="EX" localSheetId="12">#REF!</definedName>
    <definedName name="EX" localSheetId="17">#REF!</definedName>
    <definedName name="EX">#REF!</definedName>
    <definedName name="EXA" localSheetId="15">#REF!</definedName>
    <definedName name="EXA" localSheetId="4">#REF!</definedName>
    <definedName name="EXA" localSheetId="9">#REF!</definedName>
    <definedName name="EXA" localSheetId="7">#REF!</definedName>
    <definedName name="EXA" localSheetId="2">#REF!</definedName>
    <definedName name="EXA" localSheetId="1">#REF!</definedName>
    <definedName name="EXA" localSheetId="12">#REF!</definedName>
    <definedName name="EXA" localSheetId="11">#REF!</definedName>
    <definedName name="EXA" localSheetId="17">#REF!</definedName>
    <definedName name="EXA">#REF!</definedName>
    <definedName name="Excel_BuiltIn__FilterDatabase_11" localSheetId="2">#REF!</definedName>
    <definedName name="Excel_BuiltIn__FilterDatabase_11" localSheetId="1">#REF!</definedName>
    <definedName name="Excel_BuiltIn__FilterDatabase_11" localSheetId="17">#REF!</definedName>
    <definedName name="Excel_BuiltIn__FilterDatabase_11">#REF!</definedName>
    <definedName name="Excel_BuiltIn__FilterDatabase_12" localSheetId="2">#REF!</definedName>
    <definedName name="Excel_BuiltIn__FilterDatabase_12" localSheetId="1">#REF!</definedName>
    <definedName name="Excel_BuiltIn__FilterDatabase_12" localSheetId="17">#REF!</definedName>
    <definedName name="Excel_BuiltIn__FilterDatabase_12">#REF!</definedName>
    <definedName name="Excel_BuiltIn__FilterDatabase_2" localSheetId="2">#REF!</definedName>
    <definedName name="Excel_BuiltIn__FilterDatabase_2" localSheetId="1">#REF!</definedName>
    <definedName name="Excel_BuiltIn__FilterDatabase_2" localSheetId="17">#REF!</definedName>
    <definedName name="Excel_BuiltIn__FilterDatabase_2">#REF!</definedName>
    <definedName name="Excel_BuiltIn__FilterDatabase_3" localSheetId="2">#REF!</definedName>
    <definedName name="Excel_BuiltIn__FilterDatabase_3" localSheetId="1">#REF!</definedName>
    <definedName name="Excel_BuiltIn__FilterDatabase_3" localSheetId="17">#REF!</definedName>
    <definedName name="Excel_BuiltIn__FilterDatabase_3">#REF!</definedName>
    <definedName name="Excel_BuiltIn__FilterDatabase_4" localSheetId="2">#REF!</definedName>
    <definedName name="Excel_BuiltIn__FilterDatabase_4" localSheetId="1">#REF!</definedName>
    <definedName name="Excel_BuiltIn__FilterDatabase_4" localSheetId="17">#REF!</definedName>
    <definedName name="Excel_BuiltIn__FilterDatabase_4">#REF!</definedName>
    <definedName name="Excel_BuiltIn__FilterDatabase_5" localSheetId="2">#REF!</definedName>
    <definedName name="Excel_BuiltIn__FilterDatabase_5" localSheetId="1">#REF!</definedName>
    <definedName name="Excel_BuiltIn__FilterDatabase_5" localSheetId="17">#REF!</definedName>
    <definedName name="Excel_BuiltIn__FilterDatabase_5">#REF!</definedName>
    <definedName name="Excel_BuiltIn__FilterDatabase_6" localSheetId="2">#REF!</definedName>
    <definedName name="Excel_BuiltIn__FilterDatabase_6" localSheetId="1">#REF!</definedName>
    <definedName name="Excel_BuiltIn__FilterDatabase_6" localSheetId="17">#REF!</definedName>
    <definedName name="Excel_BuiltIn__FilterDatabase_6">#REF!</definedName>
    <definedName name="Excel_BuiltIn__FilterDatabase_7" localSheetId="2">#REF!</definedName>
    <definedName name="Excel_BuiltIn__FilterDatabase_7" localSheetId="1">#REF!</definedName>
    <definedName name="Excel_BuiltIn__FilterDatabase_7" localSheetId="17">#REF!</definedName>
    <definedName name="Excel_BuiltIn__FilterDatabase_7">#REF!</definedName>
    <definedName name="Excel_BuiltIn__FilterDatabase_8" localSheetId="2">#REF!</definedName>
    <definedName name="Excel_BuiltIn__FilterDatabase_8" localSheetId="1">#REF!</definedName>
    <definedName name="Excel_BuiltIn__FilterDatabase_8" localSheetId="17">#REF!</definedName>
    <definedName name="Excel_BuiltIn__FilterDatabase_8">#REF!</definedName>
    <definedName name="Excel_BuiltIn__FilterDatabase_9" localSheetId="2">#REF!</definedName>
    <definedName name="Excel_BuiltIn__FilterDatabase_9" localSheetId="1">#REF!</definedName>
    <definedName name="Excel_BuiltIn__FilterDatabase_9" localSheetId="17">#REF!</definedName>
    <definedName name="Excel_BuiltIn__FilterDatabase_9">#REF!</definedName>
    <definedName name="Excel_BuiltIn_Database" localSheetId="2">#REF!</definedName>
    <definedName name="Excel_BuiltIn_Database" localSheetId="1">#REF!</definedName>
    <definedName name="Excel_BuiltIn_Database" localSheetId="17">#REF!</definedName>
    <definedName name="Excel_BuiltIn_Database">#REF!</definedName>
    <definedName name="Excel_BuiltIn_Database_1" localSheetId="2">#REF!</definedName>
    <definedName name="Excel_BuiltIn_Database_1" localSheetId="1">#REF!</definedName>
    <definedName name="Excel_BuiltIn_Database_1" localSheetId="17">#REF!</definedName>
    <definedName name="Excel_BuiltIn_Database_1">#REF!</definedName>
    <definedName name="Excel_BuiltIn_Database_6" localSheetId="2">#REF!</definedName>
    <definedName name="Excel_BuiltIn_Database_6" localSheetId="1">#REF!</definedName>
    <definedName name="Excel_BuiltIn_Database_6" localSheetId="17">#REF!</definedName>
    <definedName name="Excel_BuiltIn_Database_6">#REF!</definedName>
    <definedName name="Excel_BuiltIn_Print_Area_2" localSheetId="15">#REF!</definedName>
    <definedName name="Excel_BuiltIn_Print_Area_2" localSheetId="4">#REF!</definedName>
    <definedName name="Excel_BuiltIn_Print_Area_2" localSheetId="9">#REF!</definedName>
    <definedName name="Excel_BuiltIn_Print_Area_2" localSheetId="7">#REF!</definedName>
    <definedName name="Excel_BuiltIn_Print_Area_2" localSheetId="2">#REF!</definedName>
    <definedName name="Excel_BuiltIn_Print_Area_2" localSheetId="1">#REF!</definedName>
    <definedName name="Excel_BuiltIn_Print_Area_2" localSheetId="12">#REF!</definedName>
    <definedName name="Excel_BuiltIn_Print_Area_2" localSheetId="11">#REF!</definedName>
    <definedName name="Excel_BuiltIn_Print_Area_2" localSheetId="17">#REF!</definedName>
    <definedName name="Excel_BuiltIn_Print_Area_2">#REF!</definedName>
    <definedName name="Excel_BuiltIn_Print_Area_3" localSheetId="2">#REF!</definedName>
    <definedName name="Excel_BuiltIn_Print_Area_3" localSheetId="1">#REF!</definedName>
    <definedName name="Excel_BuiltIn_Print_Area_3" localSheetId="17">#REF!</definedName>
    <definedName name="Excel_BuiltIn_Print_Area_3">#REF!</definedName>
    <definedName name="Excel_BuiltIn_Print_Area_4" localSheetId="2">#REF!</definedName>
    <definedName name="Excel_BuiltIn_Print_Area_4" localSheetId="1">#REF!</definedName>
    <definedName name="Excel_BuiltIn_Print_Area_4" localSheetId="17">#REF!</definedName>
    <definedName name="Excel_BuiltIn_Print_Area_4">#REF!</definedName>
    <definedName name="Excel_BuiltIn_Print_Titles_2" localSheetId="2">#REF!</definedName>
    <definedName name="Excel_BuiltIn_Print_Titles_2" localSheetId="1">#REF!</definedName>
    <definedName name="Excel_BuiltIn_Print_Titles_2" localSheetId="17">#REF!</definedName>
    <definedName name="Excel_BuiltIn_Print_Titles_2">#REF!</definedName>
    <definedName name="Excel_BuiltIn_Print_Titles_3" localSheetId="2">#REF!</definedName>
    <definedName name="Excel_BuiltIn_Print_Titles_3" localSheetId="1">#REF!</definedName>
    <definedName name="Excel_BuiltIn_Print_Titles_3" localSheetId="17">#REF!</definedName>
    <definedName name="Excel_BuiltIn_Print_Titles_3">#REF!</definedName>
    <definedName name="Excel_BuiltIn_Print_Titles_3_1">NA()</definedName>
    <definedName name="Excel_BuiltIn_Print_Titles_4" localSheetId="2">#REF!</definedName>
    <definedName name="Excel_BuiltIn_Print_Titles_4" localSheetId="1">#REF!</definedName>
    <definedName name="Excel_BuiltIn_Print_Titles_4" localSheetId="17">#REF!</definedName>
    <definedName name="Excel_BuiltIn_Print_Titles_4">#REF!</definedName>
    <definedName name="Excel_BuiltIn_Print_Titles_6_1" localSheetId="2">#REF!</definedName>
    <definedName name="Excel_BuiltIn_Print_Titles_6_1" localSheetId="1">#REF!</definedName>
    <definedName name="Excel_BuiltIn_Print_Titles_6_1" localSheetId="17">#REF!</definedName>
    <definedName name="Excel_BuiltIn_Print_Titles_6_1">#REF!</definedName>
    <definedName name="EXT" localSheetId="4">#REF!</definedName>
    <definedName name="Ext" localSheetId="0">#REF!</definedName>
    <definedName name="EXT" localSheetId="2">#REF!</definedName>
    <definedName name="EXT" localSheetId="1">#REF!</definedName>
    <definedName name="EXT" localSheetId="17">#REF!</definedName>
    <definedName name="EXT">#REF!</definedName>
    <definedName name="EXT__m" localSheetId="15">#REF!</definedName>
    <definedName name="EXT__m" localSheetId="4">#REF!</definedName>
    <definedName name="EXT__m" localSheetId="9">#REF!</definedName>
    <definedName name="EXT__m" localSheetId="0">#REF!</definedName>
    <definedName name="EXT__m" localSheetId="7">#REF!</definedName>
    <definedName name="EXT__m" localSheetId="2">#REF!</definedName>
    <definedName name="EXT__m" localSheetId="1">#REF!</definedName>
    <definedName name="EXT__m" localSheetId="12">#REF!</definedName>
    <definedName name="EXT__m" localSheetId="11">#REF!</definedName>
    <definedName name="EXT__m" localSheetId="17">#REF!</definedName>
    <definedName name="EXT__m">#REF!</definedName>
    <definedName name="extenção" localSheetId="15">#REF!</definedName>
    <definedName name="extenção" localSheetId="4">#REF!</definedName>
    <definedName name="extenção" localSheetId="9">#REF!</definedName>
    <definedName name="extenção" localSheetId="0">#REF!</definedName>
    <definedName name="extenção" localSheetId="7">#REF!</definedName>
    <definedName name="extenção" localSheetId="2">#REF!</definedName>
    <definedName name="extenção" localSheetId="1">#REF!</definedName>
    <definedName name="extenção" localSheetId="12">#REF!</definedName>
    <definedName name="extenção" localSheetId="11">#REF!</definedName>
    <definedName name="extenção" localSheetId="17">#REF!</definedName>
    <definedName name="extenção">#REF!</definedName>
    <definedName name="EXTENSÃO" localSheetId="15">#REF!</definedName>
    <definedName name="EXTENSÃO" localSheetId="4">#REF!</definedName>
    <definedName name="EXTENSÃO" localSheetId="9">#REF!</definedName>
    <definedName name="EXTENSÃO" localSheetId="0">#REF!</definedName>
    <definedName name="EXTENSÃO" localSheetId="7">#REF!</definedName>
    <definedName name="EXTENSÃO" localSheetId="2">#REF!</definedName>
    <definedName name="EXTENSÃO" localSheetId="1">#REF!</definedName>
    <definedName name="EXTENSÃO" localSheetId="13">#REF!</definedName>
    <definedName name="EXTENSÃO" localSheetId="12">#REF!</definedName>
    <definedName name="EXTENSÃO" localSheetId="11">#REF!</definedName>
    <definedName name="EXTENSÃO" localSheetId="17">#REF!</definedName>
    <definedName name="EXTENSÃO">#REF!</definedName>
    <definedName name="Extenso" localSheetId="15">'CALÇADA E ACESS. - JDML'!Extenso</definedName>
    <definedName name="Extenso" localSheetId="4">'DEMOLIÇÃO - JDML'!Extenso</definedName>
    <definedName name="Extenso" localSheetId="9">'DISP. DRENAGEM - JDML'!Extenso</definedName>
    <definedName name="Extenso" localSheetId="0">DMT!Extenso</definedName>
    <definedName name="Extenso" localSheetId="8">#N/A</definedName>
    <definedName name="Extenso" localSheetId="7">'DRENAGEM - JDML'!Extenso</definedName>
    <definedName name="Extenso" localSheetId="6">#N/A</definedName>
    <definedName name="Extenso" localSheetId="2">GRELHA!Extenso</definedName>
    <definedName name="Extenso" localSheetId="1">'MAT BET'!Extenso</definedName>
    <definedName name="Extenso" localSheetId="13">'PAVIMENTAÇÃO - JDML'!Extenso</definedName>
    <definedName name="Extenso" localSheetId="3">'PRELIMINARES - JDML+JDA-E2'!Extenso</definedName>
    <definedName name="Extenso" localSheetId="12">'RECAPEAMENTO - JDML'!Extenso</definedName>
    <definedName name="Extenso" localSheetId="11">'REMENDO - JDML'!Extenso</definedName>
    <definedName name="Extenso" localSheetId="17">'SINALIZAÇÃO - JDML'!Extenso</definedName>
    <definedName name="Extenso">[0]!Extenso</definedName>
    <definedName name="Extract" localSheetId="15">#REF!</definedName>
    <definedName name="Extract" localSheetId="4">#REF!</definedName>
    <definedName name="Extract" localSheetId="9">#REF!</definedName>
    <definedName name="Extract" localSheetId="0">#REF!</definedName>
    <definedName name="Extract" localSheetId="7">#REF!</definedName>
    <definedName name="Extract" localSheetId="2">#REF!</definedName>
    <definedName name="Extract" localSheetId="1">#REF!</definedName>
    <definedName name="Extract" localSheetId="13">#REF!</definedName>
    <definedName name="Extract" localSheetId="12">#REF!</definedName>
    <definedName name="Extract" localSheetId="11">#REF!</definedName>
    <definedName name="Extract" localSheetId="17">#REF!</definedName>
    <definedName name="Extract">#REF!</definedName>
    <definedName name="f" localSheetId="4">#REF!</definedName>
    <definedName name="f" localSheetId="9">#REF!</definedName>
    <definedName name="f" localSheetId="7">#REF!</definedName>
    <definedName name="f" localSheetId="2">#REF!</definedName>
    <definedName name="f" localSheetId="1">#REF!</definedName>
    <definedName name="f" localSheetId="13">#REF!</definedName>
    <definedName name="f" localSheetId="12">#REF!</definedName>
    <definedName name="f" localSheetId="11">#REF!</definedName>
    <definedName name="f" localSheetId="17">#REF!</definedName>
    <definedName name="f">#REF!</definedName>
    <definedName name="FAB">"Figura 3"</definedName>
    <definedName name="fator" localSheetId="15">#REF!</definedName>
    <definedName name="fator" localSheetId="4">#REF!</definedName>
    <definedName name="fator" localSheetId="9">#REF!</definedName>
    <definedName name="fator" localSheetId="7">#REF!</definedName>
    <definedName name="fator" localSheetId="2">#REF!</definedName>
    <definedName name="fator" localSheetId="1">#REF!</definedName>
    <definedName name="fator" localSheetId="12">#REF!</definedName>
    <definedName name="fator" localSheetId="11">#REF!</definedName>
    <definedName name="fator" localSheetId="17">#REF!</definedName>
    <definedName name="fator">#REF!</definedName>
    <definedName name="FATOR1" localSheetId="15">#REF!</definedName>
    <definedName name="FATOR1" localSheetId="4">#REF!</definedName>
    <definedName name="FATOR1" localSheetId="9">#REF!</definedName>
    <definedName name="FATOR1" localSheetId="7">#REF!</definedName>
    <definedName name="FATOR1" localSheetId="2">#REF!</definedName>
    <definedName name="FATOR1" localSheetId="1">#REF!</definedName>
    <definedName name="FATOR1" localSheetId="13">#REF!</definedName>
    <definedName name="FATOR1" localSheetId="12">#REF!</definedName>
    <definedName name="FATOR1" localSheetId="11">#REF!</definedName>
    <definedName name="FATOR1" localSheetId="17">#REF!</definedName>
    <definedName name="FATOR1">#REF!</definedName>
    <definedName name="FatSabadoOut" localSheetId="17">#REF!</definedName>
    <definedName name="FatSabadoOut">#REF!</definedName>
    <definedName name="FatSextaOut" localSheetId="17">#REF!</definedName>
    <definedName name="FatSextaOut">#REF!</definedName>
    <definedName name="fc1a" localSheetId="15">#REF!</definedName>
    <definedName name="fc1a" localSheetId="4">#REF!</definedName>
    <definedName name="fc1a" localSheetId="9">#REF!</definedName>
    <definedName name="fc1a" localSheetId="7">#REF!</definedName>
    <definedName name="fc1a" localSheetId="2">#REF!</definedName>
    <definedName name="fc1a" localSheetId="1">#REF!</definedName>
    <definedName name="fc1a" localSheetId="12">#REF!</definedName>
    <definedName name="fc1a" localSheetId="11">#REF!</definedName>
    <definedName name="fc1a" localSheetId="17">#REF!</definedName>
    <definedName name="fc1a">#REF!</definedName>
    <definedName name="FC2A" localSheetId="15">#REF!</definedName>
    <definedName name="FC2A" localSheetId="4">#REF!</definedName>
    <definedName name="FC2A" localSheetId="9">#REF!</definedName>
    <definedName name="FC2A" localSheetId="7">#REF!</definedName>
    <definedName name="FC2A" localSheetId="2">#REF!</definedName>
    <definedName name="FC2A" localSheetId="1">#REF!</definedName>
    <definedName name="FC2A" localSheetId="11">#REF!</definedName>
    <definedName name="FC2A" localSheetId="17">#REF!</definedName>
    <definedName name="FC2A">#REF!</definedName>
    <definedName name="FC3A" localSheetId="15">#REF!</definedName>
    <definedName name="FC3A" localSheetId="4">#REF!</definedName>
    <definedName name="FC3A" localSheetId="9">#REF!</definedName>
    <definedName name="FC3A" localSheetId="7">#REF!</definedName>
    <definedName name="FC3A" localSheetId="2">#REF!</definedName>
    <definedName name="FC3A" localSheetId="1">#REF!</definedName>
    <definedName name="FC3A" localSheetId="11">#REF!</definedName>
    <definedName name="FC3A" localSheetId="17">#REF!</definedName>
    <definedName name="FC3A">#REF!</definedName>
    <definedName name="Fd" localSheetId="2">#REF!</definedName>
    <definedName name="Fd" localSheetId="1">#REF!</definedName>
    <definedName name="Fd" localSheetId="17">#REF!</definedName>
    <definedName name="Fd">#REF!</definedName>
    <definedName name="fdf" localSheetId="15" hidden="1">{#N/A,#N/A,FALSE,"MO (2)"}</definedName>
    <definedName name="fdf" localSheetId="8" hidden="1">{#N/A,#N/A,FALSE,"MO (2)"}</definedName>
    <definedName name="fdf" localSheetId="6" hidden="1">{#N/A,#N/A,FALSE,"MO (2)"}</definedName>
    <definedName name="fdf" localSheetId="2" hidden="1">{#N/A,#N/A,FALSE,"MO (2)"}</definedName>
    <definedName name="fdf" localSheetId="13" hidden="1">{#N/A,#N/A,FALSE,"MO (2)"}</definedName>
    <definedName name="fdf" localSheetId="12" hidden="1">{#N/A,#N/A,FALSE,"MO (2)"}</definedName>
    <definedName name="fdf" localSheetId="17" hidden="1">{#N/A,#N/A,FALSE,"MO (2)"}</definedName>
    <definedName name="fdf" hidden="1">{#N/A,#N/A,FALSE,"MO (2)"}</definedName>
    <definedName name="fdfd" localSheetId="15" hidden="1">{#N/A,#N/A,FALSE,"MO (2)"}</definedName>
    <definedName name="fdfd" localSheetId="8" hidden="1">{#N/A,#N/A,FALSE,"MO (2)"}</definedName>
    <definedName name="fdfd" localSheetId="6" hidden="1">{#N/A,#N/A,FALSE,"MO (2)"}</definedName>
    <definedName name="fdfd" localSheetId="2" hidden="1">{#N/A,#N/A,FALSE,"MO (2)"}</definedName>
    <definedName name="fdfd" localSheetId="13" hidden="1">{#N/A,#N/A,FALSE,"MO (2)"}</definedName>
    <definedName name="fdfd" localSheetId="12" hidden="1">{#N/A,#N/A,FALSE,"MO (2)"}</definedName>
    <definedName name="fdfd" localSheetId="17" hidden="1">{#N/A,#N/A,FALSE,"MO (2)"}</definedName>
    <definedName name="fdfd" hidden="1">{#N/A,#N/A,FALSE,"MO (2)"}</definedName>
    <definedName name="feriados" localSheetId="15">#REF!</definedName>
    <definedName name="feriados" localSheetId="4">#REF!</definedName>
    <definedName name="feriados" localSheetId="9">#REF!</definedName>
    <definedName name="feriados" localSheetId="0">#REF!</definedName>
    <definedName name="feriados" localSheetId="7">#REF!</definedName>
    <definedName name="feriados" localSheetId="2">#REF!</definedName>
    <definedName name="feriados" localSheetId="1">#REF!</definedName>
    <definedName name="feriados" localSheetId="12">#REF!</definedName>
    <definedName name="feriados" localSheetId="11">#REF!</definedName>
    <definedName name="feriados" localSheetId="17">#REF!</definedName>
    <definedName name="feriados">#REF!</definedName>
    <definedName name="fgsagvasdf" localSheetId="2">#REF!</definedName>
    <definedName name="fgsagvasdf" localSheetId="1">#REF!</definedName>
    <definedName name="fgsagvasdf" localSheetId="17">#REF!</definedName>
    <definedName name="fgsagvasdf">#REF!</definedName>
    <definedName name="fhdfhsfd" localSheetId="15">#REF!</definedName>
    <definedName name="fhdfhsfd" localSheetId="4">#REF!</definedName>
    <definedName name="fhdfhsfd" localSheetId="9">#REF!</definedName>
    <definedName name="fhdfhsfd" localSheetId="0">#REF!</definedName>
    <definedName name="fhdfhsfd" localSheetId="7">#REF!</definedName>
    <definedName name="fhdfhsfd" localSheetId="2">#REF!</definedName>
    <definedName name="fhdfhsfd" localSheetId="1">#REF!</definedName>
    <definedName name="fhdfhsfd" localSheetId="12">#REF!</definedName>
    <definedName name="fhdfhsfd" localSheetId="11">#REF!</definedName>
    <definedName name="fhdfhsfd" localSheetId="17">#REF!</definedName>
    <definedName name="fhdfhsfd">#REF!</definedName>
    <definedName name="figura1">"Figura 1"</definedName>
    <definedName name="FIM" localSheetId="15">#REF!</definedName>
    <definedName name="FIM" localSheetId="4">#REF!</definedName>
    <definedName name="FIM" localSheetId="9">#REF!</definedName>
    <definedName name="FIM" localSheetId="7">#REF!</definedName>
    <definedName name="FIM" localSheetId="2">#REF!</definedName>
    <definedName name="FIM" localSheetId="1">#REF!</definedName>
    <definedName name="FIM" localSheetId="13">#REF!</definedName>
    <definedName name="FIM" localSheetId="12">#REF!</definedName>
    <definedName name="FIM" localSheetId="11">#REF!</definedName>
    <definedName name="FIM" localSheetId="17">#REF!</definedName>
    <definedName name="FIM">#REF!</definedName>
    <definedName name="FIRMA" localSheetId="15">#REF!</definedName>
    <definedName name="FIRMA" localSheetId="4">#REF!</definedName>
    <definedName name="FIRMA" localSheetId="9">#REF!</definedName>
    <definedName name="FIRMA" localSheetId="0">#REF!</definedName>
    <definedName name="FIRMA" localSheetId="7">#REF!</definedName>
    <definedName name="FIRMA" localSheetId="2">#REF!</definedName>
    <definedName name="FIRMA" localSheetId="1">#REF!</definedName>
    <definedName name="FIRMA" localSheetId="13">#REF!</definedName>
    <definedName name="FIRMA" localSheetId="12">#REF!</definedName>
    <definedName name="FIRMA" localSheetId="11">#REF!</definedName>
    <definedName name="FIRMA" localSheetId="17">#REF!</definedName>
    <definedName name="FIRMA">#REF!</definedName>
    <definedName name="FIRMA2" localSheetId="15">#REF!</definedName>
    <definedName name="FIRMA2" localSheetId="4">#REF!</definedName>
    <definedName name="FIRMA2" localSheetId="2">#REF!</definedName>
    <definedName name="FIRMA2" localSheetId="1">#REF!</definedName>
    <definedName name="FIRMA2" localSheetId="12">#REF!</definedName>
    <definedName name="FIRMA2" localSheetId="11">#REF!</definedName>
    <definedName name="FIRMA2" localSheetId="17">#REF!</definedName>
    <definedName name="FIRMA2">#REF!</definedName>
    <definedName name="FORMA" localSheetId="15">#REF!</definedName>
    <definedName name="FORMA" localSheetId="4">#REF!</definedName>
    <definedName name="FORMA" localSheetId="9">#REF!</definedName>
    <definedName name="FORMA" localSheetId="0">#REF!</definedName>
    <definedName name="FORMA" localSheetId="7">#REF!</definedName>
    <definedName name="FORMA" localSheetId="2">#REF!</definedName>
    <definedName name="FORMA" localSheetId="1">#REF!</definedName>
    <definedName name="FORMA" localSheetId="12">#REF!</definedName>
    <definedName name="FORMA" localSheetId="11">#REF!</definedName>
    <definedName name="FORMA" localSheetId="17">#REF!</definedName>
    <definedName name="FORMA">#REF!</definedName>
    <definedName name="Formula" localSheetId="2">#REF!</definedName>
    <definedName name="Formula" localSheetId="1">#REF!</definedName>
    <definedName name="Formula" localSheetId="17">#REF!</definedName>
    <definedName name="Formula">#REF!</definedName>
    <definedName name="Formula_1" localSheetId="2">#REF!</definedName>
    <definedName name="Formula_1" localSheetId="1">#REF!</definedName>
    <definedName name="Formula_1" localSheetId="17">#REF!</definedName>
    <definedName name="Formula_1">#REF!</definedName>
    <definedName name="Formula_10" localSheetId="2">#REF!</definedName>
    <definedName name="Formula_10" localSheetId="1">#REF!</definedName>
    <definedName name="Formula_10" localSheetId="17">#REF!</definedName>
    <definedName name="Formula_10">#REF!</definedName>
    <definedName name="Formula_2" localSheetId="2">#REF!</definedName>
    <definedName name="Formula_2" localSheetId="1">#REF!</definedName>
    <definedName name="Formula_2" localSheetId="17">#REF!</definedName>
    <definedName name="Formula_2">#REF!</definedName>
    <definedName name="Formula_3" localSheetId="2">#REF!</definedName>
    <definedName name="Formula_3" localSheetId="1">#REF!</definedName>
    <definedName name="Formula_3" localSheetId="17">#REF!</definedName>
    <definedName name="Formula_3">#REF!</definedName>
    <definedName name="Formula_4" localSheetId="2">#REF!</definedName>
    <definedName name="Formula_4" localSheetId="1">#REF!</definedName>
    <definedName name="Formula_4" localSheetId="17">#REF!</definedName>
    <definedName name="Formula_4">#REF!</definedName>
    <definedName name="Formula_5" localSheetId="2">#REF!</definedName>
    <definedName name="Formula_5" localSheetId="1">#REF!</definedName>
    <definedName name="Formula_5" localSheetId="17">#REF!</definedName>
    <definedName name="Formula_5">#REF!</definedName>
    <definedName name="Formula_5_1" localSheetId="2">#REF!</definedName>
    <definedName name="Formula_5_1" localSheetId="1">#REF!</definedName>
    <definedName name="Formula_5_1" localSheetId="17">#REF!</definedName>
    <definedName name="Formula_5_1">#REF!</definedName>
    <definedName name="Formula_6" localSheetId="2">#REF!</definedName>
    <definedName name="Formula_6" localSheetId="1">#REF!</definedName>
    <definedName name="Formula_6" localSheetId="17">#REF!</definedName>
    <definedName name="Formula_6">#REF!</definedName>
    <definedName name="FRESAGEM" localSheetId="15">#REF!</definedName>
    <definedName name="FRESAGEM" localSheetId="4">#REF!</definedName>
    <definedName name="FRESAGEM" localSheetId="9">#REF!</definedName>
    <definedName name="FRESAGEM" localSheetId="0">#REF!</definedName>
    <definedName name="FRESAGEM" localSheetId="7">#REF!</definedName>
    <definedName name="FRESAGEM" localSheetId="2">#REF!</definedName>
    <definedName name="FRESAGEM" localSheetId="1">#REF!</definedName>
    <definedName name="FRESAGEM" localSheetId="12">#REF!</definedName>
    <definedName name="FRESAGEM" localSheetId="11">#REF!</definedName>
    <definedName name="FRESAGEM" localSheetId="17">#REF!</definedName>
    <definedName name="FRESAGEM">#REF!</definedName>
    <definedName name="FuncoesValidas">#REF!</definedName>
    <definedName name="fyuk" localSheetId="15">'CALÇADA E ACESS. - JDML'!fyuk</definedName>
    <definedName name="fyuk" localSheetId="8">'DRENAGEM - JDA-E2'!fyuk</definedName>
    <definedName name="fyuk" localSheetId="6">'DRENO - JDA-E2'!fyuk</definedName>
    <definedName name="fyuk" localSheetId="2">GRELHA!fyuk</definedName>
    <definedName name="fyuk" localSheetId="13">'PAVIMENTAÇÃO - JDML'!fyuk</definedName>
    <definedName name="fyuk" localSheetId="12">'RECAPEAMENTO - JDML'!fyuk</definedName>
    <definedName name="fyuk" localSheetId="17">'SINALIZAÇÃO - JDML'!fyuk</definedName>
    <definedName name="fyuk">[0]!fyuk</definedName>
    <definedName name="G" localSheetId="15">#REF!</definedName>
    <definedName name="G" localSheetId="4">#REF!</definedName>
    <definedName name="G" localSheetId="9">#REF!</definedName>
    <definedName name="G" localSheetId="0">#REF!</definedName>
    <definedName name="G" localSheetId="7">#REF!</definedName>
    <definedName name="G" localSheetId="2">#REF!</definedName>
    <definedName name="G" localSheetId="1">#REF!</definedName>
    <definedName name="G" localSheetId="12">#REF!</definedName>
    <definedName name="G" localSheetId="11">#REF!</definedName>
    <definedName name="G" localSheetId="17">#REF!</definedName>
    <definedName name="G">#REF!</definedName>
    <definedName name="G1902." localSheetId="2">#REF!</definedName>
    <definedName name="G1902." localSheetId="1">#REF!</definedName>
    <definedName name="G1902." localSheetId="17">#REF!</definedName>
    <definedName name="G1902.">#REF!</definedName>
    <definedName name="GAS" localSheetId="15">#REF!</definedName>
    <definedName name="GAS" localSheetId="4">#REF!</definedName>
    <definedName name="GAS" localSheetId="2">#REF!</definedName>
    <definedName name="GAS" localSheetId="1">#REF!</definedName>
    <definedName name="GAS" localSheetId="12">#REF!</definedName>
    <definedName name="GAS" localSheetId="11">#REF!</definedName>
    <definedName name="GAS" localSheetId="17">#REF!</definedName>
    <definedName name="GAS">#REF!</definedName>
    <definedName name="GASG" localSheetId="2">#REF!</definedName>
    <definedName name="GASG" localSheetId="1">#REF!</definedName>
    <definedName name="GASG" localSheetId="17">#REF!</definedName>
    <definedName name="GASG">#REF!</definedName>
    <definedName name="george" localSheetId="2">#REF!</definedName>
    <definedName name="george" localSheetId="1">#REF!</definedName>
    <definedName name="george" localSheetId="17">#REF!</definedName>
    <definedName name="george">#REF!</definedName>
    <definedName name="GEOVANI" localSheetId="15">#REF!</definedName>
    <definedName name="GEOVANI" localSheetId="4">#REF!</definedName>
    <definedName name="GEOVANI" localSheetId="9">#REF!</definedName>
    <definedName name="GEOVANI" localSheetId="7">#REF!</definedName>
    <definedName name="GEOVANI" localSheetId="2">#REF!</definedName>
    <definedName name="GEOVANI" localSheetId="1">#REF!</definedName>
    <definedName name="GEOVANI" localSheetId="12">#REF!</definedName>
    <definedName name="GEOVANI" localSheetId="11">#REF!</definedName>
    <definedName name="GEOVANI" localSheetId="17">#REF!</definedName>
    <definedName name="GEOVANI">#REF!</definedName>
    <definedName name="GEOVANI2" localSheetId="15">#REF!</definedName>
    <definedName name="GEOVANI2" localSheetId="4">#REF!</definedName>
    <definedName name="GEOVANI2" localSheetId="9">#REF!</definedName>
    <definedName name="GEOVANI2" localSheetId="7">#REF!</definedName>
    <definedName name="GEOVANI2" localSheetId="2">#REF!</definedName>
    <definedName name="GEOVANI2" localSheetId="1">#REF!</definedName>
    <definedName name="GEOVANI2" localSheetId="12">#REF!</definedName>
    <definedName name="GEOVANI2" localSheetId="11">#REF!</definedName>
    <definedName name="GEOVANI2" localSheetId="17">#REF!</definedName>
    <definedName name="GEOVANI2">#REF!</definedName>
    <definedName name="GERADOR" localSheetId="2">#REF!</definedName>
    <definedName name="GERADOR" localSheetId="1">#REF!</definedName>
    <definedName name="GERADOR" localSheetId="17">#REF!</definedName>
    <definedName name="GERADOR">#REF!</definedName>
    <definedName name="geral" localSheetId="2">#REF!</definedName>
    <definedName name="geral" localSheetId="1">#REF!</definedName>
    <definedName name="geral" localSheetId="17">#REF!</definedName>
    <definedName name="geral">#REF!</definedName>
    <definedName name="ggggg" localSheetId="2">#REF!</definedName>
    <definedName name="ggggg" localSheetId="1">#REF!</definedName>
    <definedName name="ggggg" localSheetId="17">#REF!</definedName>
    <definedName name="ggggg">#REF!</definedName>
    <definedName name="ghgh" localSheetId="15">#REF!</definedName>
    <definedName name="ghgh" localSheetId="4">#REF!</definedName>
    <definedName name="ghgh" localSheetId="9">#REF!</definedName>
    <definedName name="ghgh" localSheetId="0">#REF!</definedName>
    <definedName name="ghgh" localSheetId="7">#REF!</definedName>
    <definedName name="ghgh" localSheetId="2">#REF!</definedName>
    <definedName name="ghgh" localSheetId="1">#REF!</definedName>
    <definedName name="ghgh" localSheetId="12">#REF!</definedName>
    <definedName name="ghgh" localSheetId="11">#REF!</definedName>
    <definedName name="ghgh" localSheetId="17">#REF!</definedName>
    <definedName name="ghgh">#REF!</definedName>
    <definedName name="GRADUADA" localSheetId="15">#REF!</definedName>
    <definedName name="GRADUADA" localSheetId="4">#REF!</definedName>
    <definedName name="GRADUADA" localSheetId="9">#REF!</definedName>
    <definedName name="GRADUADA" localSheetId="0">#REF!</definedName>
    <definedName name="GRADUADA" localSheetId="2">#REF!</definedName>
    <definedName name="GRADUADA" localSheetId="1">#REF!</definedName>
    <definedName name="GRADUADA" localSheetId="12">#REF!</definedName>
    <definedName name="GRADUADA" localSheetId="17">#REF!</definedName>
    <definedName name="GRADUADA">#REF!</definedName>
    <definedName name="GRAMA" localSheetId="15">#REF!</definedName>
    <definedName name="GRAMA" localSheetId="4">#REF!</definedName>
    <definedName name="GRAMA" localSheetId="9">#REF!</definedName>
    <definedName name="GRAMA" localSheetId="0">#REF!</definedName>
    <definedName name="GRAMA" localSheetId="2">#REF!</definedName>
    <definedName name="GRAMA" localSheetId="1">#REF!</definedName>
    <definedName name="GRAMA" localSheetId="12">#REF!</definedName>
    <definedName name="GRAMA" localSheetId="17">#REF!</definedName>
    <definedName name="GRAMA">#REF!</definedName>
    <definedName name="GRAMADA" localSheetId="4">#REF!</definedName>
    <definedName name="GRAMADA" localSheetId="2">#REF!</definedName>
    <definedName name="GRAMADA" localSheetId="1">#REF!</definedName>
    <definedName name="GRAMADA" localSheetId="17">#REF!</definedName>
    <definedName name="GRAMADA">#REF!</definedName>
    <definedName name="_xlnm.Recorder" localSheetId="17">#REF!</definedName>
    <definedName name="_xlnm.Recorder">#REF!</definedName>
    <definedName name="GSADF" localSheetId="2">#REF!</definedName>
    <definedName name="GSADF" localSheetId="1">#REF!</definedName>
    <definedName name="GSADF" localSheetId="17">#REF!</definedName>
    <definedName name="GSADF">#REF!</definedName>
    <definedName name="gsdfhj" localSheetId="15">#REF!</definedName>
    <definedName name="gsdfhj" localSheetId="4">#REF!</definedName>
    <definedName name="gsdfhj" localSheetId="9">#REF!</definedName>
    <definedName name="gsdfhj" localSheetId="7">#REF!</definedName>
    <definedName name="gsdfhj" localSheetId="2">#REF!</definedName>
    <definedName name="gsdfhj" localSheetId="1">#REF!</definedName>
    <definedName name="gsdfhj" localSheetId="13">#REF!</definedName>
    <definedName name="gsdfhj" localSheetId="12">#REF!</definedName>
    <definedName name="gsdfhj" localSheetId="11">#REF!</definedName>
    <definedName name="gsdfhj" localSheetId="17">#REF!</definedName>
    <definedName name="gsdfhj">#REF!</definedName>
    <definedName name="Guia">"Figura 1"</definedName>
    <definedName name="haihaah" localSheetId="15">#REF!</definedName>
    <definedName name="haihaah" localSheetId="4">#REF!</definedName>
    <definedName name="haihaah" localSheetId="9">#REF!</definedName>
    <definedName name="haihaah" localSheetId="7">#REF!</definedName>
    <definedName name="haihaah" localSheetId="2">#REF!</definedName>
    <definedName name="haihaah" localSheetId="1">#REF!</definedName>
    <definedName name="haihaah" localSheetId="12">#REF!</definedName>
    <definedName name="haihaah" localSheetId="11">#REF!</definedName>
    <definedName name="haihaah" localSheetId="17">#REF!</definedName>
    <definedName name="haihaah">#REF!</definedName>
    <definedName name="HHHHHHHHHHHHHHHHHHHHHHHHHHHHHHHHHHHHHHH" localSheetId="2">#REF!</definedName>
    <definedName name="HHHHHHHHHHHHHHHHHHHHHHHHHHHHHHHHHHHHHHH" localSheetId="1">#REF!</definedName>
    <definedName name="HHHHHHHHHHHHHHHHHHHHHHHHHHHHHHHHHHHHHHH" localSheetId="17">#REF!</definedName>
    <definedName name="HHHHHHHHHHHHHHHHHHHHHHHHHHHHHHHHHHHHHHH">#REF!</definedName>
    <definedName name="hi" localSheetId="15">#REF!</definedName>
    <definedName name="hi" localSheetId="4">#REF!</definedName>
    <definedName name="hi" localSheetId="9">#REF!</definedName>
    <definedName name="hi" localSheetId="7">#REF!</definedName>
    <definedName name="hi" localSheetId="2">#REF!</definedName>
    <definedName name="hi" localSheetId="1">#REF!</definedName>
    <definedName name="hi" localSheetId="12">#REF!</definedName>
    <definedName name="hi" localSheetId="17">#REF!</definedName>
    <definedName name="hi">#REF!</definedName>
    <definedName name="hiper_170" localSheetId="15">#REF!</definedName>
    <definedName name="hiper_170" localSheetId="4">#REF!</definedName>
    <definedName name="hiper_170" localSheetId="9">#REF!</definedName>
    <definedName name="hiper_170" localSheetId="0">#REF!</definedName>
    <definedName name="hiper_170" localSheetId="7">#REF!</definedName>
    <definedName name="hiper_170" localSheetId="2">#REF!</definedName>
    <definedName name="hiper_170" localSheetId="1">#REF!</definedName>
    <definedName name="hiper_170" localSheetId="12">#REF!</definedName>
    <definedName name="hiper_170" localSheetId="17">#REF!</definedName>
    <definedName name="hiper_170">#REF!</definedName>
    <definedName name="HJJJJJJJJJ" localSheetId="2">#REF!</definedName>
    <definedName name="HJJJJJJJJJ" localSheetId="1">#REF!</definedName>
    <definedName name="HJJJJJJJJJ" localSheetId="17">#REF!</definedName>
    <definedName name="HJJJJJJJJJ">#REF!</definedName>
    <definedName name="HP" localSheetId="15">#REF!</definedName>
    <definedName name="HP" localSheetId="4">#REF!</definedName>
    <definedName name="HP" localSheetId="9">#REF!</definedName>
    <definedName name="HP" localSheetId="7">#REF!</definedName>
    <definedName name="HP" localSheetId="2">#REF!</definedName>
    <definedName name="HP" localSheetId="1">#REF!</definedName>
    <definedName name="HP" localSheetId="12">#REF!</definedName>
    <definedName name="HP" localSheetId="17">#REF!</definedName>
    <definedName name="HP">#REF!</definedName>
    <definedName name="HP.1" localSheetId="15">#REF!</definedName>
    <definedName name="HP.1" localSheetId="4">#REF!</definedName>
    <definedName name="HP.1" localSheetId="9">#REF!</definedName>
    <definedName name="HP.1" localSheetId="2">#REF!</definedName>
    <definedName name="HP.1" localSheetId="1">#REF!</definedName>
    <definedName name="HP.1" localSheetId="12">#REF!</definedName>
    <definedName name="HP.1" localSheetId="17">#REF!</definedName>
    <definedName name="HP.1">#REF!</definedName>
    <definedName name="i" localSheetId="2">#REF!</definedName>
    <definedName name="i" localSheetId="1">#REF!</definedName>
    <definedName name="i" localSheetId="17">#REF!</definedName>
    <definedName name="i">#REF!</definedName>
    <definedName name="IM" localSheetId="15">#REF!</definedName>
    <definedName name="IM" localSheetId="4">#REF!</definedName>
    <definedName name="IM" localSheetId="9">#REF!</definedName>
    <definedName name="IM" localSheetId="2">#REF!</definedName>
    <definedName name="IM" localSheetId="1">#REF!</definedName>
    <definedName name="IM" localSheetId="12">#REF!</definedName>
    <definedName name="IM" localSheetId="17">#REF!</definedName>
    <definedName name="IM">#REF!</definedName>
    <definedName name="IMP" localSheetId="15">#REF!</definedName>
    <definedName name="IMP" localSheetId="4">#REF!</definedName>
    <definedName name="IMP" localSheetId="9">#REF!</definedName>
    <definedName name="IMP" localSheetId="7">#REF!</definedName>
    <definedName name="IMP" localSheetId="2">#REF!</definedName>
    <definedName name="IMP" localSheetId="1">#REF!</definedName>
    <definedName name="IMP" localSheetId="13">#REF!</definedName>
    <definedName name="IMP" localSheetId="12">#REF!</definedName>
    <definedName name="IMP" localSheetId="11">#REF!</definedName>
    <definedName name="IMP" localSheetId="17">#REF!</definedName>
    <definedName name="IMP">#REF!</definedName>
    <definedName name="Import.Desoneracao" localSheetId="17" hidden="1">OFFSET(#REF!,0,-1)</definedName>
    <definedName name="Import.Desoneracao" hidden="1">OFFSET(#REF!,0,-1)</definedName>
    <definedName name="IMPR" localSheetId="15">#REF!</definedName>
    <definedName name="IMPR" localSheetId="4">#REF!</definedName>
    <definedName name="IMPR" localSheetId="9">#REF!</definedName>
    <definedName name="IMPR" localSheetId="0">#REF!</definedName>
    <definedName name="IMPR" localSheetId="7">#REF!</definedName>
    <definedName name="IMPR" localSheetId="2">#REF!</definedName>
    <definedName name="IMPR" localSheetId="1">#REF!</definedName>
    <definedName name="IMPR" localSheetId="12">#REF!</definedName>
    <definedName name="IMPR" localSheetId="11">#REF!</definedName>
    <definedName name="IMPR" localSheetId="17">#REF!</definedName>
    <definedName name="IMPR">#REF!</definedName>
    <definedName name="IMPRIMAÇÃO" localSheetId="15">#REF!</definedName>
    <definedName name="IMPRIMAÇÃO" localSheetId="4">#REF!</definedName>
    <definedName name="IMPRIMAÇÃO" localSheetId="9">#REF!</definedName>
    <definedName name="IMPRIMAÇÃO" localSheetId="0">#REF!</definedName>
    <definedName name="IMPRIMAÇÃO" localSheetId="7">#REF!</definedName>
    <definedName name="IMPRIMAÇÃO" localSheetId="2">#REF!</definedName>
    <definedName name="IMPRIMAÇÃO" localSheetId="1">#REF!</definedName>
    <definedName name="IMPRIMAÇÃO" localSheetId="12">#REF!</definedName>
    <definedName name="IMPRIMAÇÃO" localSheetId="11">#REF!</definedName>
    <definedName name="IMPRIMAÇÃO" localSheetId="17">#REF!</definedName>
    <definedName name="IMPRIMAÇÃO">#REF!</definedName>
    <definedName name="INDICE" localSheetId="15">#REF!</definedName>
    <definedName name="INDICE" localSheetId="4">#REF!</definedName>
    <definedName name="INDICE" localSheetId="9">#REF!</definedName>
    <definedName name="INDICE" localSheetId="7">#REF!</definedName>
    <definedName name="INDICE" localSheetId="2">#REF!</definedName>
    <definedName name="INDICE" localSheetId="1">#REF!</definedName>
    <definedName name="INDICE" localSheetId="13">#REF!</definedName>
    <definedName name="INDICE" localSheetId="12">#REF!</definedName>
    <definedName name="INDICE" localSheetId="11">#REF!</definedName>
    <definedName name="INDICE" localSheetId="17">#REF!</definedName>
    <definedName name="INDICE">#REF!</definedName>
    <definedName name="INICIO" localSheetId="15">#REF!</definedName>
    <definedName name="INICIO" localSheetId="4">#REF!</definedName>
    <definedName name="INICIO" localSheetId="9">#REF!</definedName>
    <definedName name="INICIO" localSheetId="7">#REF!</definedName>
    <definedName name="INICIO" localSheetId="2">#REF!</definedName>
    <definedName name="INICIO" localSheetId="1">#REF!</definedName>
    <definedName name="INICIO" localSheetId="13">#REF!</definedName>
    <definedName name="INICIO" localSheetId="12">#REF!</definedName>
    <definedName name="INICIO" localSheetId="11">#REF!</definedName>
    <definedName name="INICIO" localSheetId="17">#REF!</definedName>
    <definedName name="INICIO">#REF!</definedName>
    <definedName name="INSUMOS" localSheetId="15">#REF!</definedName>
    <definedName name="INSUMOS" localSheetId="4">#REF!</definedName>
    <definedName name="INSUMOS" localSheetId="9">#REF!</definedName>
    <definedName name="Insumos" localSheetId="0" hidden="1">#REF!</definedName>
    <definedName name="INSUMOS" localSheetId="7">#REF!</definedName>
    <definedName name="INSUMOS" localSheetId="2">#REF!</definedName>
    <definedName name="INSUMOS" localSheetId="1">#REF!</definedName>
    <definedName name="INSUMOS" localSheetId="12">#REF!</definedName>
    <definedName name="INSUMOS" localSheetId="11">#REF!</definedName>
    <definedName name="INSUMOS" localSheetId="17">#REF!</definedName>
    <definedName name="INSUMOS">#REF!</definedName>
    <definedName name="Io" localSheetId="2">#REF!</definedName>
    <definedName name="Io" localSheetId="1">#REF!</definedName>
    <definedName name="Io" localSheetId="17">#REF!</definedName>
    <definedName name="Io">#REF!</definedName>
    <definedName name="ISS" localSheetId="2">#REF!</definedName>
    <definedName name="ISS" localSheetId="1">#REF!</definedName>
    <definedName name="ISS" localSheetId="17">#REF!</definedName>
    <definedName name="ISS">#REF!</definedName>
    <definedName name="IT" localSheetId="2">#REF!</definedName>
    <definedName name="IT" localSheetId="1">#REF!</definedName>
    <definedName name="IT" localSheetId="17">#REF!</definedName>
    <definedName name="IT">#REF!</definedName>
    <definedName name="item1.1" localSheetId="2">#REF!</definedName>
    <definedName name="item1.1" localSheetId="1">#REF!</definedName>
    <definedName name="item1.1" localSheetId="17">#REF!</definedName>
    <definedName name="item1.1">#REF!</definedName>
    <definedName name="item1.2" localSheetId="2">#REF!</definedName>
    <definedName name="item1.2" localSheetId="1">#REF!</definedName>
    <definedName name="item1.2" localSheetId="17">#REF!</definedName>
    <definedName name="item1.2">#REF!</definedName>
    <definedName name="item1.3" localSheetId="2">#REF!</definedName>
    <definedName name="item1.3" localSheetId="1">#REF!</definedName>
    <definedName name="item1.3" localSheetId="17">#REF!</definedName>
    <definedName name="item1.3">#REF!</definedName>
    <definedName name="item1.4" localSheetId="2">#REF!</definedName>
    <definedName name="item1.4" localSheetId="1">#REF!</definedName>
    <definedName name="item1.4" localSheetId="17">#REF!</definedName>
    <definedName name="item1.4">#REF!</definedName>
    <definedName name="item1.5" localSheetId="2">#REF!</definedName>
    <definedName name="item1.5" localSheetId="1">#REF!</definedName>
    <definedName name="item1.5" localSheetId="17">#REF!</definedName>
    <definedName name="item1.5">#REF!</definedName>
    <definedName name="item1.6" localSheetId="2">#REF!</definedName>
    <definedName name="item1.6" localSheetId="1">#REF!</definedName>
    <definedName name="item1.6" localSheetId="17">#REF!</definedName>
    <definedName name="item1.6">#REF!</definedName>
    <definedName name="item10.1" localSheetId="2">#REF!</definedName>
    <definedName name="item10.1" localSheetId="1">#REF!</definedName>
    <definedName name="item10.1" localSheetId="17">#REF!</definedName>
    <definedName name="item10.1">#REF!</definedName>
    <definedName name="item10.10" localSheetId="2">#REF!</definedName>
    <definedName name="item10.10" localSheetId="1">#REF!</definedName>
    <definedName name="item10.10" localSheetId="17">#REF!</definedName>
    <definedName name="item10.10">#REF!</definedName>
    <definedName name="item10.11" localSheetId="2">#REF!</definedName>
    <definedName name="item10.11" localSheetId="1">#REF!</definedName>
    <definedName name="item10.11" localSheetId="17">#REF!</definedName>
    <definedName name="item10.11">#REF!</definedName>
    <definedName name="item10.12" localSheetId="2">#REF!</definedName>
    <definedName name="item10.12" localSheetId="1">#REF!</definedName>
    <definedName name="item10.12" localSheetId="17">#REF!</definedName>
    <definedName name="item10.12">#REF!</definedName>
    <definedName name="item10.13" localSheetId="2">#REF!</definedName>
    <definedName name="item10.13" localSheetId="1">#REF!</definedName>
    <definedName name="item10.13" localSheetId="17">#REF!</definedName>
    <definedName name="item10.13">#REF!</definedName>
    <definedName name="item10.14" localSheetId="2">#REF!</definedName>
    <definedName name="item10.14" localSheetId="1">#REF!</definedName>
    <definedName name="item10.14" localSheetId="17">#REF!</definedName>
    <definedName name="item10.14">#REF!</definedName>
    <definedName name="item10.15" localSheetId="2">#REF!</definedName>
    <definedName name="item10.15" localSheetId="1">#REF!</definedName>
    <definedName name="item10.15" localSheetId="17">#REF!</definedName>
    <definedName name="item10.15">#REF!</definedName>
    <definedName name="item10.16" localSheetId="2">#REF!</definedName>
    <definedName name="item10.16" localSheetId="1">#REF!</definedName>
    <definedName name="item10.16" localSheetId="17">#REF!</definedName>
    <definedName name="item10.16">#REF!</definedName>
    <definedName name="item10.17" localSheetId="2">#REF!</definedName>
    <definedName name="item10.17" localSheetId="1">#REF!</definedName>
    <definedName name="item10.17" localSheetId="17">#REF!</definedName>
    <definedName name="item10.17">#REF!</definedName>
    <definedName name="item10.18" localSheetId="2">#REF!</definedName>
    <definedName name="item10.18" localSheetId="1">#REF!</definedName>
    <definedName name="item10.18" localSheetId="17">#REF!</definedName>
    <definedName name="item10.18">#REF!</definedName>
    <definedName name="item10.19" localSheetId="2">#REF!</definedName>
    <definedName name="item10.19" localSheetId="1">#REF!</definedName>
    <definedName name="item10.19" localSheetId="17">#REF!</definedName>
    <definedName name="item10.19">#REF!</definedName>
    <definedName name="item10.2" localSheetId="2">#REF!</definedName>
    <definedName name="item10.2" localSheetId="1">#REF!</definedName>
    <definedName name="item10.2" localSheetId="17">#REF!</definedName>
    <definedName name="item10.2">#REF!</definedName>
    <definedName name="item10.3" localSheetId="2">#REF!</definedName>
    <definedName name="item10.3" localSheetId="1">#REF!</definedName>
    <definedName name="item10.3" localSheetId="17">#REF!</definedName>
    <definedName name="item10.3">#REF!</definedName>
    <definedName name="item10.4" localSheetId="2">#REF!</definedName>
    <definedName name="item10.4" localSheetId="1">#REF!</definedName>
    <definedName name="item10.4" localSheetId="17">#REF!</definedName>
    <definedName name="item10.4">#REF!</definedName>
    <definedName name="item10.5" localSheetId="2">#REF!</definedName>
    <definedName name="item10.5" localSheetId="1">#REF!</definedName>
    <definedName name="item10.5" localSheetId="17">#REF!</definedName>
    <definedName name="item10.5">#REF!</definedName>
    <definedName name="item10.6" localSheetId="2">#REF!</definedName>
    <definedName name="item10.6" localSheetId="1">#REF!</definedName>
    <definedName name="item10.6" localSheetId="17">#REF!</definedName>
    <definedName name="item10.6">#REF!</definedName>
    <definedName name="item10.7" localSheetId="2">#REF!</definedName>
    <definedName name="item10.7" localSheetId="1">#REF!</definedName>
    <definedName name="item10.7" localSheetId="17">#REF!</definedName>
    <definedName name="item10.7">#REF!</definedName>
    <definedName name="item10.8" localSheetId="2">#REF!</definedName>
    <definedName name="item10.8" localSheetId="1">#REF!</definedName>
    <definedName name="item10.8" localSheetId="17">#REF!</definedName>
    <definedName name="item10.8">#REF!</definedName>
    <definedName name="item10.9" localSheetId="2">#REF!</definedName>
    <definedName name="item10.9" localSheetId="1">#REF!</definedName>
    <definedName name="item10.9" localSheetId="17">#REF!</definedName>
    <definedName name="item10.9">#REF!</definedName>
    <definedName name="item11.1" localSheetId="2">#REF!</definedName>
    <definedName name="item11.1" localSheetId="1">#REF!</definedName>
    <definedName name="item11.1" localSheetId="17">#REF!</definedName>
    <definedName name="item11.1">#REF!</definedName>
    <definedName name="item11.10" localSheetId="2">#REF!</definedName>
    <definedName name="item11.10" localSheetId="1">#REF!</definedName>
    <definedName name="item11.10" localSheetId="17">#REF!</definedName>
    <definedName name="item11.10">#REF!</definedName>
    <definedName name="item11.11" localSheetId="2">#REF!</definedName>
    <definedName name="item11.11" localSheetId="1">#REF!</definedName>
    <definedName name="item11.11" localSheetId="17">#REF!</definedName>
    <definedName name="item11.11">#REF!</definedName>
    <definedName name="item11.12" localSheetId="2">#REF!</definedName>
    <definedName name="item11.12" localSheetId="1">#REF!</definedName>
    <definedName name="item11.12" localSheetId="17">#REF!</definedName>
    <definedName name="item11.12">#REF!</definedName>
    <definedName name="item11.13" localSheetId="2">#REF!</definedName>
    <definedName name="item11.13" localSheetId="1">#REF!</definedName>
    <definedName name="item11.13" localSheetId="17">#REF!</definedName>
    <definedName name="item11.13">#REF!</definedName>
    <definedName name="item11.14" localSheetId="2">#REF!</definedName>
    <definedName name="item11.14" localSheetId="1">#REF!</definedName>
    <definedName name="item11.14" localSheetId="17">#REF!</definedName>
    <definedName name="item11.14">#REF!</definedName>
    <definedName name="item11.15" localSheetId="2">#REF!</definedName>
    <definedName name="item11.15" localSheetId="1">#REF!</definedName>
    <definedName name="item11.15" localSheetId="17">#REF!</definedName>
    <definedName name="item11.15">#REF!</definedName>
    <definedName name="item11.16" localSheetId="2">#REF!</definedName>
    <definedName name="item11.16" localSheetId="1">#REF!</definedName>
    <definedName name="item11.16" localSheetId="17">#REF!</definedName>
    <definedName name="item11.16">#REF!</definedName>
    <definedName name="item11.17" localSheetId="2">#REF!</definedName>
    <definedName name="item11.17" localSheetId="1">#REF!</definedName>
    <definedName name="item11.17" localSheetId="17">#REF!</definedName>
    <definedName name="item11.17">#REF!</definedName>
    <definedName name="item11.18" localSheetId="2">#REF!</definedName>
    <definedName name="item11.18" localSheetId="1">#REF!</definedName>
    <definedName name="item11.18" localSheetId="17">#REF!</definedName>
    <definedName name="item11.18">#REF!</definedName>
    <definedName name="item11.19" localSheetId="2">#REF!</definedName>
    <definedName name="item11.19" localSheetId="1">#REF!</definedName>
    <definedName name="item11.19" localSheetId="17">#REF!</definedName>
    <definedName name="item11.19">#REF!</definedName>
    <definedName name="item11.2" localSheetId="2">#REF!</definedName>
    <definedName name="item11.2" localSheetId="1">#REF!</definedName>
    <definedName name="item11.2" localSheetId="17">#REF!</definedName>
    <definedName name="item11.2">#REF!</definedName>
    <definedName name="item11.20" localSheetId="2">#REF!</definedName>
    <definedName name="item11.20" localSheetId="1">#REF!</definedName>
    <definedName name="item11.20" localSheetId="17">#REF!</definedName>
    <definedName name="item11.20">#REF!</definedName>
    <definedName name="item11.21" localSheetId="2">#REF!</definedName>
    <definedName name="item11.21" localSheetId="1">#REF!</definedName>
    <definedName name="item11.21" localSheetId="17">#REF!</definedName>
    <definedName name="item11.21">#REF!</definedName>
    <definedName name="item11.22" localSheetId="2">#REF!</definedName>
    <definedName name="item11.22" localSheetId="1">#REF!</definedName>
    <definedName name="item11.22" localSheetId="17">#REF!</definedName>
    <definedName name="item11.22">#REF!</definedName>
    <definedName name="item11.23" localSheetId="2">#REF!</definedName>
    <definedName name="item11.23" localSheetId="1">#REF!</definedName>
    <definedName name="item11.23" localSheetId="17">#REF!</definedName>
    <definedName name="item11.23">#REF!</definedName>
    <definedName name="item11.24" localSheetId="2">#REF!</definedName>
    <definedName name="item11.24" localSheetId="1">#REF!</definedName>
    <definedName name="item11.24" localSheetId="17">#REF!</definedName>
    <definedName name="item11.24">#REF!</definedName>
    <definedName name="item11.25" localSheetId="2">#REF!</definedName>
    <definedName name="item11.25" localSheetId="1">#REF!</definedName>
    <definedName name="item11.25" localSheetId="17">#REF!</definedName>
    <definedName name="item11.25">#REF!</definedName>
    <definedName name="item11.26" localSheetId="2">#REF!</definedName>
    <definedName name="item11.26" localSheetId="1">#REF!</definedName>
    <definedName name="item11.26" localSheetId="17">#REF!</definedName>
    <definedName name="item11.26">#REF!</definedName>
    <definedName name="item11.27" localSheetId="2">#REF!</definedName>
    <definedName name="item11.27" localSheetId="1">#REF!</definedName>
    <definedName name="item11.27" localSheetId="17">#REF!</definedName>
    <definedName name="item11.27">#REF!</definedName>
    <definedName name="item11.28" localSheetId="2">#REF!</definedName>
    <definedName name="item11.28" localSheetId="1">#REF!</definedName>
    <definedName name="item11.28" localSheetId="17">#REF!</definedName>
    <definedName name="item11.28">#REF!</definedName>
    <definedName name="item11.3" localSheetId="2">#REF!</definedName>
    <definedName name="item11.3" localSheetId="1">#REF!</definedName>
    <definedName name="item11.3" localSheetId="17">#REF!</definedName>
    <definedName name="item11.3">#REF!</definedName>
    <definedName name="item11.4" localSheetId="2">#REF!</definedName>
    <definedName name="item11.4" localSheetId="1">#REF!</definedName>
    <definedName name="item11.4" localSheetId="17">#REF!</definedName>
    <definedName name="item11.4">#REF!</definedName>
    <definedName name="item11.5" localSheetId="2">#REF!</definedName>
    <definedName name="item11.5" localSheetId="1">#REF!</definedName>
    <definedName name="item11.5" localSheetId="17">#REF!</definedName>
    <definedName name="item11.5">#REF!</definedName>
    <definedName name="item11.6" localSheetId="2">#REF!</definedName>
    <definedName name="item11.6" localSheetId="1">#REF!</definedName>
    <definedName name="item11.6" localSheetId="17">#REF!</definedName>
    <definedName name="item11.6">#REF!</definedName>
    <definedName name="item11.7" localSheetId="2">#REF!</definedName>
    <definedName name="item11.7" localSheetId="1">#REF!</definedName>
    <definedName name="item11.7" localSheetId="17">#REF!</definedName>
    <definedName name="item11.7">#REF!</definedName>
    <definedName name="item11.8" localSheetId="2">#REF!</definedName>
    <definedName name="item11.8" localSheetId="1">#REF!</definedName>
    <definedName name="item11.8" localSheetId="17">#REF!</definedName>
    <definedName name="item11.8">#REF!</definedName>
    <definedName name="item11.9" localSheetId="2">#REF!</definedName>
    <definedName name="item11.9" localSheetId="1">#REF!</definedName>
    <definedName name="item11.9" localSheetId="17">#REF!</definedName>
    <definedName name="item11.9">#REF!</definedName>
    <definedName name="item12.0" localSheetId="2">#REF!</definedName>
    <definedName name="item12.0" localSheetId="1">#REF!</definedName>
    <definedName name="item12.0" localSheetId="17">#REF!</definedName>
    <definedName name="item12.0">#REF!</definedName>
    <definedName name="item12.1" localSheetId="2">#REF!</definedName>
    <definedName name="item12.1" localSheetId="1">#REF!</definedName>
    <definedName name="item12.1" localSheetId="17">#REF!</definedName>
    <definedName name="item12.1">#REF!</definedName>
    <definedName name="item12.10" localSheetId="2">#REF!</definedName>
    <definedName name="item12.10" localSheetId="1">#REF!</definedName>
    <definedName name="item12.10" localSheetId="17">#REF!</definedName>
    <definedName name="item12.10">#REF!</definedName>
    <definedName name="item12.11" localSheetId="2">#REF!</definedName>
    <definedName name="item12.11" localSheetId="1">#REF!</definedName>
    <definedName name="item12.11" localSheetId="17">#REF!</definedName>
    <definedName name="item12.11">#REF!</definedName>
    <definedName name="item12.12" localSheetId="2">#REF!</definedName>
    <definedName name="item12.12" localSheetId="1">#REF!</definedName>
    <definedName name="item12.12" localSheetId="17">#REF!</definedName>
    <definedName name="item12.12">#REF!</definedName>
    <definedName name="item12.13" localSheetId="2">#REF!</definedName>
    <definedName name="item12.13" localSheetId="1">#REF!</definedName>
    <definedName name="item12.13" localSheetId="17">#REF!</definedName>
    <definedName name="item12.13">#REF!</definedName>
    <definedName name="item12.14" localSheetId="2">#REF!</definedName>
    <definedName name="item12.14" localSheetId="1">#REF!</definedName>
    <definedName name="item12.14" localSheetId="17">#REF!</definedName>
    <definedName name="item12.14">#REF!</definedName>
    <definedName name="item12.15" localSheetId="2">#REF!</definedName>
    <definedName name="item12.15" localSheetId="1">#REF!</definedName>
    <definedName name="item12.15" localSheetId="17">#REF!</definedName>
    <definedName name="item12.15">#REF!</definedName>
    <definedName name="item12.16" localSheetId="2">#REF!</definedName>
    <definedName name="item12.16" localSheetId="1">#REF!</definedName>
    <definedName name="item12.16" localSheetId="17">#REF!</definedName>
    <definedName name="item12.16">#REF!</definedName>
    <definedName name="item12.17" localSheetId="2">#REF!</definedName>
    <definedName name="item12.17" localSheetId="1">#REF!</definedName>
    <definedName name="item12.17" localSheetId="17">#REF!</definedName>
    <definedName name="item12.17">#REF!</definedName>
    <definedName name="item12.18" localSheetId="2">#REF!</definedName>
    <definedName name="item12.18" localSheetId="1">#REF!</definedName>
    <definedName name="item12.18" localSheetId="17">#REF!</definedName>
    <definedName name="item12.18">#REF!</definedName>
    <definedName name="item12.19" localSheetId="2">#REF!</definedName>
    <definedName name="item12.19" localSheetId="1">#REF!</definedName>
    <definedName name="item12.19" localSheetId="17">#REF!</definedName>
    <definedName name="item12.19">#REF!</definedName>
    <definedName name="item12.2" localSheetId="2">#REF!</definedName>
    <definedName name="item12.2" localSheetId="1">#REF!</definedName>
    <definedName name="item12.2" localSheetId="17">#REF!</definedName>
    <definedName name="item12.2">#REF!</definedName>
    <definedName name="item12.20" localSheetId="2">#REF!</definedName>
    <definedName name="item12.20" localSheetId="1">#REF!</definedName>
    <definedName name="item12.20" localSheetId="17">#REF!</definedName>
    <definedName name="item12.20">#REF!</definedName>
    <definedName name="item12.21" localSheetId="2">#REF!</definedName>
    <definedName name="item12.21" localSheetId="1">#REF!</definedName>
    <definedName name="item12.21" localSheetId="17">#REF!</definedName>
    <definedName name="item12.21">#REF!</definedName>
    <definedName name="item12.22" localSheetId="2">#REF!</definedName>
    <definedName name="item12.22" localSheetId="1">#REF!</definedName>
    <definedName name="item12.22" localSheetId="17">#REF!</definedName>
    <definedName name="item12.22">#REF!</definedName>
    <definedName name="item12.23" localSheetId="2">#REF!</definedName>
    <definedName name="item12.23" localSheetId="1">#REF!</definedName>
    <definedName name="item12.23" localSheetId="17">#REF!</definedName>
    <definedName name="item12.23">#REF!</definedName>
    <definedName name="item12.24" localSheetId="2">#REF!</definedName>
    <definedName name="item12.24" localSheetId="1">#REF!</definedName>
    <definedName name="item12.24" localSheetId="17">#REF!</definedName>
    <definedName name="item12.24">#REF!</definedName>
    <definedName name="item12.25" localSheetId="2">#REF!</definedName>
    <definedName name="item12.25" localSheetId="1">#REF!</definedName>
    <definedName name="item12.25" localSheetId="17">#REF!</definedName>
    <definedName name="item12.25">#REF!</definedName>
    <definedName name="item12.26" localSheetId="2">#REF!</definedName>
    <definedName name="item12.26" localSheetId="1">#REF!</definedName>
    <definedName name="item12.26" localSheetId="17">#REF!</definedName>
    <definedName name="item12.26">#REF!</definedName>
    <definedName name="item12.27" localSheetId="2">#REF!</definedName>
    <definedName name="item12.27" localSheetId="1">#REF!</definedName>
    <definedName name="item12.27" localSheetId="17">#REF!</definedName>
    <definedName name="item12.27">#REF!</definedName>
    <definedName name="item12.3" localSheetId="2">#REF!</definedName>
    <definedName name="item12.3" localSheetId="1">#REF!</definedName>
    <definedName name="item12.3" localSheetId="17">#REF!</definedName>
    <definedName name="item12.3">#REF!</definedName>
    <definedName name="item12.4" localSheetId="2">#REF!</definedName>
    <definedName name="item12.4" localSheetId="1">#REF!</definedName>
    <definedName name="item12.4" localSheetId="17">#REF!</definedName>
    <definedName name="item12.4">#REF!</definedName>
    <definedName name="item12.5" localSheetId="2">#REF!</definedName>
    <definedName name="item12.5" localSheetId="1">#REF!</definedName>
    <definedName name="item12.5" localSheetId="17">#REF!</definedName>
    <definedName name="item12.5">#REF!</definedName>
    <definedName name="item12.6" localSheetId="2">#REF!</definedName>
    <definedName name="item12.6" localSheetId="1">#REF!</definedName>
    <definedName name="item12.6" localSheetId="17">#REF!</definedName>
    <definedName name="item12.6">#REF!</definedName>
    <definedName name="item12.7" localSheetId="2">#REF!</definedName>
    <definedName name="item12.7" localSheetId="1">#REF!</definedName>
    <definedName name="item12.7" localSheetId="17">#REF!</definedName>
    <definedName name="item12.7">#REF!</definedName>
    <definedName name="item12.8" localSheetId="2">#REF!</definedName>
    <definedName name="item12.8" localSheetId="1">#REF!</definedName>
    <definedName name="item12.8" localSheetId="17">#REF!</definedName>
    <definedName name="item12.8">#REF!</definedName>
    <definedName name="item12.9" localSheetId="2">#REF!</definedName>
    <definedName name="item12.9" localSheetId="1">#REF!</definedName>
    <definedName name="item12.9" localSheetId="17">#REF!</definedName>
    <definedName name="item12.9">#REF!</definedName>
    <definedName name="item13.1" localSheetId="2">#REF!</definedName>
    <definedName name="item13.1" localSheetId="1">#REF!</definedName>
    <definedName name="item13.1" localSheetId="17">#REF!</definedName>
    <definedName name="item13.1">#REF!</definedName>
    <definedName name="item13.10" localSheetId="2">#REF!</definedName>
    <definedName name="item13.10" localSheetId="1">#REF!</definedName>
    <definedName name="item13.10" localSheetId="17">#REF!</definedName>
    <definedName name="item13.10">#REF!</definedName>
    <definedName name="item13.11" localSheetId="2">#REF!</definedName>
    <definedName name="item13.11" localSheetId="1">#REF!</definedName>
    <definedName name="item13.11" localSheetId="17">#REF!</definedName>
    <definedName name="item13.11">#REF!</definedName>
    <definedName name="item13.12" localSheetId="2">#REF!</definedName>
    <definedName name="item13.12" localSheetId="1">#REF!</definedName>
    <definedName name="item13.12" localSheetId="17">#REF!</definedName>
    <definedName name="item13.12">#REF!</definedName>
    <definedName name="item13.13" localSheetId="2">#REF!</definedName>
    <definedName name="item13.13" localSheetId="1">#REF!</definedName>
    <definedName name="item13.13" localSheetId="17">#REF!</definedName>
    <definedName name="item13.13">#REF!</definedName>
    <definedName name="item13.2" localSheetId="2">#REF!</definedName>
    <definedName name="item13.2" localSheetId="1">#REF!</definedName>
    <definedName name="item13.2" localSheetId="17">#REF!</definedName>
    <definedName name="item13.2">#REF!</definedName>
    <definedName name="item13.3" localSheetId="2">#REF!</definedName>
    <definedName name="item13.3" localSheetId="1">#REF!</definedName>
    <definedName name="item13.3" localSheetId="17">#REF!</definedName>
    <definedName name="item13.3">#REF!</definedName>
    <definedName name="item13.4" localSheetId="2">#REF!</definedName>
    <definedName name="item13.4" localSheetId="1">#REF!</definedName>
    <definedName name="item13.4" localSheetId="17">#REF!</definedName>
    <definedName name="item13.4">#REF!</definedName>
    <definedName name="item13.5" localSheetId="2">#REF!</definedName>
    <definedName name="item13.5" localSheetId="1">#REF!</definedName>
    <definedName name="item13.5" localSheetId="17">#REF!</definedName>
    <definedName name="item13.5">#REF!</definedName>
    <definedName name="item13.6" localSheetId="2">#REF!</definedName>
    <definedName name="item13.6" localSheetId="1">#REF!</definedName>
    <definedName name="item13.6" localSheetId="17">#REF!</definedName>
    <definedName name="item13.6">#REF!</definedName>
    <definedName name="item13.7" localSheetId="2">#REF!</definedName>
    <definedName name="item13.7" localSheetId="1">#REF!</definedName>
    <definedName name="item13.7" localSheetId="17">#REF!</definedName>
    <definedName name="item13.7">#REF!</definedName>
    <definedName name="item13.8" localSheetId="2">#REF!</definedName>
    <definedName name="item13.8" localSheetId="1">#REF!</definedName>
    <definedName name="item13.8" localSheetId="17">#REF!</definedName>
    <definedName name="item13.8">#REF!</definedName>
    <definedName name="item13.9" localSheetId="2">#REF!</definedName>
    <definedName name="item13.9" localSheetId="1">#REF!</definedName>
    <definedName name="item13.9" localSheetId="17">#REF!</definedName>
    <definedName name="item13.9">#REF!</definedName>
    <definedName name="item14.1" localSheetId="2">#REF!</definedName>
    <definedName name="item14.1" localSheetId="1">#REF!</definedName>
    <definedName name="item14.1" localSheetId="17">#REF!</definedName>
    <definedName name="item14.1">#REF!</definedName>
    <definedName name="item14.2" localSheetId="2">#REF!</definedName>
    <definedName name="item14.2" localSheetId="1">#REF!</definedName>
    <definedName name="item14.2" localSheetId="17">#REF!</definedName>
    <definedName name="item14.2">#REF!</definedName>
    <definedName name="item14.3" localSheetId="2">#REF!</definedName>
    <definedName name="item14.3" localSheetId="1">#REF!</definedName>
    <definedName name="item14.3" localSheetId="17">#REF!</definedName>
    <definedName name="item14.3">#REF!</definedName>
    <definedName name="item14.4" localSheetId="2">#REF!</definedName>
    <definedName name="item14.4" localSheetId="1">#REF!</definedName>
    <definedName name="item14.4" localSheetId="17">#REF!</definedName>
    <definedName name="item14.4">#REF!</definedName>
    <definedName name="item14.5" localSheetId="2">#REF!</definedName>
    <definedName name="item14.5" localSheetId="1">#REF!</definedName>
    <definedName name="item14.5" localSheetId="17">#REF!</definedName>
    <definedName name="item14.5">#REF!</definedName>
    <definedName name="item14.6" localSheetId="2">#REF!</definedName>
    <definedName name="item14.6" localSheetId="1">#REF!</definedName>
    <definedName name="item14.6" localSheetId="17">#REF!</definedName>
    <definedName name="item14.6">#REF!</definedName>
    <definedName name="item15.1" localSheetId="2">#REF!</definedName>
    <definedName name="item15.1" localSheetId="1">#REF!</definedName>
    <definedName name="item15.1" localSheetId="17">#REF!</definedName>
    <definedName name="item15.1">#REF!</definedName>
    <definedName name="item15.10" localSheetId="2">#REF!</definedName>
    <definedName name="item15.10" localSheetId="1">#REF!</definedName>
    <definedName name="item15.10" localSheetId="17">#REF!</definedName>
    <definedName name="item15.10">#REF!</definedName>
    <definedName name="item15.11" localSheetId="2">#REF!</definedName>
    <definedName name="item15.11" localSheetId="1">#REF!</definedName>
    <definedName name="item15.11" localSheetId="17">#REF!</definedName>
    <definedName name="item15.11">#REF!</definedName>
    <definedName name="item15.12" localSheetId="2">#REF!</definedName>
    <definedName name="item15.12" localSheetId="1">#REF!</definedName>
    <definedName name="item15.12" localSheetId="17">#REF!</definedName>
    <definedName name="item15.12">#REF!</definedName>
    <definedName name="item15.13" localSheetId="2">#REF!</definedName>
    <definedName name="item15.13" localSheetId="1">#REF!</definedName>
    <definedName name="item15.13" localSheetId="17">#REF!</definedName>
    <definedName name="item15.13">#REF!</definedName>
    <definedName name="item15.2" localSheetId="2">#REF!</definedName>
    <definedName name="item15.2" localSheetId="1">#REF!</definedName>
    <definedName name="item15.2" localSheetId="17">#REF!</definedName>
    <definedName name="item15.2">#REF!</definedName>
    <definedName name="item15.3" localSheetId="2">#REF!</definedName>
    <definedName name="item15.3" localSheetId="1">#REF!</definedName>
    <definedName name="item15.3" localSheetId="17">#REF!</definedName>
    <definedName name="item15.3">#REF!</definedName>
    <definedName name="item15.4" localSheetId="2">#REF!</definedName>
    <definedName name="item15.4" localSheetId="1">#REF!</definedName>
    <definedName name="item15.4" localSheetId="17">#REF!</definedName>
    <definedName name="item15.4">#REF!</definedName>
    <definedName name="item15.5" localSheetId="2">#REF!</definedName>
    <definedName name="item15.5" localSheetId="1">#REF!</definedName>
    <definedName name="item15.5" localSheetId="17">#REF!</definedName>
    <definedName name="item15.5">#REF!</definedName>
    <definedName name="item15.6" localSheetId="2">#REF!</definedName>
    <definedName name="item15.6" localSheetId="1">#REF!</definedName>
    <definedName name="item15.6" localSheetId="17">#REF!</definedName>
    <definedName name="item15.6">#REF!</definedName>
    <definedName name="item15.7" localSheetId="2">#REF!</definedName>
    <definedName name="item15.7" localSheetId="1">#REF!</definedName>
    <definedName name="item15.7" localSheetId="17">#REF!</definedName>
    <definedName name="item15.7">#REF!</definedName>
    <definedName name="item15.8" localSheetId="2">#REF!</definedName>
    <definedName name="item15.8" localSheetId="1">#REF!</definedName>
    <definedName name="item15.8" localSheetId="17">#REF!</definedName>
    <definedName name="item15.8">#REF!</definedName>
    <definedName name="item15.9" localSheetId="2">#REF!</definedName>
    <definedName name="item15.9" localSheetId="1">#REF!</definedName>
    <definedName name="item15.9" localSheetId="17">#REF!</definedName>
    <definedName name="item15.9">#REF!</definedName>
    <definedName name="item2.1" localSheetId="2">#REF!</definedName>
    <definedName name="item2.1" localSheetId="1">#REF!</definedName>
    <definedName name="item2.1" localSheetId="17">#REF!</definedName>
    <definedName name="item2.1">#REF!</definedName>
    <definedName name="item2.10" localSheetId="2">#REF!</definedName>
    <definedName name="item2.10" localSheetId="1">#REF!</definedName>
    <definedName name="item2.10" localSheetId="17">#REF!</definedName>
    <definedName name="item2.10">#REF!</definedName>
    <definedName name="item2.11" localSheetId="2">#REF!</definedName>
    <definedName name="item2.11" localSheetId="1">#REF!</definedName>
    <definedName name="item2.11" localSheetId="17">#REF!</definedName>
    <definedName name="item2.11">#REF!</definedName>
    <definedName name="item2.12" localSheetId="2">#REF!</definedName>
    <definedName name="item2.12" localSheetId="1">#REF!</definedName>
    <definedName name="item2.12" localSheetId="17">#REF!</definedName>
    <definedName name="item2.12">#REF!</definedName>
    <definedName name="item2.13" localSheetId="2">#REF!</definedName>
    <definedName name="item2.13" localSheetId="1">#REF!</definedName>
    <definedName name="item2.13" localSheetId="17">#REF!</definedName>
    <definedName name="item2.13">#REF!</definedName>
    <definedName name="item2.14" localSheetId="2">#REF!</definedName>
    <definedName name="item2.14" localSheetId="1">#REF!</definedName>
    <definedName name="item2.14" localSheetId="17">#REF!</definedName>
    <definedName name="item2.14">#REF!</definedName>
    <definedName name="item2.15" localSheetId="2">#REF!</definedName>
    <definedName name="item2.15" localSheetId="1">#REF!</definedName>
    <definedName name="item2.15" localSheetId="17">#REF!</definedName>
    <definedName name="item2.15">#REF!</definedName>
    <definedName name="item2.16" localSheetId="2">#REF!</definedName>
    <definedName name="item2.16" localSheetId="1">#REF!</definedName>
    <definedName name="item2.16" localSheetId="17">#REF!</definedName>
    <definedName name="item2.16">#REF!</definedName>
    <definedName name="item2.17" localSheetId="2">#REF!</definedName>
    <definedName name="item2.17" localSheetId="1">#REF!</definedName>
    <definedName name="item2.17" localSheetId="17">#REF!</definedName>
    <definedName name="item2.17">#REF!</definedName>
    <definedName name="item2.18" localSheetId="2">#REF!</definedName>
    <definedName name="item2.18" localSheetId="1">#REF!</definedName>
    <definedName name="item2.18" localSheetId="17">#REF!</definedName>
    <definedName name="item2.18">#REF!</definedName>
    <definedName name="item2.19" localSheetId="2">#REF!</definedName>
    <definedName name="item2.19" localSheetId="1">#REF!</definedName>
    <definedName name="item2.19" localSheetId="17">#REF!</definedName>
    <definedName name="item2.19">#REF!</definedName>
    <definedName name="item2.2" localSheetId="2">#REF!</definedName>
    <definedName name="item2.2" localSheetId="1">#REF!</definedName>
    <definedName name="item2.2" localSheetId="17">#REF!</definedName>
    <definedName name="item2.2">#REF!</definedName>
    <definedName name="item2.20" localSheetId="2">#REF!</definedName>
    <definedName name="item2.20" localSheetId="1">#REF!</definedName>
    <definedName name="item2.20" localSheetId="17">#REF!</definedName>
    <definedName name="item2.20">#REF!</definedName>
    <definedName name="item2.21" localSheetId="2">#REF!</definedName>
    <definedName name="item2.21" localSheetId="1">#REF!</definedName>
    <definedName name="item2.21" localSheetId="17">#REF!</definedName>
    <definedName name="item2.21">#REF!</definedName>
    <definedName name="item2.22" localSheetId="2">#REF!</definedName>
    <definedName name="item2.22" localSheetId="1">#REF!</definedName>
    <definedName name="item2.22" localSheetId="17">#REF!</definedName>
    <definedName name="item2.22">#REF!</definedName>
    <definedName name="item2.23" localSheetId="2">#REF!</definedName>
    <definedName name="item2.23" localSheetId="1">#REF!</definedName>
    <definedName name="item2.23" localSheetId="17">#REF!</definedName>
    <definedName name="item2.23">#REF!</definedName>
    <definedName name="item2.24" localSheetId="2">#REF!</definedName>
    <definedName name="item2.24" localSheetId="1">#REF!</definedName>
    <definedName name="item2.24" localSheetId="17">#REF!</definedName>
    <definedName name="item2.24">#REF!</definedName>
    <definedName name="item2.25" localSheetId="2">#REF!</definedName>
    <definedName name="item2.25" localSheetId="1">#REF!</definedName>
    <definedName name="item2.25" localSheetId="17">#REF!</definedName>
    <definedName name="item2.25">#REF!</definedName>
    <definedName name="item2.26" localSheetId="2">#REF!</definedName>
    <definedName name="item2.26" localSheetId="1">#REF!</definedName>
    <definedName name="item2.26" localSheetId="17">#REF!</definedName>
    <definedName name="item2.26">#REF!</definedName>
    <definedName name="item2.27" localSheetId="2">#REF!</definedName>
    <definedName name="item2.27" localSheetId="1">#REF!</definedName>
    <definedName name="item2.27" localSheetId="17">#REF!</definedName>
    <definedName name="item2.27">#REF!</definedName>
    <definedName name="item2.3" localSheetId="2">#REF!</definedName>
    <definedName name="item2.3" localSheetId="1">#REF!</definedName>
    <definedName name="item2.3" localSheetId="17">#REF!</definedName>
    <definedName name="item2.3">#REF!</definedName>
    <definedName name="item2.4" localSheetId="2">#REF!</definedName>
    <definedName name="item2.4" localSheetId="1">#REF!</definedName>
    <definedName name="item2.4" localSheetId="17">#REF!</definedName>
    <definedName name="item2.4">#REF!</definedName>
    <definedName name="item2.5" localSheetId="2">#REF!</definedName>
    <definedName name="item2.5" localSheetId="1">#REF!</definedName>
    <definedName name="item2.5" localSheetId="17">#REF!</definedName>
    <definedName name="item2.5">#REF!</definedName>
    <definedName name="item2.6" localSheetId="2">#REF!</definedName>
    <definedName name="item2.6" localSheetId="1">#REF!</definedName>
    <definedName name="item2.6" localSheetId="17">#REF!</definedName>
    <definedName name="item2.6">#REF!</definedName>
    <definedName name="item2.7" localSheetId="2">#REF!</definedName>
    <definedName name="item2.7" localSheetId="1">#REF!</definedName>
    <definedName name="item2.7" localSheetId="17">#REF!</definedName>
    <definedName name="item2.7">#REF!</definedName>
    <definedName name="item2.8" localSheetId="2">#REF!</definedName>
    <definedName name="item2.8" localSheetId="1">#REF!</definedName>
    <definedName name="item2.8" localSheetId="17">#REF!</definedName>
    <definedName name="item2.8">#REF!</definedName>
    <definedName name="item2.9" localSheetId="2">#REF!</definedName>
    <definedName name="item2.9" localSheetId="1">#REF!</definedName>
    <definedName name="item2.9" localSheetId="17">#REF!</definedName>
    <definedName name="item2.9">#REF!</definedName>
    <definedName name="item3.1" localSheetId="2">#REF!</definedName>
    <definedName name="item3.1" localSheetId="1">#REF!</definedName>
    <definedName name="item3.1" localSheetId="17">#REF!</definedName>
    <definedName name="item3.1">#REF!</definedName>
    <definedName name="item3.2" localSheetId="2">#REF!</definedName>
    <definedName name="item3.2" localSheetId="1">#REF!</definedName>
    <definedName name="item3.2" localSheetId="17">#REF!</definedName>
    <definedName name="item3.2">#REF!</definedName>
    <definedName name="item3.3" localSheetId="2">#REF!</definedName>
    <definedName name="item3.3" localSheetId="1">#REF!</definedName>
    <definedName name="item3.3" localSheetId="17">#REF!</definedName>
    <definedName name="item3.3">#REF!</definedName>
    <definedName name="item4.1" localSheetId="2">#REF!</definedName>
    <definedName name="item4.1" localSheetId="1">#REF!</definedName>
    <definedName name="item4.1" localSheetId="17">#REF!</definedName>
    <definedName name="item4.1">#REF!</definedName>
    <definedName name="item4.2" localSheetId="2">#REF!</definedName>
    <definedName name="item4.2" localSheetId="1">#REF!</definedName>
    <definedName name="item4.2" localSheetId="17">#REF!</definedName>
    <definedName name="item4.2">#REF!</definedName>
    <definedName name="item4.3" localSheetId="2">#REF!</definedName>
    <definedName name="item4.3" localSheetId="1">#REF!</definedName>
    <definedName name="item4.3" localSheetId="17">#REF!</definedName>
    <definedName name="item4.3">#REF!</definedName>
    <definedName name="item4.4" localSheetId="2">#REF!</definedName>
    <definedName name="item4.4" localSheetId="1">#REF!</definedName>
    <definedName name="item4.4" localSheetId="17">#REF!</definedName>
    <definedName name="item4.4">#REF!</definedName>
    <definedName name="item4.5" localSheetId="2">#REF!</definedName>
    <definedName name="item4.5" localSheetId="1">#REF!</definedName>
    <definedName name="item4.5" localSheetId="17">#REF!</definedName>
    <definedName name="item4.5">#REF!</definedName>
    <definedName name="item4.6" localSheetId="2">#REF!</definedName>
    <definedName name="item4.6" localSheetId="1">#REF!</definedName>
    <definedName name="item4.6" localSheetId="17">#REF!</definedName>
    <definedName name="item4.6">#REF!</definedName>
    <definedName name="item4.7" localSheetId="2">#REF!</definedName>
    <definedName name="item4.7" localSheetId="1">#REF!</definedName>
    <definedName name="item4.7" localSheetId="17">#REF!</definedName>
    <definedName name="item4.7">#REF!</definedName>
    <definedName name="item5.1" localSheetId="2">#REF!</definedName>
    <definedName name="item5.1" localSheetId="1">#REF!</definedName>
    <definedName name="item5.1" localSheetId="17">#REF!</definedName>
    <definedName name="item5.1">#REF!</definedName>
    <definedName name="item5.2" localSheetId="2">#REF!</definedName>
    <definedName name="item5.2" localSheetId="1">#REF!</definedName>
    <definedName name="item5.2" localSheetId="17">#REF!</definedName>
    <definedName name="item5.2">#REF!</definedName>
    <definedName name="item5.3" localSheetId="2">#REF!</definedName>
    <definedName name="item5.3" localSheetId="1">#REF!</definedName>
    <definedName name="item5.3" localSheetId="17">#REF!</definedName>
    <definedName name="item5.3">#REF!</definedName>
    <definedName name="item5.4" localSheetId="2">#REF!</definedName>
    <definedName name="item5.4" localSheetId="1">#REF!</definedName>
    <definedName name="item5.4" localSheetId="17">#REF!</definedName>
    <definedName name="item5.4">#REF!</definedName>
    <definedName name="item5.5" localSheetId="2">#REF!</definedName>
    <definedName name="item5.5" localSheetId="1">#REF!</definedName>
    <definedName name="item5.5" localSheetId="17">#REF!</definedName>
    <definedName name="item5.5">#REF!</definedName>
    <definedName name="item5.6" localSheetId="2">#REF!</definedName>
    <definedName name="item5.6" localSheetId="1">#REF!</definedName>
    <definedName name="item5.6" localSheetId="17">#REF!</definedName>
    <definedName name="item5.6">#REF!</definedName>
    <definedName name="item5.7" localSheetId="2">#REF!</definedName>
    <definedName name="item5.7" localSheetId="1">#REF!</definedName>
    <definedName name="item5.7" localSheetId="17">#REF!</definedName>
    <definedName name="item5.7">#REF!</definedName>
    <definedName name="item6.1" localSheetId="2">#REF!</definedName>
    <definedName name="item6.1" localSheetId="1">#REF!</definedName>
    <definedName name="item6.1" localSheetId="17">#REF!</definedName>
    <definedName name="item6.1">#REF!</definedName>
    <definedName name="item6.2" localSheetId="2">#REF!</definedName>
    <definedName name="item6.2" localSheetId="1">#REF!</definedName>
    <definedName name="item6.2" localSheetId="17">#REF!</definedName>
    <definedName name="item6.2">#REF!</definedName>
    <definedName name="item6.3" localSheetId="2">#REF!</definedName>
    <definedName name="item6.3" localSheetId="1">#REF!</definedName>
    <definedName name="item6.3" localSheetId="17">#REF!</definedName>
    <definedName name="item6.3">#REF!</definedName>
    <definedName name="item6.4" localSheetId="2">#REF!</definedName>
    <definedName name="item6.4" localSheetId="1">#REF!</definedName>
    <definedName name="item6.4" localSheetId="17">#REF!</definedName>
    <definedName name="item6.4">#REF!</definedName>
    <definedName name="item6.5" localSheetId="2">#REF!</definedName>
    <definedName name="item6.5" localSheetId="1">#REF!</definedName>
    <definedName name="item6.5" localSheetId="17">#REF!</definedName>
    <definedName name="item6.5">#REF!</definedName>
    <definedName name="item7.1" localSheetId="2">#REF!</definedName>
    <definedName name="item7.1" localSheetId="1">#REF!</definedName>
    <definedName name="item7.1" localSheetId="17">#REF!</definedName>
    <definedName name="item7.1">#REF!</definedName>
    <definedName name="item7.10" localSheetId="2">#REF!</definedName>
    <definedName name="item7.10" localSheetId="1">#REF!</definedName>
    <definedName name="item7.10" localSheetId="17">#REF!</definedName>
    <definedName name="item7.10">#REF!</definedName>
    <definedName name="item7.11" localSheetId="2">#REF!</definedName>
    <definedName name="item7.11" localSheetId="1">#REF!</definedName>
    <definedName name="item7.11" localSheetId="17">#REF!</definedName>
    <definedName name="item7.11">#REF!</definedName>
    <definedName name="item7.12" localSheetId="2">#REF!</definedName>
    <definedName name="item7.12" localSheetId="1">#REF!</definedName>
    <definedName name="item7.12" localSheetId="17">#REF!</definedName>
    <definedName name="item7.12">#REF!</definedName>
    <definedName name="item7.13" localSheetId="2">#REF!</definedName>
    <definedName name="item7.13" localSheetId="1">#REF!</definedName>
    <definedName name="item7.13" localSheetId="17">#REF!</definedName>
    <definedName name="item7.13">#REF!</definedName>
    <definedName name="item7.14" localSheetId="2">#REF!</definedName>
    <definedName name="item7.14" localSheetId="1">#REF!</definedName>
    <definedName name="item7.14" localSheetId="17">#REF!</definedName>
    <definedName name="item7.14">#REF!</definedName>
    <definedName name="item7.15" localSheetId="2">#REF!</definedName>
    <definedName name="item7.15" localSheetId="1">#REF!</definedName>
    <definedName name="item7.15" localSheetId="17">#REF!</definedName>
    <definedName name="item7.15">#REF!</definedName>
    <definedName name="item7.16" localSheetId="2">#REF!</definedName>
    <definedName name="item7.16" localSheetId="1">#REF!</definedName>
    <definedName name="item7.16" localSheetId="17">#REF!</definedName>
    <definedName name="item7.16">#REF!</definedName>
    <definedName name="item7.17" localSheetId="2">#REF!</definedName>
    <definedName name="item7.17" localSheetId="1">#REF!</definedName>
    <definedName name="item7.17" localSheetId="17">#REF!</definedName>
    <definedName name="item7.17">#REF!</definedName>
    <definedName name="item7.18" localSheetId="2">#REF!</definedName>
    <definedName name="item7.18" localSheetId="1">#REF!</definedName>
    <definedName name="item7.18" localSheetId="17">#REF!</definedName>
    <definedName name="item7.18">#REF!</definedName>
    <definedName name="item7.19" localSheetId="2">#REF!</definedName>
    <definedName name="item7.19" localSheetId="1">#REF!</definedName>
    <definedName name="item7.19" localSheetId="17">#REF!</definedName>
    <definedName name="item7.19">#REF!</definedName>
    <definedName name="item7.2" localSheetId="2">#REF!</definedName>
    <definedName name="item7.2" localSheetId="1">#REF!</definedName>
    <definedName name="item7.2" localSheetId="17">#REF!</definedName>
    <definedName name="item7.2">#REF!</definedName>
    <definedName name="item7.3" localSheetId="2">#REF!</definedName>
    <definedName name="item7.3" localSheetId="1">#REF!</definedName>
    <definedName name="item7.3" localSheetId="17">#REF!</definedName>
    <definedName name="item7.3">#REF!</definedName>
    <definedName name="item7.4" localSheetId="2">#REF!</definedName>
    <definedName name="item7.4" localSheetId="1">#REF!</definedName>
    <definedName name="item7.4" localSheetId="17">#REF!</definedName>
    <definedName name="item7.4">#REF!</definedName>
    <definedName name="item7.5" localSheetId="2">#REF!</definedName>
    <definedName name="item7.5" localSheetId="1">#REF!</definedName>
    <definedName name="item7.5" localSheetId="17">#REF!</definedName>
    <definedName name="item7.5">#REF!</definedName>
    <definedName name="item7.6" localSheetId="2">#REF!</definedName>
    <definedName name="item7.6" localSheetId="1">#REF!</definedName>
    <definedName name="item7.6" localSheetId="17">#REF!</definedName>
    <definedName name="item7.6">#REF!</definedName>
    <definedName name="item7.7" localSheetId="2">#REF!</definedName>
    <definedName name="item7.7" localSheetId="1">#REF!</definedName>
    <definedName name="item7.7" localSheetId="17">#REF!</definedName>
    <definedName name="item7.7">#REF!</definedName>
    <definedName name="item7.8" localSheetId="2">#REF!</definedName>
    <definedName name="item7.8" localSheetId="1">#REF!</definedName>
    <definedName name="item7.8" localSheetId="17">#REF!</definedName>
    <definedName name="item7.8">#REF!</definedName>
    <definedName name="item7.9" localSheetId="2">#REF!</definedName>
    <definedName name="item7.9" localSheetId="1">#REF!</definedName>
    <definedName name="item7.9" localSheetId="17">#REF!</definedName>
    <definedName name="item7.9">#REF!</definedName>
    <definedName name="item8.1" localSheetId="2">#REF!</definedName>
    <definedName name="item8.1" localSheetId="1">#REF!</definedName>
    <definedName name="item8.1" localSheetId="17">#REF!</definedName>
    <definedName name="item8.1">#REF!</definedName>
    <definedName name="item8.2" localSheetId="2">#REF!</definedName>
    <definedName name="item8.2" localSheetId="1">#REF!</definedName>
    <definedName name="item8.2" localSheetId="17">#REF!</definedName>
    <definedName name="item8.2">#REF!</definedName>
    <definedName name="item8.3" localSheetId="2">#REF!</definedName>
    <definedName name="item8.3" localSheetId="1">#REF!</definedName>
    <definedName name="item8.3" localSheetId="17">#REF!</definedName>
    <definedName name="item8.3">#REF!</definedName>
    <definedName name="item8.4" localSheetId="2">#REF!</definedName>
    <definedName name="item8.4" localSheetId="1">#REF!</definedName>
    <definedName name="item8.4" localSheetId="17">#REF!</definedName>
    <definedName name="item8.4">#REF!</definedName>
    <definedName name="item8.5" localSheetId="2">#REF!</definedName>
    <definedName name="item8.5" localSheetId="1">#REF!</definedName>
    <definedName name="item8.5" localSheetId="17">#REF!</definedName>
    <definedName name="item8.5">#REF!</definedName>
    <definedName name="item8.6" localSheetId="2">#REF!</definedName>
    <definedName name="item8.6" localSheetId="1">#REF!</definedName>
    <definedName name="item8.6" localSheetId="17">#REF!</definedName>
    <definedName name="item8.6">#REF!</definedName>
    <definedName name="item9.1" localSheetId="2">#REF!</definedName>
    <definedName name="item9.1" localSheetId="1">#REF!</definedName>
    <definedName name="item9.1" localSheetId="17">#REF!</definedName>
    <definedName name="item9.1">#REF!</definedName>
    <definedName name="item9.2" localSheetId="2">#REF!</definedName>
    <definedName name="item9.2" localSheetId="1">#REF!</definedName>
    <definedName name="item9.2" localSheetId="17">#REF!</definedName>
    <definedName name="item9.2">#REF!</definedName>
    <definedName name="item9.3" localSheetId="2">#REF!</definedName>
    <definedName name="item9.3" localSheetId="1">#REF!</definedName>
    <definedName name="item9.3" localSheetId="17">#REF!</definedName>
    <definedName name="item9.3">#REF!</definedName>
    <definedName name="item9.4" localSheetId="2">#REF!</definedName>
    <definedName name="item9.4" localSheetId="1">#REF!</definedName>
    <definedName name="item9.4" localSheetId="17">#REF!</definedName>
    <definedName name="item9.4">#REF!</definedName>
    <definedName name="item9.5" localSheetId="2">#REF!</definedName>
    <definedName name="item9.5" localSheetId="1">#REF!</definedName>
    <definedName name="item9.5" localSheetId="17">#REF!</definedName>
    <definedName name="item9.5">#REF!</definedName>
    <definedName name="item9.6" localSheetId="2">#REF!</definedName>
    <definedName name="item9.6" localSheetId="1">#REF!</definedName>
    <definedName name="item9.6" localSheetId="17">#REF!</definedName>
    <definedName name="item9.6">#REF!</definedName>
    <definedName name="item9.7" localSheetId="2">#REF!</definedName>
    <definedName name="item9.7" localSheetId="1">#REF!</definedName>
    <definedName name="item9.7" localSheetId="17">#REF!</definedName>
    <definedName name="item9.7">#REF!</definedName>
    <definedName name="item9.8" localSheetId="2">#REF!</definedName>
    <definedName name="item9.8" localSheetId="1">#REF!</definedName>
    <definedName name="item9.8" localSheetId="17">#REF!</definedName>
    <definedName name="item9.8">#REF!</definedName>
    <definedName name="item9.9" localSheetId="2">#REF!</definedName>
    <definedName name="item9.9" localSheetId="1">#REF!</definedName>
    <definedName name="item9.9" localSheetId="17">#REF!</definedName>
    <definedName name="item9.9">#REF!</definedName>
    <definedName name="Itens" localSheetId="15" hidden="1">#REF!</definedName>
    <definedName name="Itens" localSheetId="4" hidden="1">#REF!</definedName>
    <definedName name="Itens" localSheetId="9" hidden="1">#REF!</definedName>
    <definedName name="Itens" localSheetId="2" hidden="1">#REF!</definedName>
    <definedName name="Itens" localSheetId="1" hidden="1">#REF!</definedName>
    <definedName name="Itens" localSheetId="12" hidden="1">#REF!</definedName>
    <definedName name="Itens" localSheetId="17" hidden="1">#REF!</definedName>
    <definedName name="Itens" hidden="1">#REF!</definedName>
    <definedName name="itm10.2" localSheetId="2">#REF!</definedName>
    <definedName name="itm10.2" localSheetId="1">#REF!</definedName>
    <definedName name="itm10.2" localSheetId="17">#REF!</definedName>
    <definedName name="itm10.2">#REF!</definedName>
    <definedName name="JAZU" localSheetId="15">#REF!</definedName>
    <definedName name="JAZU" localSheetId="4">#REF!</definedName>
    <definedName name="JAZU" localSheetId="9">#REF!</definedName>
    <definedName name="JAZU" localSheetId="7">#REF!</definedName>
    <definedName name="JAZU" localSheetId="2">#REF!</definedName>
    <definedName name="JAZU" localSheetId="1">#REF!</definedName>
    <definedName name="JAZU" localSheetId="13">#REF!</definedName>
    <definedName name="JAZU" localSheetId="12">#REF!</definedName>
    <definedName name="JAZU" localSheetId="11">#REF!</definedName>
    <definedName name="JAZU" localSheetId="17">#REF!</definedName>
    <definedName name="JAZU">#REF!</definedName>
    <definedName name="Jd" localSheetId="2">#REF!</definedName>
    <definedName name="Jd" localSheetId="1">#REF!</definedName>
    <definedName name="Jd" localSheetId="17">#REF!</definedName>
    <definedName name="Jd">#REF!</definedName>
    <definedName name="JESUS" localSheetId="17">#REF!</definedName>
    <definedName name="JESUS">#REF!</definedName>
    <definedName name="JHJHJ" localSheetId="15" hidden="1">{#N/A,#N/A,FALSE,"MO (2)"}</definedName>
    <definedName name="JHJHJ" localSheetId="8" hidden="1">{#N/A,#N/A,FALSE,"MO (2)"}</definedName>
    <definedName name="JHJHJ" localSheetId="6" hidden="1">{#N/A,#N/A,FALSE,"MO (2)"}</definedName>
    <definedName name="JHJHJ" localSheetId="2" hidden="1">{#N/A,#N/A,FALSE,"MO (2)"}</definedName>
    <definedName name="JHJHJ" localSheetId="13" hidden="1">{#N/A,#N/A,FALSE,"MO (2)"}</definedName>
    <definedName name="JHJHJ" localSheetId="12" hidden="1">{#N/A,#N/A,FALSE,"MO (2)"}</definedName>
    <definedName name="JHJHJ" localSheetId="17" hidden="1">{#N/A,#N/A,FALSE,"MO (2)"}</definedName>
    <definedName name="JHJHJ" hidden="1">{#N/A,#N/A,FALSE,"MO (2)"}</definedName>
    <definedName name="jklfhsiure564y68909" localSheetId="2">#REF!</definedName>
    <definedName name="jklfhsiure564y68909" localSheetId="1">#REF!</definedName>
    <definedName name="jklfhsiure564y68909" localSheetId="17">#REF!</definedName>
    <definedName name="jklfhsiure564y68909">#REF!</definedName>
    <definedName name="Jm" localSheetId="2">#REF!</definedName>
    <definedName name="Jm" localSheetId="1">#REF!</definedName>
    <definedName name="Jm" localSheetId="17">#REF!</definedName>
    <definedName name="Jm">#REF!</definedName>
    <definedName name="jnxcfhnxc" localSheetId="15">#REF!</definedName>
    <definedName name="jnxcfhnxc" localSheetId="4">#REF!</definedName>
    <definedName name="jnxcfhnxc" localSheetId="9">#REF!</definedName>
    <definedName name="jnxcfhnxc" localSheetId="0">#REF!</definedName>
    <definedName name="jnxcfhnxc" localSheetId="7">#REF!</definedName>
    <definedName name="jnxcfhnxc" localSheetId="2">#REF!</definedName>
    <definedName name="jnxcfhnxc" localSheetId="1">#REF!</definedName>
    <definedName name="jnxcfhnxc" localSheetId="12">#REF!</definedName>
    <definedName name="jnxcfhnxc" localSheetId="11">#REF!</definedName>
    <definedName name="jnxcfhnxc" localSheetId="17">#REF!</definedName>
    <definedName name="jnxcfhnxc">#REF!</definedName>
    <definedName name="JOGADA" localSheetId="4">#REF!</definedName>
    <definedName name="JOGADA" localSheetId="2">#REF!</definedName>
    <definedName name="JOGADA" localSheetId="1">#REF!</definedName>
    <definedName name="JOGADA" localSheetId="17">#REF!</definedName>
    <definedName name="JOGADA">#REF!</definedName>
    <definedName name="JR_PAGE_ANCHOR_0_1" localSheetId="15">#REF!</definedName>
    <definedName name="JR_PAGE_ANCHOR_0_1" localSheetId="4">#REF!</definedName>
    <definedName name="JR_PAGE_ANCHOR_0_1" localSheetId="9">#REF!</definedName>
    <definedName name="JR_PAGE_ANCHOR_0_1" localSheetId="7">#REF!</definedName>
    <definedName name="JR_PAGE_ANCHOR_0_1" localSheetId="2">#REF!</definedName>
    <definedName name="JR_PAGE_ANCHOR_0_1" localSheetId="1">#REF!</definedName>
    <definedName name="JR_PAGE_ANCHOR_0_1" localSheetId="13">#REF!</definedName>
    <definedName name="JR_PAGE_ANCHOR_0_1" localSheetId="12">#REF!</definedName>
    <definedName name="JR_PAGE_ANCHOR_0_1" localSheetId="11">#REF!</definedName>
    <definedName name="JR_PAGE_ANCHOR_0_1" localSheetId="17">#REF!</definedName>
    <definedName name="JR_PAGE_ANCHOR_0_1">#REF!</definedName>
    <definedName name="JR_PAGE_ANCHOR_1_1" localSheetId="15">#REF!</definedName>
    <definedName name="JR_PAGE_ANCHOR_1_1" localSheetId="4">#REF!</definedName>
    <definedName name="JR_PAGE_ANCHOR_1_1" localSheetId="9">#REF!</definedName>
    <definedName name="JR_PAGE_ANCHOR_1_1" localSheetId="7">#REF!</definedName>
    <definedName name="JR_PAGE_ANCHOR_1_1" localSheetId="2">#REF!</definedName>
    <definedName name="JR_PAGE_ANCHOR_1_1" localSheetId="1">#REF!</definedName>
    <definedName name="JR_PAGE_ANCHOR_1_1" localSheetId="12">#REF!</definedName>
    <definedName name="JR_PAGE_ANCHOR_1_1" localSheetId="11">#REF!</definedName>
    <definedName name="JR_PAGE_ANCHOR_1_1" localSheetId="17">#REF!</definedName>
    <definedName name="JR_PAGE_ANCHOR_1_1">#REF!</definedName>
    <definedName name="JR_PAGE_ANCHOR_4_1" localSheetId="15">#REF!</definedName>
    <definedName name="JR_PAGE_ANCHOR_4_1" localSheetId="4">#REF!</definedName>
    <definedName name="JR_PAGE_ANCHOR_4_1" localSheetId="9">#REF!</definedName>
    <definedName name="JR_PAGE_ANCHOR_4_1" localSheetId="7">#REF!</definedName>
    <definedName name="JR_PAGE_ANCHOR_4_1" localSheetId="2">#REF!</definedName>
    <definedName name="JR_PAGE_ANCHOR_4_1" localSheetId="1">#REF!</definedName>
    <definedName name="JR_PAGE_ANCHOR_4_1" localSheetId="12">#REF!</definedName>
    <definedName name="JR_PAGE_ANCHOR_4_1" localSheetId="11">#REF!</definedName>
    <definedName name="JR_PAGE_ANCHOR_4_1" localSheetId="17">#REF!</definedName>
    <definedName name="JR_PAGE_ANCHOR_4_1">#REF!</definedName>
    <definedName name="JR_PAGE_ANCHOR_6_1" localSheetId="15">#REF!</definedName>
    <definedName name="JR_PAGE_ANCHOR_6_1" localSheetId="4">#REF!</definedName>
    <definedName name="JR_PAGE_ANCHOR_6_1" localSheetId="9">#REF!</definedName>
    <definedName name="JR_PAGE_ANCHOR_6_1" localSheetId="2">#REF!</definedName>
    <definedName name="JR_PAGE_ANCHOR_6_1" localSheetId="1">#REF!</definedName>
    <definedName name="JR_PAGE_ANCHOR_6_1" localSheetId="12">#REF!</definedName>
    <definedName name="JR_PAGE_ANCHOR_6_1" localSheetId="17">#REF!</definedName>
    <definedName name="JR_PAGE_ANCHOR_6_1">#REF!</definedName>
    <definedName name="JUROS" localSheetId="15">#REF!</definedName>
    <definedName name="JUROS" localSheetId="4">#REF!</definedName>
    <definedName name="JUROS" localSheetId="2">#REF!</definedName>
    <definedName name="JUROS" localSheetId="1">#REF!</definedName>
    <definedName name="JUROS" localSheetId="12">#REF!</definedName>
    <definedName name="JUROS" localSheetId="11">#REF!</definedName>
    <definedName name="JUROS" localSheetId="17">#REF!</definedName>
    <definedName name="JUROS">#REF!</definedName>
    <definedName name="Kincc" localSheetId="15">#REF!</definedName>
    <definedName name="Kincc" localSheetId="4">#REF!</definedName>
    <definedName name="Kincc" localSheetId="9">#REF!</definedName>
    <definedName name="Kincc" localSheetId="0">#REF!</definedName>
    <definedName name="Kincc" localSheetId="7">#REF!</definedName>
    <definedName name="Kincc" localSheetId="2">#REF!</definedName>
    <definedName name="Kincc" localSheetId="1">#REF!</definedName>
    <definedName name="Kincc" localSheetId="12">#REF!</definedName>
    <definedName name="Kincc" localSheetId="11">#REF!</definedName>
    <definedName name="Kincc" localSheetId="17">#REF!</definedName>
    <definedName name="Kincc">#REF!</definedName>
    <definedName name="KLAGHOLGA" localSheetId="2">#REF!</definedName>
    <definedName name="KLAGHOLGA" localSheetId="1">#REF!</definedName>
    <definedName name="KLAGHOLGA" localSheetId="17">#REF!</definedName>
    <definedName name="KLAGHOLGA">#REF!</definedName>
    <definedName name="Koae" localSheetId="15">#REF!</definedName>
    <definedName name="Koae" localSheetId="4">#REF!</definedName>
    <definedName name="Koae" localSheetId="9">#REF!</definedName>
    <definedName name="Koae" localSheetId="0">#REF!</definedName>
    <definedName name="Koae" localSheetId="2">#REF!</definedName>
    <definedName name="Koae" localSheetId="1">#REF!</definedName>
    <definedName name="Koae" localSheetId="12">#REF!</definedName>
    <definedName name="Koae" localSheetId="17">#REF!</definedName>
    <definedName name="Koae">#REF!</definedName>
    <definedName name="Kp" localSheetId="15">#REF!</definedName>
    <definedName name="Kp" localSheetId="4">#REF!</definedName>
    <definedName name="Kp" localSheetId="9">#REF!</definedName>
    <definedName name="Kp" localSheetId="0">#REF!</definedName>
    <definedName name="Kp" localSheetId="2">#REF!</definedName>
    <definedName name="Kp" localSheetId="1">#REF!</definedName>
    <definedName name="Kp" localSheetId="12">#REF!</definedName>
    <definedName name="Kp" localSheetId="17">#REF!</definedName>
    <definedName name="Kp">#REF!</definedName>
    <definedName name="Kt" localSheetId="15">#REF!</definedName>
    <definedName name="Kt" localSheetId="4">#REF!</definedName>
    <definedName name="Kt" localSheetId="9">#REF!</definedName>
    <definedName name="Kt" localSheetId="0">#REF!</definedName>
    <definedName name="Kt" localSheetId="2">#REF!</definedName>
    <definedName name="Kt" localSheetId="1">#REF!</definedName>
    <definedName name="Kt" localSheetId="12">#REF!</definedName>
    <definedName name="Kt" localSheetId="17">#REF!</definedName>
    <definedName name="Kt">#REF!</definedName>
    <definedName name="KTT" localSheetId="15">#REF!</definedName>
    <definedName name="KTT" localSheetId="4">#REF!</definedName>
    <definedName name="KTT" localSheetId="9">#REF!</definedName>
    <definedName name="KTT" localSheetId="0">#REF!</definedName>
    <definedName name="KTT" localSheetId="2">#REF!</definedName>
    <definedName name="KTT" localSheetId="1">#REF!</definedName>
    <definedName name="KTT" localSheetId="12">#REF!</definedName>
    <definedName name="KTT" localSheetId="17">#REF!</definedName>
    <definedName name="KTT">#REF!</definedName>
    <definedName name="LADO" localSheetId="15">#REF!</definedName>
    <definedName name="LADO" localSheetId="4">#REF!</definedName>
    <definedName name="LADO" localSheetId="9">#REF!</definedName>
    <definedName name="LADO" localSheetId="0">#REF!</definedName>
    <definedName name="LADO" localSheetId="7">#REF!</definedName>
    <definedName name="LADO" localSheetId="2">#REF!</definedName>
    <definedName name="LADO" localSheetId="1">#REF!</definedName>
    <definedName name="LADO" localSheetId="12">#REF!</definedName>
    <definedName name="LADO" localSheetId="11">#REF!</definedName>
    <definedName name="LADO" localSheetId="17">#REF!</definedName>
    <definedName name="LADO">#REF!</definedName>
    <definedName name="LAG" localSheetId="15">#REF!</definedName>
    <definedName name="LAG" localSheetId="4">#REF!</definedName>
    <definedName name="LAG" localSheetId="9">#REF!</definedName>
    <definedName name="LAG" localSheetId="0">#REF!</definedName>
    <definedName name="LAG" localSheetId="7">#REF!</definedName>
    <definedName name="LAG" localSheetId="2">#REF!</definedName>
    <definedName name="LAG" localSheetId="1">#REF!</definedName>
    <definedName name="LAG" localSheetId="12">#REF!</definedName>
    <definedName name="LAG" localSheetId="11">#REF!</definedName>
    <definedName name="LAG" localSheetId="17">#REF!</definedName>
    <definedName name="LAG">#REF!</definedName>
    <definedName name="LARG" localSheetId="15">#REF!</definedName>
    <definedName name="LARG" localSheetId="4">#REF!</definedName>
    <definedName name="LARG" localSheetId="9">#REF!</definedName>
    <definedName name="LARG" localSheetId="0">#REF!</definedName>
    <definedName name="LARG" localSheetId="7">#REF!</definedName>
    <definedName name="LARG" localSheetId="2">#REF!</definedName>
    <definedName name="LARG" localSheetId="1">#REF!</definedName>
    <definedName name="LARG" localSheetId="12">#REF!</definedName>
    <definedName name="LARG" localSheetId="11">#REF!</definedName>
    <definedName name="LARG" localSheetId="17">#REF!</definedName>
    <definedName name="LARG">#REF!</definedName>
    <definedName name="LB" localSheetId="4">#REF!</definedName>
    <definedName name="LB" localSheetId="2">#REF!</definedName>
    <definedName name="LB" localSheetId="1">#REF!</definedName>
    <definedName name="LB" localSheetId="17">#REF!</definedName>
    <definedName name="LB">#REF!</definedName>
    <definedName name="LD" localSheetId="15">#REF!</definedName>
    <definedName name="LD" localSheetId="4">#REF!</definedName>
    <definedName name="LD" localSheetId="9">#REF!</definedName>
    <definedName name="LD" localSheetId="0">#REF!</definedName>
    <definedName name="LD" localSheetId="7">#REF!</definedName>
    <definedName name="LD" localSheetId="2">#REF!</definedName>
    <definedName name="LD" localSheetId="1">#REF!</definedName>
    <definedName name="LD" localSheetId="12">#REF!</definedName>
    <definedName name="LD" localSheetId="11">#REF!</definedName>
    <definedName name="LD" localSheetId="17">#REF!</definedName>
    <definedName name="LD">#REF!</definedName>
    <definedName name="LDA" localSheetId="4">#REF!</definedName>
    <definedName name="LDA" localSheetId="2">#REF!</definedName>
    <definedName name="LDA" localSheetId="1">#REF!</definedName>
    <definedName name="LDA" localSheetId="17">#REF!</definedName>
    <definedName name="LDA">#REF!</definedName>
    <definedName name="LEIVAS" localSheetId="4">#REF!</definedName>
    <definedName name="LEIVAS" localSheetId="2">#REF!</definedName>
    <definedName name="LEIVAS" localSheetId="1">#REF!</definedName>
    <definedName name="LEIVAS" localSheetId="17">#REF!</definedName>
    <definedName name="LEIVAS">#REF!</definedName>
    <definedName name="LI" localSheetId="2">#REF!</definedName>
    <definedName name="LI" localSheetId="1">#REF!</definedName>
    <definedName name="LI" localSheetId="17">#REF!</definedName>
    <definedName name="LI">#REF!</definedName>
    <definedName name="LILASDRENA" localSheetId="15">#REF!</definedName>
    <definedName name="LILASDRENA" localSheetId="4">#REF!</definedName>
    <definedName name="LILASDRENA" localSheetId="9">#REF!</definedName>
    <definedName name="LILASDRENA" localSheetId="7">#REF!</definedName>
    <definedName name="LILASDRENA" localSheetId="2">#REF!</definedName>
    <definedName name="LILASDRENA" localSheetId="1">#REF!</definedName>
    <definedName name="LILASDRENA" localSheetId="12">#REF!</definedName>
    <definedName name="LILASDRENA" localSheetId="11">#REF!</definedName>
    <definedName name="LILASDRENA" localSheetId="17">#REF!</definedName>
    <definedName name="LILASDRENA">#REF!</definedName>
    <definedName name="LIMPBUE" localSheetId="15">#REF!</definedName>
    <definedName name="LIMPBUE" localSheetId="4">#REF!</definedName>
    <definedName name="LIMPBUE" localSheetId="9">#REF!</definedName>
    <definedName name="LIMPBUE" localSheetId="0">#REF!</definedName>
    <definedName name="LIMPBUE" localSheetId="2">#REF!</definedName>
    <definedName name="LIMPBUE" localSheetId="1">#REF!</definedName>
    <definedName name="LIMPBUE" localSheetId="12">#REF!</definedName>
    <definedName name="LIMPBUE" localSheetId="17">#REF!</definedName>
    <definedName name="LIMPBUE">#REF!</definedName>
    <definedName name="LIMPEZADESCIDA" localSheetId="15">#REF!</definedName>
    <definedName name="LIMPEZADESCIDA" localSheetId="4">#REF!</definedName>
    <definedName name="LIMPEZADESCIDA" localSheetId="9">#REF!</definedName>
    <definedName name="LIMPEZADESCIDA" localSheetId="0">#REF!</definedName>
    <definedName name="LIMPEZADESCIDA" localSheetId="2">#REF!</definedName>
    <definedName name="LIMPEZADESCIDA" localSheetId="1">#REF!</definedName>
    <definedName name="LIMPEZADESCIDA" localSheetId="12">#REF!</definedName>
    <definedName name="LIMPEZADESCIDA" localSheetId="17">#REF!</definedName>
    <definedName name="LIMPEZADESCIDA">#REF!</definedName>
    <definedName name="LIMPEZAMEIOFIO" localSheetId="15">#REF!</definedName>
    <definedName name="LIMPEZAMEIOFIO" localSheetId="4">#REF!</definedName>
    <definedName name="LIMPEZAMEIOFIO" localSheetId="9">#REF!</definedName>
    <definedName name="LIMPEZAMEIOFIO" localSheetId="0">#REF!</definedName>
    <definedName name="LIMPEZAMEIOFIO" localSheetId="2">#REF!</definedName>
    <definedName name="LIMPEZAMEIOFIO" localSheetId="1">#REF!</definedName>
    <definedName name="LIMPEZAMEIOFIO" localSheetId="12">#REF!</definedName>
    <definedName name="LIMPEZAMEIOFIO" localSheetId="17">#REF!</definedName>
    <definedName name="LIMPEZAMEIOFIO">#REF!</definedName>
    <definedName name="LIMPEZAPONTE" localSheetId="15">#REF!</definedName>
    <definedName name="LIMPEZAPONTE" localSheetId="4">#REF!</definedName>
    <definedName name="LIMPEZAPONTE" localSheetId="9">#REF!</definedName>
    <definedName name="LIMPEZAPONTE" localSheetId="0">#REF!</definedName>
    <definedName name="LIMPEZAPONTE" localSheetId="2">#REF!</definedName>
    <definedName name="LIMPEZAPONTE" localSheetId="1">#REF!</definedName>
    <definedName name="LIMPEZAPONTE" localSheetId="12">#REF!</definedName>
    <definedName name="LIMPEZAPONTE" localSheetId="17">#REF!</definedName>
    <definedName name="LIMPEZAPONTE">#REF!</definedName>
    <definedName name="LIMPVALA" localSheetId="15">#REF!</definedName>
    <definedName name="LIMPVALA" localSheetId="4">#REF!</definedName>
    <definedName name="LIMPVALA" localSheetId="9">#REF!</definedName>
    <definedName name="LIMPVALA" localSheetId="0">#REF!</definedName>
    <definedName name="LIMPVALA" localSheetId="2">#REF!</definedName>
    <definedName name="LIMPVALA" localSheetId="1">#REF!</definedName>
    <definedName name="LIMPVALA" localSheetId="12">#REF!</definedName>
    <definedName name="LIMPVALA" localSheetId="17">#REF!</definedName>
    <definedName name="LIMPVALA">#REF!</definedName>
    <definedName name="loc" localSheetId="15">#REF!</definedName>
    <definedName name="loc" localSheetId="4">#REF!</definedName>
    <definedName name="loc" localSheetId="2">#REF!</definedName>
    <definedName name="loc" localSheetId="1">#REF!</definedName>
    <definedName name="loc" localSheetId="12">#REF!</definedName>
    <definedName name="loc" localSheetId="11">#REF!</definedName>
    <definedName name="loc" localSheetId="17">#REF!</definedName>
    <definedName name="loc">#REF!</definedName>
    <definedName name="LOCAL" localSheetId="15">#REF!</definedName>
    <definedName name="LOCAL" localSheetId="4">#REF!</definedName>
    <definedName name="LOCAL" localSheetId="9">#REF!</definedName>
    <definedName name="Local" localSheetId="0" hidden="1">""</definedName>
    <definedName name="LOCAL" localSheetId="7">#REF!</definedName>
    <definedName name="LOCAL" localSheetId="2">#REF!</definedName>
    <definedName name="LOCAL" localSheetId="1">#REF!</definedName>
    <definedName name="LOCAL" localSheetId="13">#REF!</definedName>
    <definedName name="LOCAL" localSheetId="12">#REF!</definedName>
    <definedName name="LOCAL" localSheetId="11">#REF!</definedName>
    <definedName name="LOCAL" localSheetId="17">#REF!</definedName>
    <definedName name="LOCAL">#REF!</definedName>
    <definedName name="LOCALE1" localSheetId="17">#REF!</definedName>
    <definedName name="LOCALE1">#REF!</definedName>
    <definedName name="LOLO" localSheetId="4">#REF!</definedName>
    <definedName name="LOLO" localSheetId="9">#REF!</definedName>
    <definedName name="LOLO" localSheetId="2">#REF!</definedName>
    <definedName name="LOLO" localSheetId="1">#REF!</definedName>
    <definedName name="LOLO" localSheetId="17">#REF!</definedName>
    <definedName name="LOLO">#REF!</definedName>
    <definedName name="LOTE" localSheetId="15">#REF!</definedName>
    <definedName name="LOTE" localSheetId="4">#REF!</definedName>
    <definedName name="LOTE" localSheetId="9">#REF!</definedName>
    <definedName name="LOTE" localSheetId="7">#REF!</definedName>
    <definedName name="LOTE" localSheetId="2">#REF!</definedName>
    <definedName name="LOTE" localSheetId="1">#REF!</definedName>
    <definedName name="LOTE" localSheetId="13">#REF!</definedName>
    <definedName name="LOTE" localSheetId="12">#REF!</definedName>
    <definedName name="LOTE" localSheetId="11">#REF!</definedName>
    <definedName name="LOTE" localSheetId="17">#REF!</definedName>
    <definedName name="LOTE">#REF!</definedName>
    <definedName name="LP" localSheetId="4">#REF!</definedName>
    <definedName name="LP" localSheetId="2">#REF!</definedName>
    <definedName name="LP" localSheetId="1">#REF!</definedName>
    <definedName name="LP" localSheetId="17">#REF!</definedName>
    <definedName name="LP">#REF!</definedName>
    <definedName name="LPS" localSheetId="4">#REF!</definedName>
    <definedName name="LPS" localSheetId="2">#REF!</definedName>
    <definedName name="LPS" localSheetId="1">#REF!</definedName>
    <definedName name="LPS" localSheetId="17">#REF!</definedName>
    <definedName name="LPS">#REF!</definedName>
    <definedName name="LS">"S"</definedName>
    <definedName name="LSMF" localSheetId="4">#REF!</definedName>
    <definedName name="LSMF" localSheetId="2">#REF!</definedName>
    <definedName name="LSMF" localSheetId="1">#REF!</definedName>
    <definedName name="LSMF" localSheetId="17">#REF!</definedName>
    <definedName name="LSMF">#REF!</definedName>
    <definedName name="Lucro" localSheetId="2">#REF!</definedName>
    <definedName name="Lucro" localSheetId="1">#REF!</definedName>
    <definedName name="Lucro" localSheetId="17">#REF!</definedName>
    <definedName name="Lucro">#REF!</definedName>
    <definedName name="LVC" localSheetId="4">#REF!</definedName>
    <definedName name="LVC" localSheetId="2">#REF!</definedName>
    <definedName name="LVC" localSheetId="1">#REF!</definedName>
    <definedName name="LVC" localSheetId="17">#REF!</definedName>
    <definedName name="LVC">#REF!</definedName>
    <definedName name="m" localSheetId="2">#REF!</definedName>
    <definedName name="m" localSheetId="1">#REF!</definedName>
    <definedName name="m" localSheetId="17">#REF!</definedName>
    <definedName name="m">#REF!</definedName>
    <definedName name="MACIO" localSheetId="2">#REF!</definedName>
    <definedName name="MACIO" localSheetId="1">#REF!</definedName>
    <definedName name="MACIO" localSheetId="17">#REF!</definedName>
    <definedName name="MACIO">#REF!</definedName>
    <definedName name="maconha" localSheetId="2">#REF!</definedName>
    <definedName name="maconha" localSheetId="1">#REF!</definedName>
    <definedName name="maconha" localSheetId="17">#REF!</definedName>
    <definedName name="maconha">#REF!</definedName>
    <definedName name="MACONHA2" localSheetId="2">#REF!</definedName>
    <definedName name="MACONHA2" localSheetId="1">#REF!</definedName>
    <definedName name="MACONHA2" localSheetId="17">#REF!</definedName>
    <definedName name="MACONHA2">#REF!</definedName>
    <definedName name="MANCANT" localSheetId="15">#REF!</definedName>
    <definedName name="MANCANT" localSheetId="4">#REF!</definedName>
    <definedName name="MANCANT" localSheetId="9">#REF!</definedName>
    <definedName name="MANCANT" localSheetId="7">#REF!</definedName>
    <definedName name="MANCANT" localSheetId="2">#REF!</definedName>
    <definedName name="MANCANT" localSheetId="1">#REF!</definedName>
    <definedName name="MANCANT" localSheetId="13">#REF!</definedName>
    <definedName name="MANCANT" localSheetId="12">#REF!</definedName>
    <definedName name="MANCANT" localSheetId="11">#REF!</definedName>
    <definedName name="MANCANT" localSheetId="17">#REF!</definedName>
    <definedName name="MANCANT">#REF!</definedName>
    <definedName name="MAR" localSheetId="17">#REF!</definedName>
    <definedName name="MAR">#REF!</definedName>
    <definedName name="Marcio" localSheetId="2">#REF!</definedName>
    <definedName name="Marcio" localSheetId="1">#REF!</definedName>
    <definedName name="Marcio" localSheetId="17">#REF!</definedName>
    <definedName name="Marcio">#REF!</definedName>
    <definedName name="mario" localSheetId="2">#REF!</definedName>
    <definedName name="mario" localSheetId="1">#REF!</definedName>
    <definedName name="mario" localSheetId="17">#REF!</definedName>
    <definedName name="mario">#REF!</definedName>
    <definedName name="Max" localSheetId="9" hidden="1">COUNTIF(#REF!,"&lt;&gt;0")+3</definedName>
    <definedName name="Max" hidden="1">COUNTIF(#REF!,"&lt;&gt;0")+3</definedName>
    <definedName name="MBBET" localSheetId="15">#REF!</definedName>
    <definedName name="MBBET" localSheetId="4">#REF!</definedName>
    <definedName name="MBBET" localSheetId="9">#REF!</definedName>
    <definedName name="MBBET" localSheetId="0">#REF!</definedName>
    <definedName name="MBBET" localSheetId="7">#REF!</definedName>
    <definedName name="MBBET" localSheetId="2">#REF!</definedName>
    <definedName name="MBBET" localSheetId="1">#REF!</definedName>
    <definedName name="MBBET" localSheetId="12">#REF!</definedName>
    <definedName name="MBBET" localSheetId="11">#REF!</definedName>
    <definedName name="MBBET" localSheetId="17">#REF!</definedName>
    <definedName name="MBBET">#REF!</definedName>
    <definedName name="MBUF" localSheetId="15">#REF!</definedName>
    <definedName name="MBUF" localSheetId="4">#REF!</definedName>
    <definedName name="MBUF" localSheetId="9">#REF!</definedName>
    <definedName name="MBUF" localSheetId="0">#REF!</definedName>
    <definedName name="MBUF" localSheetId="7">#REF!</definedName>
    <definedName name="MBUF" localSheetId="2">#REF!</definedName>
    <definedName name="MBUF" localSheetId="1">#REF!</definedName>
    <definedName name="MBUF" localSheetId="13">#REF!</definedName>
    <definedName name="MBUF" localSheetId="12">#REF!</definedName>
    <definedName name="MBUF" localSheetId="11">#REF!</definedName>
    <definedName name="MBUF" localSheetId="17">#REF!</definedName>
    <definedName name="MBUF">#REF!</definedName>
    <definedName name="MBUFMANUAL" localSheetId="15">#REF!</definedName>
    <definedName name="MBUFMANUAL" localSheetId="4">#REF!</definedName>
    <definedName name="MBUFMANUAL" localSheetId="9">#REF!</definedName>
    <definedName name="MBUFMANUAL" localSheetId="0">#REF!</definedName>
    <definedName name="MBUFMANUAL" localSheetId="7">#REF!</definedName>
    <definedName name="MBUFMANUAL" localSheetId="2">#REF!</definedName>
    <definedName name="MBUFMANUAL" localSheetId="1">#REF!</definedName>
    <definedName name="MBUFMANUAL" localSheetId="12">#REF!</definedName>
    <definedName name="MBUFMANUAL" localSheetId="11">#REF!</definedName>
    <definedName name="MBUFMANUAL" localSheetId="17">#REF!</definedName>
    <definedName name="MBUFMANUAL">#REF!</definedName>
    <definedName name="MBUQ" localSheetId="15">#REF!</definedName>
    <definedName name="MBUQ" localSheetId="4">#REF!</definedName>
    <definedName name="MBUQ" localSheetId="9">#REF!</definedName>
    <definedName name="MBUQ" localSheetId="0">#REF!</definedName>
    <definedName name="MBUQ" localSheetId="7">#REF!</definedName>
    <definedName name="MBUQ" localSheetId="2">#REF!</definedName>
    <definedName name="MBUQ" localSheetId="1">#REF!</definedName>
    <definedName name="MBUQ" localSheetId="13">#REF!</definedName>
    <definedName name="MBUQ" localSheetId="12">#REF!</definedName>
    <definedName name="MBUQ" localSheetId="11">#REF!</definedName>
    <definedName name="MBUQ" localSheetId="17">#REF!</definedName>
    <definedName name="MBUQ">#REF!</definedName>
    <definedName name="Medição" localSheetId="15">#REF!</definedName>
    <definedName name="Medição" localSheetId="4">#REF!</definedName>
    <definedName name="Medição" localSheetId="9">#REF!</definedName>
    <definedName name="Medição" localSheetId="7">#REF!</definedName>
    <definedName name="Medição" localSheetId="2">#REF!</definedName>
    <definedName name="Medição" localSheetId="1">#REF!</definedName>
    <definedName name="Medição" localSheetId="12">#REF!</definedName>
    <definedName name="Medição" localSheetId="11">#REF!</definedName>
    <definedName name="Medição" localSheetId="17">#REF!</definedName>
    <definedName name="Medição">#REF!</definedName>
    <definedName name="MEDIÇÃO1" localSheetId="15">#REF!</definedName>
    <definedName name="MEDIÇÃO1" localSheetId="4">#REF!</definedName>
    <definedName name="MEDIÇÃO1" localSheetId="9">#REF!</definedName>
    <definedName name="MEDIÇÃO1" localSheetId="0">#REF!</definedName>
    <definedName name="MEDIÇÃO1" localSheetId="7">#REF!</definedName>
    <definedName name="MEDIÇÃO1" localSheetId="2">#REF!</definedName>
    <definedName name="MEDIÇÃO1" localSheetId="1">#REF!</definedName>
    <definedName name="MEDIÇÃO1" localSheetId="13">#REF!</definedName>
    <definedName name="MEDIÇÃO1" localSheetId="12">#REF!</definedName>
    <definedName name="MEDIÇÃO1" localSheetId="11">#REF!</definedName>
    <definedName name="MEDIÇÃO1" localSheetId="17">#REF!</definedName>
    <definedName name="MEDIÇÃO1">#REF!</definedName>
    <definedName name="medir" localSheetId="4">#REF!</definedName>
    <definedName name="medir" localSheetId="2">#REF!</definedName>
    <definedName name="medir" localSheetId="1">#REF!</definedName>
    <definedName name="medir" localSheetId="17">#REF!</definedName>
    <definedName name="medir">#REF!</definedName>
    <definedName name="MEIO" localSheetId="15">#REF!</definedName>
    <definedName name="MEIO" localSheetId="4">#REF!</definedName>
    <definedName name="MEIO" localSheetId="9">#REF!</definedName>
    <definedName name="MEIO" localSheetId="7">#REF!</definedName>
    <definedName name="MEIO" localSheetId="2">#REF!</definedName>
    <definedName name="MEIO" localSheetId="1">#REF!</definedName>
    <definedName name="MEIO" localSheetId="12">#REF!</definedName>
    <definedName name="MEIO" localSheetId="11">#REF!</definedName>
    <definedName name="MEIO" localSheetId="17">#REF!</definedName>
    <definedName name="MEIO">#REF!</definedName>
    <definedName name="MEMORIA" localSheetId="2">#REF!</definedName>
    <definedName name="MEMORIA" localSheetId="1">#REF!</definedName>
    <definedName name="MEMORIA" localSheetId="17">#REF!</definedName>
    <definedName name="MEMORIA">#REF!</definedName>
    <definedName name="MERCADOSEL" localSheetId="15">#REF!</definedName>
    <definedName name="MERCADOSEL" localSheetId="4">#REF!</definedName>
    <definedName name="MERCADOSEL" localSheetId="9">#REF!</definedName>
    <definedName name="MERCADOSEL" localSheetId="0">#REF!</definedName>
    <definedName name="MERCADOSEL" localSheetId="2">#REF!</definedName>
    <definedName name="MERCADOSEL" localSheetId="1">#REF!</definedName>
    <definedName name="MERCADOSEL" localSheetId="12">#REF!</definedName>
    <definedName name="MERCADOSEL" localSheetId="17">#REF!</definedName>
    <definedName name="MERCADOSEL">#REF!</definedName>
    <definedName name="MERCADOSELF" localSheetId="15">#REF!</definedName>
    <definedName name="MERCADOSELF" localSheetId="4">#REF!</definedName>
    <definedName name="MERCADOSELF" localSheetId="9">#REF!</definedName>
    <definedName name="MERCADOSELF" localSheetId="0">#REF!</definedName>
    <definedName name="MERCADOSELF" localSheetId="2">#REF!</definedName>
    <definedName name="MERCADOSELF" localSheetId="1">#REF!</definedName>
    <definedName name="MERCADOSELF" localSheetId="12">#REF!</definedName>
    <definedName name="MERCADOSELF" localSheetId="17">#REF!</definedName>
    <definedName name="MERCADOSELF">#REF!</definedName>
    <definedName name="MERDA" localSheetId="15">'CALÇADA E ACESS. - JDML'!MERDA</definedName>
    <definedName name="MERDA" localSheetId="4">'DEMOLIÇÃO - JDML'!MERDA</definedName>
    <definedName name="MERDA" localSheetId="9">'DISP. DRENAGEM - JDML'!MERDA</definedName>
    <definedName name="MERDA" localSheetId="0">DMT!MERDA</definedName>
    <definedName name="MERDA" localSheetId="8">#N/A</definedName>
    <definedName name="MERDA" localSheetId="7">'DRENAGEM - JDML'!MERDA</definedName>
    <definedName name="MERDA" localSheetId="6">#N/A</definedName>
    <definedName name="MERDA" localSheetId="2">GRELHA!MERDA</definedName>
    <definedName name="MERDA" localSheetId="1">'MAT BET'!MERDA</definedName>
    <definedName name="MERDA" localSheetId="13">'PAVIMENTAÇÃO - JDML'!MERDA</definedName>
    <definedName name="MERDA" localSheetId="3">'PRELIMINARES - JDML+JDA-E2'!MERDA</definedName>
    <definedName name="MERDA" localSheetId="12">'RECAPEAMENTO - JDML'!MERDA</definedName>
    <definedName name="MERDA" localSheetId="11">'REMENDO - JDML'!MERDA</definedName>
    <definedName name="MERDA" localSheetId="17">'SINALIZAÇÃO - JDML'!MERDA</definedName>
    <definedName name="MERDA">[0]!MERDA</definedName>
    <definedName name="MES" localSheetId="15">#REF!</definedName>
    <definedName name="MES" localSheetId="4">#REF!</definedName>
    <definedName name="MES" localSheetId="9">#REF!</definedName>
    <definedName name="MES" localSheetId="0">#REF!</definedName>
    <definedName name="MES" localSheetId="7">#REF!</definedName>
    <definedName name="MES" localSheetId="2">#REF!</definedName>
    <definedName name="MES" localSheetId="1">#REF!</definedName>
    <definedName name="MES" localSheetId="13">#REF!</definedName>
    <definedName name="MES" localSheetId="12">#REF!</definedName>
    <definedName name="MES" localSheetId="11">#REF!</definedName>
    <definedName name="MES" localSheetId="17">#REF!</definedName>
    <definedName name="MES">#REF!</definedName>
    <definedName name="MESTEXTO" localSheetId="15">#REF!</definedName>
    <definedName name="MESTEXTO" localSheetId="4">#REF!</definedName>
    <definedName name="MESTEXTO" localSheetId="9">#REF!</definedName>
    <definedName name="MESTEXTO" localSheetId="7">#REF!</definedName>
    <definedName name="MESTEXTO" localSheetId="2">#REF!</definedName>
    <definedName name="MESTEXTO" localSheetId="1">#REF!</definedName>
    <definedName name="MESTEXTO" localSheetId="13">#REF!</definedName>
    <definedName name="MESTEXTO" localSheetId="12">#REF!</definedName>
    <definedName name="MESTEXTO" localSheetId="11">#REF!</definedName>
    <definedName name="MESTEXTO" localSheetId="17">#REF!</definedName>
    <definedName name="MESTEXTO">#REF!</definedName>
    <definedName name="MFC" localSheetId="15">#REF!</definedName>
    <definedName name="MFC" localSheetId="4">#REF!</definedName>
    <definedName name="MFC" localSheetId="9">#REF!</definedName>
    <definedName name="MFC" localSheetId="7">#REF!</definedName>
    <definedName name="MFC" localSheetId="2">#REF!</definedName>
    <definedName name="MFC" localSheetId="1">#REF!</definedName>
    <definedName name="MFC" localSheetId="13">#REF!</definedName>
    <definedName name="MFC" localSheetId="12">#REF!</definedName>
    <definedName name="MFC" localSheetId="11">#REF!</definedName>
    <definedName name="MFC" localSheetId="17">#REF!</definedName>
    <definedName name="MFC">#REF!</definedName>
    <definedName name="MICHAEL" localSheetId="2">#REF!</definedName>
    <definedName name="MICHAEL" localSheetId="1">#REF!</definedName>
    <definedName name="MICHAEL" localSheetId="17">#REF!</definedName>
    <definedName name="MICHAEL">#REF!</definedName>
    <definedName name="MICRO" localSheetId="15">#REF!</definedName>
    <definedName name="MICRO" localSheetId="4">#REF!</definedName>
    <definedName name="MICRO" localSheetId="9">#REF!</definedName>
    <definedName name="MICRO" localSheetId="7">#REF!</definedName>
    <definedName name="MICRO" localSheetId="2">#REF!</definedName>
    <definedName name="MICRO" localSheetId="1">#REF!</definedName>
    <definedName name="MICRO" localSheetId="13">#REF!</definedName>
    <definedName name="MICRO" localSheetId="12">#REF!</definedName>
    <definedName name="MICRO" localSheetId="11">#REF!</definedName>
    <definedName name="MICRO" localSheetId="17">#REF!</definedName>
    <definedName name="MICRO">#REF!</definedName>
    <definedName name="MICRO1.5" localSheetId="4">#REF!</definedName>
    <definedName name="MICRO1.5" localSheetId="2">#REF!</definedName>
    <definedName name="MICRO1.5" localSheetId="1">#REF!</definedName>
    <definedName name="MICRO1.5" localSheetId="17">#REF!</definedName>
    <definedName name="MICRO1.5">#REF!</definedName>
    <definedName name="MICRO8" localSheetId="15">#REF!</definedName>
    <definedName name="MICRO8" localSheetId="4">#REF!</definedName>
    <definedName name="MICRO8" localSheetId="9">#REF!</definedName>
    <definedName name="MICRO8" localSheetId="7">#REF!</definedName>
    <definedName name="MICRO8" localSheetId="2">#REF!</definedName>
    <definedName name="MICRO8" localSheetId="1">#REF!</definedName>
    <definedName name="MICRO8" localSheetId="13">#REF!</definedName>
    <definedName name="MICRO8" localSheetId="12">#REF!</definedName>
    <definedName name="MICRO8" localSheetId="11">#REF!</definedName>
    <definedName name="MICRO8" localSheetId="17">#REF!</definedName>
    <definedName name="MICRO8">#REF!</definedName>
    <definedName name="MmExcelLinker_4E7BD31E_65F0_440C_A162_0361D739B0FD" localSheetId="15">anexo IVA [0]!MAT DE #REF!</definedName>
    <definedName name="MmExcelLinker_4E7BD31E_65F0_440C_A162_0361D739B0FD" localSheetId="8">anexo IVA [0]!MAT DE #REF!</definedName>
    <definedName name="MmExcelLinker_4E7BD31E_65F0_440C_A162_0361D739B0FD" localSheetId="6">anexo IVA [0]!MAT DE #REF!</definedName>
    <definedName name="MmExcelLinker_4E7BD31E_65F0_440C_A162_0361D739B0FD" localSheetId="2">anexo IVA [0]!MAT DE #REF!</definedName>
    <definedName name="MmExcelLinker_4E7BD31E_65F0_440C_A162_0361D739B0FD" localSheetId="13">anexo IVA [0]!MAT DE #REF!</definedName>
    <definedName name="MmExcelLinker_4E7BD31E_65F0_440C_A162_0361D739B0FD" localSheetId="12">anexo IVA [0]!MAT DE #REF!</definedName>
    <definedName name="MmExcelLinker_4E7BD31E_65F0_440C_A162_0361D739B0FD" localSheetId="17">anexo IVA [0]!MAT DE #REF!</definedName>
    <definedName name="MmExcelLinker_4E7BD31E_65F0_440C_A162_0361D739B0FD">anexo IVA [0]!MAT DE #REF!</definedName>
    <definedName name="MmExcelLinker_4E7BD31E_65F0_440C_A162_0361D739B0FD_1" localSheetId="15">anexo IVA [0]!MAT DE #REF!</definedName>
    <definedName name="MmExcelLinker_4E7BD31E_65F0_440C_A162_0361D739B0FD_1" localSheetId="8">anexo IVA [0]!MAT DE #REF!</definedName>
    <definedName name="MmExcelLinker_4E7BD31E_65F0_440C_A162_0361D739B0FD_1" localSheetId="6">anexo IVA [0]!MAT DE #REF!</definedName>
    <definedName name="MmExcelLinker_4E7BD31E_65F0_440C_A162_0361D739B0FD_1" localSheetId="2">anexo IVA [0]!MAT DE #REF!</definedName>
    <definedName name="MmExcelLinker_4E7BD31E_65F0_440C_A162_0361D739B0FD_1" localSheetId="13">anexo IVA [0]!MAT DE #REF!</definedName>
    <definedName name="MmExcelLinker_4E7BD31E_65F0_440C_A162_0361D739B0FD_1" localSheetId="12">anexo IVA [0]!MAT DE #REF!</definedName>
    <definedName name="MmExcelLinker_4E7BD31E_65F0_440C_A162_0361D739B0FD_1" localSheetId="17">anexo IVA [0]!MAT DE #REF!</definedName>
    <definedName name="MmExcelLinker_4E7BD31E_65F0_440C_A162_0361D739B0FD_1">anexo IVA [0]!MAT DE #REF!</definedName>
    <definedName name="mmm" localSheetId="15">#REF!</definedName>
    <definedName name="mmm" localSheetId="4">#REF!</definedName>
    <definedName name="mmm" localSheetId="9">#REF!</definedName>
    <definedName name="mmm" localSheetId="0">#REF!</definedName>
    <definedName name="mmm" localSheetId="7">#REF!</definedName>
    <definedName name="mmm" localSheetId="2">#REF!</definedName>
    <definedName name="mmm" localSheetId="1">#REF!</definedName>
    <definedName name="mmm" localSheetId="12">#REF!</definedName>
    <definedName name="mmm" localSheetId="11">#REF!</definedName>
    <definedName name="mmm" localSheetId="17">#REF!</definedName>
    <definedName name="mmm">#REF!</definedName>
    <definedName name="MMMMM" localSheetId="2">#REF!</definedName>
    <definedName name="MMMMM" localSheetId="1">#REF!</definedName>
    <definedName name="MMMMM" localSheetId="17">#REF!</definedName>
    <definedName name="MMMMM">#REF!</definedName>
    <definedName name="MMMMMM" localSheetId="17">#REF!</definedName>
    <definedName name="MMMMMM">#REF!</definedName>
    <definedName name="mmmmmmm" localSheetId="15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8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6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13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1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localSheetId="17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mmmmmmmmmmmmmmmmm" localSheetId="15">#REF!</definedName>
    <definedName name="mmmmmmmmmmmmmmmmmm" localSheetId="4">#REF!</definedName>
    <definedName name="mmmmmmmmmmmmmmmmmm" localSheetId="9">#REF!</definedName>
    <definedName name="mmmmmmmmmmmmmmmmmm" localSheetId="0">#REF!</definedName>
    <definedName name="mmmmmmmmmmmmmmmmmm" localSheetId="2">#REF!</definedName>
    <definedName name="mmmmmmmmmmmmmmmmmm" localSheetId="1">#REF!</definedName>
    <definedName name="mmmmmmmmmmmmmmmmmm" localSheetId="12">#REF!</definedName>
    <definedName name="mmmmmmmmmmmmmmmmmm" localSheetId="17">#REF!</definedName>
    <definedName name="mmmmmmmmmmmmmmmmmm">#REF!</definedName>
    <definedName name="MO" localSheetId="15" hidden="1">#REF!</definedName>
    <definedName name="MO" localSheetId="4" hidden="1">#REF!</definedName>
    <definedName name="MO" localSheetId="9" hidden="1">#REF!</definedName>
    <definedName name="MO" localSheetId="2" hidden="1">#REF!</definedName>
    <definedName name="MO" localSheetId="1" hidden="1">#REF!</definedName>
    <definedName name="MO" localSheetId="12" hidden="1">#REF!</definedName>
    <definedName name="MO" localSheetId="17" hidden="1">#REF!</definedName>
    <definedName name="MO" hidden="1">#REF!</definedName>
    <definedName name="Mob" localSheetId="15">#REF!</definedName>
    <definedName name="Mob" localSheetId="4">#REF!</definedName>
    <definedName name="Mob" localSheetId="9">#REF!</definedName>
    <definedName name="Mob" localSheetId="2">#REF!</definedName>
    <definedName name="Mob" localSheetId="1">#REF!</definedName>
    <definedName name="Mob" localSheetId="12">#REF!</definedName>
    <definedName name="Mob" localSheetId="17">#REF!</definedName>
    <definedName name="Mob">#REF!</definedName>
    <definedName name="Modelo" localSheetId="15" hidden="1">#REF!</definedName>
    <definedName name="Modelo" localSheetId="4" hidden="1">#REF!</definedName>
    <definedName name="Modelo" localSheetId="9" hidden="1">#REF!</definedName>
    <definedName name="Modelo" localSheetId="2" hidden="1">#REF!</definedName>
    <definedName name="Modelo" localSheetId="1" hidden="1">#REF!</definedName>
    <definedName name="Modelo" localSheetId="12" hidden="1">#REF!</definedName>
    <definedName name="Modelo" localSheetId="17" hidden="1">#REF!</definedName>
    <definedName name="Modelo" hidden="1">#REF!</definedName>
    <definedName name="módulo1.Extenso" localSheetId="15">'CALÇADA E ACESS. - JDML'!módulo1.Extenso</definedName>
    <definedName name="módulo1.Extenso" localSheetId="4">'DEMOLIÇÃO - JDML'!módulo1.Extenso</definedName>
    <definedName name="módulo1.Extenso" localSheetId="9">'DISP. DRENAGEM - JDML'!módulo1.Extenso</definedName>
    <definedName name="módulo1.Extenso" localSheetId="0">DMT!módulo1.Extenso</definedName>
    <definedName name="módulo1.Extenso" localSheetId="8">#N/A</definedName>
    <definedName name="módulo1.Extenso" localSheetId="7">'DRENAGEM - JDML'!módulo1.Extenso</definedName>
    <definedName name="módulo1.Extenso" localSheetId="6">#N/A</definedName>
    <definedName name="módulo1.Extenso" localSheetId="2">GRELHA!módulo1.Extenso</definedName>
    <definedName name="módulo1.Extenso" localSheetId="1">'MAT BET'!módulo1.Extenso</definedName>
    <definedName name="módulo1.Extenso" localSheetId="13">'PAVIMENTAÇÃO - JDML'!módulo1.Extenso</definedName>
    <definedName name="módulo1.Extenso" localSheetId="3">'PRELIMINARES - JDML+JDA-E2'!módulo1.Extenso</definedName>
    <definedName name="módulo1.Extenso" localSheetId="12">'RECAPEAMENTO - JDML'!módulo1.Extenso</definedName>
    <definedName name="módulo1.Extenso" localSheetId="11">'REMENDO - JDML'!módulo1.Extenso</definedName>
    <definedName name="módulo1.Extenso" localSheetId="17">'SINALIZAÇÃO - JDML'!módulo1.Extenso</definedName>
    <definedName name="módulo1.Extenso">[0]!módulo1.Extenso</definedName>
    <definedName name="MOTOSERRA" localSheetId="4">#REF!</definedName>
    <definedName name="MOTOSERRA" localSheetId="2">#REF!</definedName>
    <definedName name="MOTOSERRA" localSheetId="1">#REF!</definedName>
    <definedName name="MOTOSERRA" localSheetId="17">#REF!</definedName>
    <definedName name="MOTOSERRA">#REF!</definedName>
    <definedName name="MP" localSheetId="15" hidden="1">#REF!</definedName>
    <definedName name="MP" localSheetId="4" hidden="1">#REF!</definedName>
    <definedName name="MP" localSheetId="9" hidden="1">#REF!</definedName>
    <definedName name="MP" localSheetId="8" hidden="1">#REF!</definedName>
    <definedName name="MP" localSheetId="7" hidden="1">#REF!</definedName>
    <definedName name="MP" localSheetId="2" hidden="1">#REF!</definedName>
    <definedName name="MP" localSheetId="1" hidden="1">#REF!</definedName>
    <definedName name="MP" localSheetId="12" hidden="1">#REF!</definedName>
    <definedName name="MP" localSheetId="11" hidden="1">#REF!</definedName>
    <definedName name="MP" localSheetId="17" hidden="1">#REF!</definedName>
    <definedName name="MP" hidden="1">#REF!</definedName>
    <definedName name="MUDAS" localSheetId="15">#REF!</definedName>
    <definedName name="MUDAS" localSheetId="4">#REF!</definedName>
    <definedName name="MUDAS" localSheetId="9">#REF!</definedName>
    <definedName name="MUDAS" localSheetId="0">#REF!</definedName>
    <definedName name="MUDAS" localSheetId="2">#REF!</definedName>
    <definedName name="MUDAS" localSheetId="1">#REF!</definedName>
    <definedName name="MUDAS" localSheetId="12">#REF!</definedName>
    <definedName name="MUDAS" localSheetId="17">#REF!</definedName>
    <definedName name="MUDAS">#REF!</definedName>
    <definedName name="municipio" localSheetId="4">#REF!</definedName>
    <definedName name="municipio" localSheetId="2">#REF!</definedName>
    <definedName name="municipio" localSheetId="1">#REF!</definedName>
    <definedName name="municipio" localSheetId="17">#REF!</definedName>
    <definedName name="municipio">#REF!</definedName>
    <definedName name="MXNV" localSheetId="2">#REF!</definedName>
    <definedName name="MXNV" localSheetId="1">#REF!</definedName>
    <definedName name="MXNV" localSheetId="17">#REF!</definedName>
    <definedName name="MXNV">#REF!</definedName>
    <definedName name="N" localSheetId="17">#REF!</definedName>
    <definedName name="N">#REF!</definedName>
    <definedName name="N_NF" localSheetId="15">#REF!</definedName>
    <definedName name="N_NF" localSheetId="4">#REF!</definedName>
    <definedName name="N_NF" localSheetId="9">#REF!</definedName>
    <definedName name="N_NF" localSheetId="0">#REF!</definedName>
    <definedName name="N_NF" localSheetId="7">#REF!</definedName>
    <definedName name="N_NF" localSheetId="2">#REF!</definedName>
    <definedName name="N_NF" localSheetId="1">#REF!</definedName>
    <definedName name="N_NF" localSheetId="13">#REF!</definedName>
    <definedName name="N_NF" localSheetId="12">#REF!</definedName>
    <definedName name="N_NF" localSheetId="11">#REF!</definedName>
    <definedName name="N_NF" localSheetId="17">#REF!</definedName>
    <definedName name="N_NF">#REF!</definedName>
    <definedName name="NEGATIVO" localSheetId="2">#REF!</definedName>
    <definedName name="NEGATIVO" localSheetId="1">#REF!</definedName>
    <definedName name="NEGATIVO" localSheetId="17">#REF!</definedName>
    <definedName name="NEGATIVO">#REF!</definedName>
    <definedName name="NLant">5</definedName>
    <definedName name="NLEq" hidden="1">4</definedName>
    <definedName name="NLmin">5</definedName>
    <definedName name="NLMo" hidden="1">6</definedName>
    <definedName name="NLMp" hidden="1">5</definedName>
    <definedName name="NLTr" hidden="1">3</definedName>
    <definedName name="NNNNNNNNNNNNNNNNNNNNNN" localSheetId="2">#REF!</definedName>
    <definedName name="NNNNNNNNNNNNNNNNNNNNNN" localSheetId="1">#REF!</definedName>
    <definedName name="NNNNNNNNNNNNNNNNNNNNNN" localSheetId="17">#REF!</definedName>
    <definedName name="NNNNNNNNNNNNNNNNNNNNNN">#REF!</definedName>
    <definedName name="NOME1" localSheetId="2">#REF!</definedName>
    <definedName name="NOME1" localSheetId="1">#REF!</definedName>
    <definedName name="NOME1" localSheetId="17">#REF!</definedName>
    <definedName name="NOME1">#REF!</definedName>
    <definedName name="NOME1_6" localSheetId="2">#REF!</definedName>
    <definedName name="NOME1_6" localSheetId="1">#REF!</definedName>
    <definedName name="NOME1_6" localSheetId="17">#REF!</definedName>
    <definedName name="NOME1_6">#REF!</definedName>
    <definedName name="NTEI" localSheetId="15">#REF!</definedName>
    <definedName name="NTEI" localSheetId="4">#REF!</definedName>
    <definedName name="NTEI" localSheetId="9">#REF!</definedName>
    <definedName name="NTEI" localSheetId="7">#REF!</definedName>
    <definedName name="NTEI" localSheetId="2">#REF!</definedName>
    <definedName name="NTEI" localSheetId="1">#REF!</definedName>
    <definedName name="NTEI" localSheetId="12">#REF!</definedName>
    <definedName name="NTEI" localSheetId="11">#REF!</definedName>
    <definedName name="NTEI" localSheetId="17">#REF!</definedName>
    <definedName name="NTEI">#REF!</definedName>
    <definedName name="NUAISDHG" localSheetId="15">#REF!</definedName>
    <definedName name="NUAISDHG" localSheetId="4">#REF!</definedName>
    <definedName name="NUAISDHG" localSheetId="9">#REF!</definedName>
    <definedName name="NUAISDHG" localSheetId="0">#REF!</definedName>
    <definedName name="NUAISDHG" localSheetId="7">#REF!</definedName>
    <definedName name="NUAISDHG" localSheetId="2">#REF!</definedName>
    <definedName name="NUAISDHG" localSheetId="1">#REF!</definedName>
    <definedName name="NUAISDHG" localSheetId="12">#REF!</definedName>
    <definedName name="NUAISDHG" localSheetId="11">#REF!</definedName>
    <definedName name="NUAISDHG" localSheetId="17">#REF!</definedName>
    <definedName name="NUAISDHG">#REF!</definedName>
    <definedName name="num_linhas" localSheetId="2">#REF!</definedName>
    <definedName name="num_linhas" localSheetId="1">#REF!</definedName>
    <definedName name="num_linhas" localSheetId="17">#REF!</definedName>
    <definedName name="num_linhas">#REF!</definedName>
    <definedName name="NUMEROMEDIÇÃO" localSheetId="15">#REF!</definedName>
    <definedName name="NUMEROMEDIÇÃO" localSheetId="4">#REF!</definedName>
    <definedName name="NUMEROMEDIÇÃO" localSheetId="9">#REF!</definedName>
    <definedName name="NUMEROMEDIÇÃO" localSheetId="0">#REF!</definedName>
    <definedName name="NUMEROMEDIÇÃO" localSheetId="7">#REF!</definedName>
    <definedName name="NUMEROMEDIÇÃO" localSheetId="2">#REF!</definedName>
    <definedName name="NUMEROMEDIÇÃO" localSheetId="1">#REF!</definedName>
    <definedName name="NUMEROMEDIÇÃO" localSheetId="13">#REF!</definedName>
    <definedName name="NUMEROMEDIÇÃO" localSheetId="12">#REF!</definedName>
    <definedName name="NUMEROMEDIÇÃO" localSheetId="11">#REF!</definedName>
    <definedName name="NUMEROMEDIÇÃO" localSheetId="17">#REF!</definedName>
    <definedName name="NUMEROMEDIÇÃO">#REF!</definedName>
    <definedName name="o" localSheetId="2">#REF!</definedName>
    <definedName name="o" localSheetId="1">#REF!</definedName>
    <definedName name="o" localSheetId="17">#REF!</definedName>
    <definedName name="o">#REF!</definedName>
    <definedName name="o1o3" localSheetId="15">#REF!,#REF!,#REF!</definedName>
    <definedName name="o1o3" localSheetId="13">#REF!,#REF!,#REF!</definedName>
    <definedName name="o1o3" localSheetId="17">#REF!,#REF!,#REF!</definedName>
    <definedName name="o1o3">#REF!,#REF!,#REF!</definedName>
    <definedName name="oac" localSheetId="15">#REF!</definedName>
    <definedName name="oac" localSheetId="4">#REF!</definedName>
    <definedName name="oac" localSheetId="9">#REF!</definedName>
    <definedName name="oac" localSheetId="0">#REF!</definedName>
    <definedName name="oac" localSheetId="7">#REF!</definedName>
    <definedName name="oac" localSheetId="2">#REF!</definedName>
    <definedName name="oac" localSheetId="1">#REF!</definedName>
    <definedName name="oac" localSheetId="12">#REF!</definedName>
    <definedName name="oac" localSheetId="11">#REF!</definedName>
    <definedName name="oac" localSheetId="17">#REF!</definedName>
    <definedName name="oac">#REF!</definedName>
    <definedName name="OAE" localSheetId="2">#REF!</definedName>
    <definedName name="OAE" localSheetId="1">#REF!</definedName>
    <definedName name="OAE" localSheetId="17">#REF!</definedName>
    <definedName name="OAE">#REF!</definedName>
    <definedName name="OBR_NE" localSheetId="15">#REF!</definedName>
    <definedName name="OBR_NE" localSheetId="4">#REF!</definedName>
    <definedName name="OBR_NE" localSheetId="9">#REF!</definedName>
    <definedName name="OBR_NE" localSheetId="0">#REF!</definedName>
    <definedName name="OBR_NE" localSheetId="2">#REF!</definedName>
    <definedName name="OBR_NE" localSheetId="1">#REF!</definedName>
    <definedName name="OBR_NE" localSheetId="12">#REF!</definedName>
    <definedName name="OBR_NE" localSheetId="17">#REF!</definedName>
    <definedName name="OBR_NE">#REF!</definedName>
    <definedName name="OBR_SE" localSheetId="15">#REF!</definedName>
    <definedName name="OBR_SE" localSheetId="4">#REF!</definedName>
    <definedName name="OBR_SE" localSheetId="9">#REF!</definedName>
    <definedName name="OBR_SE" localSheetId="0">#REF!</definedName>
    <definedName name="OBR_SE" localSheetId="2">#REF!</definedName>
    <definedName name="OBR_SE" localSheetId="1">#REF!</definedName>
    <definedName name="OBR_SE" localSheetId="12">#REF!</definedName>
    <definedName name="OBR_SE" localSheetId="17">#REF!</definedName>
    <definedName name="OBR_SE">#REF!</definedName>
    <definedName name="OBR_SL" localSheetId="15">#REF!</definedName>
    <definedName name="OBR_SL" localSheetId="4">#REF!</definedName>
    <definedName name="OBR_SL" localSheetId="9">#REF!</definedName>
    <definedName name="OBR_SL" localSheetId="0">#REF!</definedName>
    <definedName name="OBR_SL" localSheetId="2">#REF!</definedName>
    <definedName name="OBR_SL" localSheetId="1">#REF!</definedName>
    <definedName name="OBR_SL" localSheetId="12">#REF!</definedName>
    <definedName name="OBR_SL" localSheetId="17">#REF!</definedName>
    <definedName name="OBR_SL">#REF!</definedName>
    <definedName name="OBR_TC" localSheetId="15">#REF!</definedName>
    <definedName name="OBR_TC" localSheetId="4">#REF!</definedName>
    <definedName name="OBR_TC" localSheetId="9">#REF!</definedName>
    <definedName name="OBR_TC" localSheetId="0">#REF!</definedName>
    <definedName name="OBR_TC" localSheetId="2">#REF!</definedName>
    <definedName name="OBR_TC" localSheetId="1">#REF!</definedName>
    <definedName name="OBR_TC" localSheetId="12">#REF!</definedName>
    <definedName name="OBR_TC" localSheetId="17">#REF!</definedName>
    <definedName name="OBR_TC">#REF!</definedName>
    <definedName name="OBRA" localSheetId="15">#REF!</definedName>
    <definedName name="OBRA" localSheetId="4">#REF!</definedName>
    <definedName name="OBRA" localSheetId="9">#REF!</definedName>
    <definedName name="Obra" localSheetId="0" hidden="1">""</definedName>
    <definedName name="OBRA" localSheetId="7">#REF!</definedName>
    <definedName name="OBRA" localSheetId="2">#REF!</definedName>
    <definedName name="OBRA" localSheetId="1">#REF!</definedName>
    <definedName name="OBRA" localSheetId="13">#REF!</definedName>
    <definedName name="OBRA" localSheetId="12">#REF!</definedName>
    <definedName name="OBRA" localSheetId="11">#REF!</definedName>
    <definedName name="OBRA" localSheetId="17">#REF!</definedName>
    <definedName name="OBRA">#REF!</definedName>
    <definedName name="OBRAS" localSheetId="15">#REF!</definedName>
    <definedName name="OBRAS" localSheetId="4">#REF!</definedName>
    <definedName name="OBRAS" localSheetId="9">#REF!</definedName>
    <definedName name="OBRAS" localSheetId="0">#REF!</definedName>
    <definedName name="OBRAS" localSheetId="7">#REF!</definedName>
    <definedName name="OBRAS" localSheetId="2">#REF!</definedName>
    <definedName name="OBRAS" localSheetId="1">#REF!</definedName>
    <definedName name="OBRAS" localSheetId="12">#REF!</definedName>
    <definedName name="OBRAS" localSheetId="11">#REF!</definedName>
    <definedName name="OBRAS" localSheetId="17">#REF!</definedName>
    <definedName name="OBRAS">#REF!</definedName>
    <definedName name="OBRASF" localSheetId="15">#REF!</definedName>
    <definedName name="OBRASF" localSheetId="4">#REF!</definedName>
    <definedName name="OBRASF" localSheetId="9">#REF!</definedName>
    <definedName name="OBRASF" localSheetId="0">#REF!</definedName>
    <definedName name="OBRASF" localSheetId="7">#REF!</definedName>
    <definedName name="OBRASF" localSheetId="2">#REF!</definedName>
    <definedName name="OBRASF" localSheetId="1">#REF!</definedName>
    <definedName name="OBRASF" localSheetId="12">#REF!</definedName>
    <definedName name="OBRASF" localSheetId="17">#REF!</definedName>
    <definedName name="OBRASF">#REF!</definedName>
    <definedName name="oc" localSheetId="15">#REF!</definedName>
    <definedName name="oc" localSheetId="4">#REF!</definedName>
    <definedName name="oc" localSheetId="9">#REF!</definedName>
    <definedName name="oc" localSheetId="0">#REF!</definedName>
    <definedName name="oc" localSheetId="2">#REF!</definedName>
    <definedName name="oc" localSheetId="1">#REF!</definedName>
    <definedName name="oc" localSheetId="12">#REF!</definedName>
    <definedName name="oc" localSheetId="17">#REF!</definedName>
    <definedName name="oc">#REF!</definedName>
    <definedName name="OI" localSheetId="2">#REF!</definedName>
    <definedName name="OI" localSheetId="1">#REF!</definedName>
    <definedName name="OI" localSheetId="17">#REF!</definedName>
    <definedName name="OI">#REF!</definedName>
    <definedName name="ok" localSheetId="15">#REF!</definedName>
    <definedName name="ok" localSheetId="4">#REF!</definedName>
    <definedName name="ok" localSheetId="9">#REF!</definedName>
    <definedName name="ok" localSheetId="7">#REF!</definedName>
    <definedName name="ok" localSheetId="2">#REF!</definedName>
    <definedName name="ok" localSheetId="1">#REF!</definedName>
    <definedName name="ok" localSheetId="13">#REF!</definedName>
    <definedName name="ok" localSheetId="12">#REF!</definedName>
    <definedName name="ok" localSheetId="11">#REF!</definedName>
    <definedName name="ok" localSheetId="17">#REF!</definedName>
    <definedName name="ok">#REF!</definedName>
    <definedName name="OLEO" localSheetId="2">#REF!</definedName>
    <definedName name="OLEO" localSheetId="1">#REF!</definedName>
    <definedName name="OLEO" localSheetId="17">#REF!</definedName>
    <definedName name="OLEO">#REF!</definedName>
    <definedName name="ÓLEO" localSheetId="17">#REF!</definedName>
    <definedName name="ÓLEO">#REF!</definedName>
    <definedName name="OnOff" hidden="1">"ON"</definedName>
    <definedName name="OPA" localSheetId="15">#REF!</definedName>
    <definedName name="OPA" localSheetId="4">#REF!</definedName>
    <definedName name="OPA" localSheetId="9">#REF!</definedName>
    <definedName name="OPA" localSheetId="7">#REF!</definedName>
    <definedName name="OPA" localSheetId="2">#REF!</definedName>
    <definedName name="OPA" localSheetId="1">#REF!</definedName>
    <definedName name="OPA" localSheetId="12">#REF!</definedName>
    <definedName name="OPA" localSheetId="11">#REF!</definedName>
    <definedName name="OPA" localSheetId="17">#REF!</definedName>
    <definedName name="OPA">#REF!</definedName>
    <definedName name="OPERACAO" localSheetId="2">#REF!</definedName>
    <definedName name="OPERACAO" localSheetId="1">#REF!</definedName>
    <definedName name="OPERACAO" localSheetId="17">#REF!</definedName>
    <definedName name="OPERACAO">#REF!</definedName>
    <definedName name="Orçamento" localSheetId="2">#REF!</definedName>
    <definedName name="Orçamento" localSheetId="1">#REF!</definedName>
    <definedName name="Orçamento" localSheetId="17">#REF!</definedName>
    <definedName name="Orçamento">#REF!</definedName>
    <definedName name="ORÇAMENTO.BancoRef" localSheetId="17" hidden="1">#REF!</definedName>
    <definedName name="ORÇAMENTO.BancoRef" hidden="1">#REF!</definedName>
    <definedName name="Orçamento_Básico" localSheetId="2">#REF!</definedName>
    <definedName name="Orçamento_Básico" localSheetId="1">#REF!</definedName>
    <definedName name="Orçamento_Básico" localSheetId="17">#REF!</definedName>
    <definedName name="Orçamento_Básico">#REF!</definedName>
    <definedName name="OrçamentoTotal" localSheetId="2">#REF!</definedName>
    <definedName name="OrçamentoTotal" localSheetId="1">#REF!</definedName>
    <definedName name="OrçamentoTotal" localSheetId="17">#REF!</definedName>
    <definedName name="OrçamentoTotal">#REF!</definedName>
    <definedName name="Ordem" localSheetId="15" hidden="1">#REF!</definedName>
    <definedName name="Ordem" localSheetId="4" hidden="1">#REF!</definedName>
    <definedName name="Ordem" localSheetId="9" hidden="1">#REF!</definedName>
    <definedName name="Ordem" localSheetId="8" hidden="1">#REF!</definedName>
    <definedName name="Ordem" localSheetId="7" hidden="1">#REF!</definedName>
    <definedName name="Ordem" localSheetId="2" hidden="1">#REF!</definedName>
    <definedName name="Ordem" localSheetId="1" hidden="1">#REF!</definedName>
    <definedName name="Ordem" localSheetId="12" hidden="1">#REF!</definedName>
    <definedName name="Ordem" localSheetId="11" hidden="1">#REF!</definedName>
    <definedName name="Ordem" localSheetId="17" hidden="1">#REF!</definedName>
    <definedName name="Ordem" hidden="1">#REF!</definedName>
    <definedName name="org" localSheetId="15">#REF!</definedName>
    <definedName name="org" localSheetId="4">#REF!</definedName>
    <definedName name="org" localSheetId="2">#REF!</definedName>
    <definedName name="org" localSheetId="1">#REF!</definedName>
    <definedName name="org" localSheetId="12">#REF!</definedName>
    <definedName name="org" localSheetId="11">#REF!</definedName>
    <definedName name="org" localSheetId="17">#REF!</definedName>
    <definedName name="org">#REF!</definedName>
    <definedName name="Origem" localSheetId="15" hidden="1">#REF!</definedName>
    <definedName name="Origem" localSheetId="4" hidden="1">#REF!</definedName>
    <definedName name="Origem" localSheetId="9" hidden="1">#REF!</definedName>
    <definedName name="Origem" localSheetId="8" hidden="1">#REF!</definedName>
    <definedName name="Origem" localSheetId="7" hidden="1">#REF!</definedName>
    <definedName name="Origem" localSheetId="2" hidden="1">#REF!</definedName>
    <definedName name="Origem" localSheetId="1" hidden="1">#REF!</definedName>
    <definedName name="Origem" localSheetId="12" hidden="1">#REF!</definedName>
    <definedName name="Origem" localSheetId="11" hidden="1">#REF!</definedName>
    <definedName name="Origem" localSheetId="17" hidden="1">#REF!</definedName>
    <definedName name="Origem" hidden="1">#REF!</definedName>
    <definedName name="ORLANDO" localSheetId="2">#REF!</definedName>
    <definedName name="ORLANDO" localSheetId="1">#REF!</definedName>
    <definedName name="ORLANDO" localSheetId="17">#REF!</definedName>
    <definedName name="ORLANDO">#REF!</definedName>
    <definedName name="orrlando" localSheetId="2">#REF!</definedName>
    <definedName name="orrlando" localSheetId="1">#REF!</definedName>
    <definedName name="orrlando" localSheetId="17">#REF!</definedName>
    <definedName name="orrlando">#REF!</definedName>
    <definedName name="p" localSheetId="2">#REF!</definedName>
    <definedName name="p" localSheetId="1">#REF!</definedName>
    <definedName name="p" localSheetId="17">#REF!</definedName>
    <definedName name="p">#REF!</definedName>
    <definedName name="p01.401.00" localSheetId="15">#REF!</definedName>
    <definedName name="p01.401.00" localSheetId="4">#REF!</definedName>
    <definedName name="p01.401.00" localSheetId="9">#REF!</definedName>
    <definedName name="p01.401.00" localSheetId="0">#REF!</definedName>
    <definedName name="p01.401.00" localSheetId="2">#REF!</definedName>
    <definedName name="p01.401.00" localSheetId="1">#REF!</definedName>
    <definedName name="p01.401.00" localSheetId="12">#REF!</definedName>
    <definedName name="p01.401.00" localSheetId="17">#REF!</definedName>
    <definedName name="p01.401.00">#REF!</definedName>
    <definedName name="p02.300.00" localSheetId="15">#REF!</definedName>
    <definedName name="p02.300.00" localSheetId="4">#REF!</definedName>
    <definedName name="p02.300.00" localSheetId="9">#REF!</definedName>
    <definedName name="p02.300.00" localSheetId="0">#REF!</definedName>
    <definedName name="p02.300.00" localSheetId="2">#REF!</definedName>
    <definedName name="p02.300.00" localSheetId="1">#REF!</definedName>
    <definedName name="p02.300.00" localSheetId="12">#REF!</definedName>
    <definedName name="p02.300.00" localSheetId="17">#REF!</definedName>
    <definedName name="p02.300.00">#REF!</definedName>
    <definedName name="p02.400.00" localSheetId="15">#REF!</definedName>
    <definedName name="p02.400.00" localSheetId="4">#REF!</definedName>
    <definedName name="p02.400.00" localSheetId="9">#REF!</definedName>
    <definedName name="p02.400.00" localSheetId="0">#REF!</definedName>
    <definedName name="p02.400.00" localSheetId="2">#REF!</definedName>
    <definedName name="p02.400.00" localSheetId="1">#REF!</definedName>
    <definedName name="p02.400.00" localSheetId="12">#REF!</definedName>
    <definedName name="p02.400.00" localSheetId="17">#REF!</definedName>
    <definedName name="p02.400.00">#REF!</definedName>
    <definedName name="p02.500.01" localSheetId="15">#REF!</definedName>
    <definedName name="p02.500.01" localSheetId="4">#REF!</definedName>
    <definedName name="p02.500.01" localSheetId="9">#REF!</definedName>
    <definedName name="p02.500.01" localSheetId="0">#REF!</definedName>
    <definedName name="p02.500.01" localSheetId="2">#REF!</definedName>
    <definedName name="p02.500.01" localSheetId="1">#REF!</definedName>
    <definedName name="p02.500.01" localSheetId="12">#REF!</definedName>
    <definedName name="p02.500.01" localSheetId="17">#REF!</definedName>
    <definedName name="p02.500.01">#REF!</definedName>
    <definedName name="p02.530.00" localSheetId="15">#REF!</definedName>
    <definedName name="p02.530.00" localSheetId="4">#REF!</definedName>
    <definedName name="p02.530.00" localSheetId="9">#REF!</definedName>
    <definedName name="p02.530.00" localSheetId="0">#REF!</definedName>
    <definedName name="p02.530.00" localSheetId="2">#REF!</definedName>
    <definedName name="p02.530.00" localSheetId="1">#REF!</definedName>
    <definedName name="p02.530.00" localSheetId="12">#REF!</definedName>
    <definedName name="p02.530.00" localSheetId="17">#REF!</definedName>
    <definedName name="p02.530.00">#REF!</definedName>
    <definedName name="p02.530.01" localSheetId="15">#REF!</definedName>
    <definedName name="p02.530.01" localSheetId="4">#REF!</definedName>
    <definedName name="p02.530.01" localSheetId="9">#REF!</definedName>
    <definedName name="p02.530.01" localSheetId="0">#REF!</definedName>
    <definedName name="p02.530.01" localSheetId="2">#REF!</definedName>
    <definedName name="p02.530.01" localSheetId="1">#REF!</definedName>
    <definedName name="p02.530.01" localSheetId="12">#REF!</definedName>
    <definedName name="p02.530.01" localSheetId="17">#REF!</definedName>
    <definedName name="p02.530.01">#REF!</definedName>
    <definedName name="p02.530.02" localSheetId="15">#REF!</definedName>
    <definedName name="p02.530.02" localSheetId="4">#REF!</definedName>
    <definedName name="p02.530.02" localSheetId="9">#REF!</definedName>
    <definedName name="p02.530.02" localSheetId="0">#REF!</definedName>
    <definedName name="p02.530.02" localSheetId="2">#REF!</definedName>
    <definedName name="p02.530.02" localSheetId="1">#REF!</definedName>
    <definedName name="p02.530.02" localSheetId="12">#REF!</definedName>
    <definedName name="p02.530.02" localSheetId="17">#REF!</definedName>
    <definedName name="p02.530.02">#REF!</definedName>
    <definedName name="P02.530.03" localSheetId="15">#REF!</definedName>
    <definedName name="P02.530.03" localSheetId="4">#REF!</definedName>
    <definedName name="P02.530.03" localSheetId="9">#REF!</definedName>
    <definedName name="P02.530.03" localSheetId="0">#REF!</definedName>
    <definedName name="P02.530.03" localSheetId="2">#REF!</definedName>
    <definedName name="P02.530.03" localSheetId="1">#REF!</definedName>
    <definedName name="P02.530.03" localSheetId="12">#REF!</definedName>
    <definedName name="P02.530.03" localSheetId="17">#REF!</definedName>
    <definedName name="P02.530.03">#REF!</definedName>
    <definedName name="p02.540.00" localSheetId="15">#REF!</definedName>
    <definedName name="p02.540.00" localSheetId="4">#REF!</definedName>
    <definedName name="p02.540.00" localSheetId="9">#REF!</definedName>
    <definedName name="p02.540.00" localSheetId="0">#REF!</definedName>
    <definedName name="p02.540.00" localSheetId="2">#REF!</definedName>
    <definedName name="p02.540.00" localSheetId="1">#REF!</definedName>
    <definedName name="p02.540.00" localSheetId="12">#REF!</definedName>
    <definedName name="p02.540.00" localSheetId="17">#REF!</definedName>
    <definedName name="p02.540.00">#REF!</definedName>
    <definedName name="p03.950.00" localSheetId="15">#REF!</definedName>
    <definedName name="p03.950.00" localSheetId="4">#REF!</definedName>
    <definedName name="p03.950.00" localSheetId="9">#REF!</definedName>
    <definedName name="p03.950.00" localSheetId="0">#REF!</definedName>
    <definedName name="p03.950.00" localSheetId="2">#REF!</definedName>
    <definedName name="p03.950.00" localSheetId="1">#REF!</definedName>
    <definedName name="p03.950.00" localSheetId="12">#REF!</definedName>
    <definedName name="p03.950.00" localSheetId="17">#REF!</definedName>
    <definedName name="p03.950.00">#REF!</definedName>
    <definedName name="Parcial" localSheetId="2">#REF!</definedName>
    <definedName name="Parcial" localSheetId="1">#REF!</definedName>
    <definedName name="Parcial" localSheetId="17">#REF!</definedName>
    <definedName name="Parcial">#REF!</definedName>
    <definedName name="PAREDE">#REF!</definedName>
    <definedName name="PassaExtenso" localSheetId="4">#REF!</definedName>
    <definedName name="PassaExtenso" localSheetId="9">#REF!</definedName>
    <definedName name="PassaExtenso" localSheetId="2">#REF!</definedName>
    <definedName name="PassaExtenso" localSheetId="1">#REF!</definedName>
    <definedName name="PassaExtenso" localSheetId="17">#REF!</definedName>
    <definedName name="PassaExtenso">#REF!</definedName>
    <definedName name="PAV" localSheetId="15">#REF!</definedName>
    <definedName name="PAV" localSheetId="4">#REF!</definedName>
    <definedName name="PAV" localSheetId="9">#REF!</definedName>
    <definedName name="PAV" localSheetId="7">#REF!</definedName>
    <definedName name="PAV" localSheetId="2">#REF!</definedName>
    <definedName name="PAV" localSheetId="1">#REF!</definedName>
    <definedName name="PAV" localSheetId="13">#REF!</definedName>
    <definedName name="PAV" localSheetId="12">#REF!</definedName>
    <definedName name="PAV" localSheetId="11">#REF!</definedName>
    <definedName name="PAV" localSheetId="17">#REF!</definedName>
    <definedName name="PAV">#REF!</definedName>
    <definedName name="pavi" localSheetId="15">#REF!</definedName>
    <definedName name="pavi" localSheetId="4">#REF!</definedName>
    <definedName name="pavi" localSheetId="9">#REF!</definedName>
    <definedName name="pavi" localSheetId="0">#REF!</definedName>
    <definedName name="pavi" localSheetId="7">#REF!</definedName>
    <definedName name="pavi" localSheetId="2">#REF!</definedName>
    <definedName name="pavi" localSheetId="1">#REF!</definedName>
    <definedName name="pavi" localSheetId="12">#REF!</definedName>
    <definedName name="pavi" localSheetId="11">#REF!</definedName>
    <definedName name="pavi" localSheetId="17">#REF!</definedName>
    <definedName name="pavi">#REF!</definedName>
    <definedName name="Pavimento" localSheetId="2">#REF!</definedName>
    <definedName name="Pavimento" localSheetId="1">#REF!</definedName>
    <definedName name="Pavimento" localSheetId="17">#REF!</definedName>
    <definedName name="Pavimento">#REF!</definedName>
    <definedName name="PAVIMENTONOVO" localSheetId="15">#REF!</definedName>
    <definedName name="PAVIMENTONOVO" localSheetId="4">#REF!</definedName>
    <definedName name="PAVIMENTONOVO" localSheetId="9">#REF!</definedName>
    <definedName name="PAVIMENTONOVO" localSheetId="7">#REF!</definedName>
    <definedName name="PAVIMENTONOVO" localSheetId="2">#REF!</definedName>
    <definedName name="PAVIMENTONOVO" localSheetId="1">#REF!</definedName>
    <definedName name="PAVIMENTONOVO" localSheetId="12">#REF!</definedName>
    <definedName name="PAVIMENTONOVO" localSheetId="11">#REF!</definedName>
    <definedName name="PAVIMENTONOVO" localSheetId="17">#REF!</definedName>
    <definedName name="PAVIMENTONOVO">#REF!</definedName>
    <definedName name="Payment_Needed">"Pagamento necessário"</definedName>
    <definedName name="PCAP.20" localSheetId="15">#REF!</definedName>
    <definedName name="PCAP.20" localSheetId="4">#REF!</definedName>
    <definedName name="PCAP.20" localSheetId="9">#REF!</definedName>
    <definedName name="PCAP.20" localSheetId="0">#REF!</definedName>
    <definedName name="PCAP.20" localSheetId="7">#REF!</definedName>
    <definedName name="PCAP.20" localSheetId="2">#REF!</definedName>
    <definedName name="PCAP.20" localSheetId="1">#REF!</definedName>
    <definedName name="PCAP.20" localSheetId="12">#REF!</definedName>
    <definedName name="PCAP.20" localSheetId="11">#REF!</definedName>
    <definedName name="PCAP.20" localSheetId="17">#REF!</definedName>
    <definedName name="PCAP.20">#REF!</definedName>
    <definedName name="PCM.30" localSheetId="15">#REF!</definedName>
    <definedName name="PCM.30" localSheetId="4">#REF!</definedName>
    <definedName name="PCM.30" localSheetId="9">#REF!</definedName>
    <definedName name="PCM.30" localSheetId="0">#REF!</definedName>
    <definedName name="PCM.30" localSheetId="7">#REF!</definedName>
    <definedName name="PCM.30" localSheetId="2">#REF!</definedName>
    <definedName name="PCM.30" localSheetId="1">#REF!</definedName>
    <definedName name="PCM.30" localSheetId="12">#REF!</definedName>
    <definedName name="PCM.30" localSheetId="17">#REF!</definedName>
    <definedName name="PCM.30">#REF!</definedName>
    <definedName name="PEAD1200" localSheetId="15">#REF!</definedName>
    <definedName name="PEAD1200" localSheetId="4">#REF!</definedName>
    <definedName name="PEAD1200" localSheetId="9">#REF!</definedName>
    <definedName name="PEAD1200" localSheetId="0">#REF!</definedName>
    <definedName name="PEAD1200" localSheetId="7">#REF!</definedName>
    <definedName name="PEAD1200" localSheetId="2">#REF!</definedName>
    <definedName name="PEAD1200" localSheetId="1">#REF!</definedName>
    <definedName name="PEAD1200" localSheetId="12">#REF!</definedName>
    <definedName name="PEAD1200" localSheetId="11">#REF!</definedName>
    <definedName name="PEAD1200" localSheetId="17">#REF!</definedName>
    <definedName name="PEAD1200">#REF!</definedName>
    <definedName name="PEDREIRA" localSheetId="15">#REF!</definedName>
    <definedName name="PEDREIRA" localSheetId="4">#REF!</definedName>
    <definedName name="PEDREIRA" localSheetId="9">#REF!</definedName>
    <definedName name="PEDREIRA" localSheetId="7">#REF!</definedName>
    <definedName name="PEDREIRA" localSheetId="2">#REF!</definedName>
    <definedName name="PEDREIRA" localSheetId="1">#REF!</definedName>
    <definedName name="PEDREIRA" localSheetId="13">#REF!</definedName>
    <definedName name="PEDREIRA" localSheetId="12">#REF!</definedName>
    <definedName name="PEDREIRA" localSheetId="11">#REF!</definedName>
    <definedName name="PEDREIRA" localSheetId="17">#REF!</definedName>
    <definedName name="PEDREIRA">#REF!</definedName>
    <definedName name="PEN" localSheetId="15">#REF!</definedName>
    <definedName name="PEN" localSheetId="4">#REF!</definedName>
    <definedName name="PEN" localSheetId="9">#REF!</definedName>
    <definedName name="PEN" localSheetId="0">#REF!</definedName>
    <definedName name="PEN" localSheetId="7">#REF!</definedName>
    <definedName name="PEN" localSheetId="2">#REF!</definedName>
    <definedName name="PEN" localSheetId="1">#REF!</definedName>
    <definedName name="PEN" localSheetId="12">#REF!</definedName>
    <definedName name="PEN" localSheetId="11">#REF!</definedName>
    <definedName name="PEN" localSheetId="17">#REF!</definedName>
    <definedName name="PEN">#REF!</definedName>
    <definedName name="percentuais" localSheetId="15">#REF!</definedName>
    <definedName name="percentuais" localSheetId="4">#REF!</definedName>
    <definedName name="percentuais" localSheetId="9">#REF!</definedName>
    <definedName name="percentuais" localSheetId="0">#REF!</definedName>
    <definedName name="percentuais" localSheetId="7">#REF!</definedName>
    <definedName name="percentuais" localSheetId="2">#REF!</definedName>
    <definedName name="percentuais" localSheetId="1">#REF!</definedName>
    <definedName name="percentuais" localSheetId="12">#REF!</definedName>
    <definedName name="percentuais" localSheetId="11">#REF!</definedName>
    <definedName name="percentuais" localSheetId="17">#REF!</definedName>
    <definedName name="percentuais">#REF!</definedName>
    <definedName name="PercResid." localSheetId="15">#REF!</definedName>
    <definedName name="PercResid." localSheetId="4">#REF!</definedName>
    <definedName name="PercResid." localSheetId="9">#REF!</definedName>
    <definedName name="PercResid." localSheetId="7">#REF!</definedName>
    <definedName name="PercResid." localSheetId="2">#REF!</definedName>
    <definedName name="PercResid." localSheetId="1">#REF!</definedName>
    <definedName name="PercResid." localSheetId="12">#REF!</definedName>
    <definedName name="PercResid." localSheetId="17">#REF!</definedName>
    <definedName name="PercResid.">#REF!</definedName>
    <definedName name="PERIMETRO" localSheetId="2">#REF!</definedName>
    <definedName name="PERIMETRO" localSheetId="1">#REF!</definedName>
    <definedName name="PERIMETRO" localSheetId="17">#REF!</definedName>
    <definedName name="PERIMETRO">#REF!</definedName>
    <definedName name="PERIODO" localSheetId="15">#REF!</definedName>
    <definedName name="PERIODO" localSheetId="4">#REF!</definedName>
    <definedName name="PERIODO" localSheetId="9">#REF!</definedName>
    <definedName name="PERIODO" localSheetId="0">#REF!</definedName>
    <definedName name="PERIODO" localSheetId="7">#REF!</definedName>
    <definedName name="PERIODO" localSheetId="2">#REF!</definedName>
    <definedName name="PERIODO" localSheetId="1">#REF!</definedName>
    <definedName name="PERIODO" localSheetId="13">#REF!</definedName>
    <definedName name="PERIODO" localSheetId="12">#REF!</definedName>
    <definedName name="PERIODO" localSheetId="11">#REF!</definedName>
    <definedName name="PERIODO" localSheetId="17">#REF!</definedName>
    <definedName name="PERIODO">#REF!</definedName>
    <definedName name="Período" localSheetId="15">#REF!</definedName>
    <definedName name="Período" localSheetId="4">#REF!</definedName>
    <definedName name="Período" localSheetId="9">#REF!</definedName>
    <definedName name="Período" localSheetId="0">#REF!</definedName>
    <definedName name="Período" localSheetId="7">#REF!</definedName>
    <definedName name="Período" localSheetId="2">#REF!</definedName>
    <definedName name="Período" localSheetId="1">#REF!</definedName>
    <definedName name="Período" localSheetId="13">#REF!</definedName>
    <definedName name="Período" localSheetId="11">#REF!</definedName>
    <definedName name="Período" localSheetId="17">#REF!</definedName>
    <definedName name="Período">#REF!</definedName>
    <definedName name="PERIODO_LIQUIDO" localSheetId="15">#REF!</definedName>
    <definedName name="PERIODO_LIQUIDO" localSheetId="4">#REF!</definedName>
    <definedName name="PERIODO_LIQUIDO" localSheetId="9">#REF!</definedName>
    <definedName name="PERIODO_LIQUIDO" localSheetId="0">#REF!</definedName>
    <definedName name="PERIODO_LIQUIDO" localSheetId="7">#REF!</definedName>
    <definedName name="PERIODO_LIQUIDO" localSheetId="2">#REF!</definedName>
    <definedName name="PERIODO_LIQUIDO" localSheetId="1">#REF!</definedName>
    <definedName name="PERIODO_LIQUIDO" localSheetId="13">#REF!</definedName>
    <definedName name="PERIODO_LIQUIDO" localSheetId="12">#REF!</definedName>
    <definedName name="PERIODO_LIQUIDO" localSheetId="11">#REF!</definedName>
    <definedName name="PERIODO_LIQUIDO" localSheetId="17">#REF!</definedName>
    <definedName name="PERIODO_LIQUIDO">#REF!</definedName>
    <definedName name="Peso_Brita_1">#REF!</definedName>
    <definedName name="Peso_Rachão">#REF!</definedName>
    <definedName name="pesquisa" localSheetId="15">#REF!</definedName>
    <definedName name="pesquisa" localSheetId="4">#REF!</definedName>
    <definedName name="pesquisa" localSheetId="9">#REF!</definedName>
    <definedName name="pesquisa" localSheetId="0">#REF!</definedName>
    <definedName name="pesquisa" localSheetId="7">#REF!</definedName>
    <definedName name="pesquisa" localSheetId="2">#REF!</definedName>
    <definedName name="pesquisa" localSheetId="1">#REF!</definedName>
    <definedName name="pesquisa" localSheetId="12">#REF!</definedName>
    <definedName name="pesquisa" localSheetId="11">#REF!</definedName>
    <definedName name="pesquisa" localSheetId="17">#REF!</definedName>
    <definedName name="pesquisa">#REF!</definedName>
    <definedName name="PILHA" localSheetId="2">#REF!</definedName>
    <definedName name="PILHA" localSheetId="1">#REF!</definedName>
    <definedName name="PILHA" localSheetId="17">#REF!</definedName>
    <definedName name="PILHA">#REF!</definedName>
    <definedName name="PINT" localSheetId="15">#REF!</definedName>
    <definedName name="PINT" localSheetId="4">#REF!</definedName>
    <definedName name="PINT" localSheetId="9">#REF!</definedName>
    <definedName name="PINT" localSheetId="7">#REF!</definedName>
    <definedName name="PINT" localSheetId="2">#REF!</definedName>
    <definedName name="PINT" localSheetId="1">#REF!</definedName>
    <definedName name="PINT" localSheetId="13">#REF!</definedName>
    <definedName name="PINT" localSheetId="12">#REF!</definedName>
    <definedName name="PINT" localSheetId="11">#REF!</definedName>
    <definedName name="PINT" localSheetId="17">#REF!</definedName>
    <definedName name="PINT">#REF!</definedName>
    <definedName name="PINTFAIXA" localSheetId="4">#REF!</definedName>
    <definedName name="PINTFAIXA" localSheetId="2">#REF!</definedName>
    <definedName name="PINTFAIXA" localSheetId="1">#REF!</definedName>
    <definedName name="PINTFAIXA" localSheetId="17">#REF!</definedName>
    <definedName name="PINTFAIXA">#REF!</definedName>
    <definedName name="Pintura" localSheetId="17">#REF!</definedName>
    <definedName name="Pintura">#REF!</definedName>
    <definedName name="PINTURALIGAÇÃO" localSheetId="15">#REF!</definedName>
    <definedName name="PINTURALIGAÇÃO" localSheetId="4">#REF!</definedName>
    <definedName name="PINTURALIGAÇÃO" localSheetId="9">#REF!</definedName>
    <definedName name="PINTURALIGAÇÃO" localSheetId="0">#REF!</definedName>
    <definedName name="PINTURALIGAÇÃO" localSheetId="7">#REF!</definedName>
    <definedName name="PINTURALIGAÇÃO" localSheetId="2">#REF!</definedName>
    <definedName name="PINTURALIGAÇÃO" localSheetId="1">#REF!</definedName>
    <definedName name="PINTURALIGAÇÃO" localSheetId="12">#REF!</definedName>
    <definedName name="PINTURALIGAÇÃO" localSheetId="11">#REF!</definedName>
    <definedName name="PINTURALIGAÇÃO" localSheetId="17">#REF!</definedName>
    <definedName name="PINTURALIGAÇÃO">#REF!</definedName>
    <definedName name="PL" localSheetId="15">#REF!</definedName>
    <definedName name="PL" localSheetId="4">#REF!</definedName>
    <definedName name="PL" localSheetId="9">#REF!</definedName>
    <definedName name="PL" localSheetId="0">#REF!</definedName>
    <definedName name="PL" localSheetId="7">#REF!</definedName>
    <definedName name="PL" localSheetId="2">#REF!</definedName>
    <definedName name="PL" localSheetId="1">#REF!</definedName>
    <definedName name="PL" localSheetId="13">#REF!</definedName>
    <definedName name="PL" localSheetId="12">#REF!</definedName>
    <definedName name="PL" localSheetId="11">#REF!</definedName>
    <definedName name="PL" localSheetId="17">#REF!</definedName>
    <definedName name="PL">#REF!</definedName>
    <definedName name="plan" localSheetId="2">#REF!</definedName>
    <definedName name="plan" localSheetId="1">#REF!</definedName>
    <definedName name="plan" localSheetId="17">#REF!</definedName>
    <definedName name="plan">#REF!</definedName>
    <definedName name="Plan1" localSheetId="15" hidden="1">#REF!</definedName>
    <definedName name="Plan1" localSheetId="4" hidden="1">#REF!</definedName>
    <definedName name="Plan1" localSheetId="9" hidden="1">#REF!</definedName>
    <definedName name="Plan1" localSheetId="8" hidden="1">#REF!</definedName>
    <definedName name="Plan1" localSheetId="7" hidden="1">#REF!</definedName>
    <definedName name="Plan1" localSheetId="2" hidden="1">#REF!</definedName>
    <definedName name="Plan1" localSheetId="1" hidden="1">#REF!</definedName>
    <definedName name="Plan1" localSheetId="12" hidden="1">#REF!</definedName>
    <definedName name="Plan1" localSheetId="11" hidden="1">#REF!</definedName>
    <definedName name="Plan1" localSheetId="17" hidden="1">#REF!</definedName>
    <definedName name="Plan1" hidden="1">#REF!</definedName>
    <definedName name="PLANEJADA" localSheetId="15">#REF!</definedName>
    <definedName name="PLANEJADA" localSheetId="4">#REF!</definedName>
    <definedName name="PLANEJADA" localSheetId="9">#REF!</definedName>
    <definedName name="PLANEJADA" localSheetId="0">#REF!</definedName>
    <definedName name="PLANEJADA" localSheetId="2">#REF!</definedName>
    <definedName name="PLANEJADA" localSheetId="1">#REF!</definedName>
    <definedName name="PLANEJADA" localSheetId="12">#REF!</definedName>
    <definedName name="PLANEJADA" localSheetId="17">#REF!</definedName>
    <definedName name="PLANEJADA">#REF!</definedName>
    <definedName name="PLANILHA" localSheetId="2">#REF!</definedName>
    <definedName name="PLANILHA" localSheetId="1">#REF!</definedName>
    <definedName name="PLANILHA" localSheetId="17">#REF!</definedName>
    <definedName name="PLANILHA">#REF!</definedName>
    <definedName name="PLNA" localSheetId="2">#REF!</definedName>
    <definedName name="PLNA" localSheetId="1">#REF!</definedName>
    <definedName name="PLNA" localSheetId="17">#REF!</definedName>
    <definedName name="PLNA">#REF!</definedName>
    <definedName name="PMBUF" localSheetId="15">#REF!</definedName>
    <definedName name="PMBUF" localSheetId="4">#REF!</definedName>
    <definedName name="PMBUF" localSheetId="9">#REF!</definedName>
    <definedName name="PMBUF" localSheetId="0">#REF!</definedName>
    <definedName name="PMBUF" localSheetId="2">#REF!</definedName>
    <definedName name="PMBUF" localSheetId="1">#REF!</definedName>
    <definedName name="PMBUF" localSheetId="12">#REF!</definedName>
    <definedName name="PMBUF" localSheetId="17">#REF!</definedName>
    <definedName name="PMBUF">#REF!</definedName>
    <definedName name="POBRE" localSheetId="2">#REF!</definedName>
    <definedName name="POBRE" localSheetId="1">#REF!</definedName>
    <definedName name="POBRE" localSheetId="17">#REF!</definedName>
    <definedName name="POBRE">#REF!</definedName>
    <definedName name="Ponte" localSheetId="15">'CALÇADA E ACESS. - JDML'!Ponte</definedName>
    <definedName name="Ponte" localSheetId="4">'DEMOLIÇÃO - JDML'!Ponte</definedName>
    <definedName name="Ponte" localSheetId="9">'DISP. DRENAGEM - JDML'!Ponte</definedName>
    <definedName name="Ponte" localSheetId="0">DMT!Ponte</definedName>
    <definedName name="Ponte" localSheetId="8">#N/A</definedName>
    <definedName name="Ponte" localSheetId="7">'DRENAGEM - JDML'!Ponte</definedName>
    <definedName name="Ponte" localSheetId="6">#N/A</definedName>
    <definedName name="Ponte" localSheetId="2">GRELHA!Ponte</definedName>
    <definedName name="Ponte" localSheetId="1">'MAT BET'!Ponte</definedName>
    <definedName name="Ponte" localSheetId="13">'PAVIMENTAÇÃO - JDML'!Ponte</definedName>
    <definedName name="Ponte" localSheetId="3">'PRELIMINARES - JDML+JDA-E2'!Ponte</definedName>
    <definedName name="Ponte" localSheetId="12">'RECAPEAMENTO - JDML'!Ponte</definedName>
    <definedName name="Ponte" localSheetId="11">'REMENDO - JDML'!Ponte</definedName>
    <definedName name="Ponte" localSheetId="17">'SINALIZAÇÃO - JDML'!Ponte</definedName>
    <definedName name="Ponte">[0]!Ponte</definedName>
    <definedName name="PORRA" localSheetId="2">#REF!</definedName>
    <definedName name="PORRA" localSheetId="1">#REF!</definedName>
    <definedName name="PORRA" localSheetId="17">#REF!</definedName>
    <definedName name="PORRA">#REF!</definedName>
    <definedName name="Posição" localSheetId="15" hidden="1">#REF!</definedName>
    <definedName name="Posição" localSheetId="4" hidden="1">#REF!</definedName>
    <definedName name="Posição" localSheetId="9" hidden="1">#REF!</definedName>
    <definedName name="Posição" localSheetId="8" hidden="1">#REF!</definedName>
    <definedName name="Posição" localSheetId="7" hidden="1">#REF!</definedName>
    <definedName name="Posição" localSheetId="2" hidden="1">#REF!</definedName>
    <definedName name="Posição" localSheetId="1" hidden="1">#REF!</definedName>
    <definedName name="Posição" localSheetId="12" hidden="1">#REF!</definedName>
    <definedName name="Posição" localSheetId="11" hidden="1">#REF!</definedName>
    <definedName name="Posição" localSheetId="17" hidden="1">#REF!</definedName>
    <definedName name="Posição" hidden="1">#REF!</definedName>
    <definedName name="potencia" localSheetId="15">#REF!</definedName>
    <definedName name="potencia" localSheetId="4">#REF!</definedName>
    <definedName name="potencia" localSheetId="9">#REF!</definedName>
    <definedName name="potencia" localSheetId="2">#REF!</definedName>
    <definedName name="potencia" localSheetId="1">#REF!</definedName>
    <definedName name="potencia" localSheetId="12">#REF!</definedName>
    <definedName name="potencia" localSheetId="17">#REF!</definedName>
    <definedName name="potencia">#REF!</definedName>
    <definedName name="Prd" hidden="1">#N/A</definedName>
    <definedName name="PrdAux" hidden="1">#N/A</definedName>
    <definedName name="PRE" localSheetId="2">#REF!</definedName>
    <definedName name="PRE" localSheetId="1">#REF!</definedName>
    <definedName name="PRE" localSheetId="17">#REF!</definedName>
    <definedName name="PRE">#REF!</definedName>
    <definedName name="precipitações" localSheetId="15">#REF!</definedName>
    <definedName name="precipitações" localSheetId="4">#REF!</definedName>
    <definedName name="precipitações" localSheetId="9">#REF!</definedName>
    <definedName name="precipitações" localSheetId="0">#REF!</definedName>
    <definedName name="precipitações" localSheetId="7">#REF!</definedName>
    <definedName name="precipitações" localSheetId="2">#REF!</definedName>
    <definedName name="precipitações" localSheetId="1">#REF!</definedName>
    <definedName name="precipitações" localSheetId="12">#REF!</definedName>
    <definedName name="precipitações" localSheetId="11">#REF!</definedName>
    <definedName name="precipitações" localSheetId="17">#REF!</definedName>
    <definedName name="precipitações">#REF!</definedName>
    <definedName name="Preço_Improd." localSheetId="15">#REF!</definedName>
    <definedName name="Preço_Improd." localSheetId="4">#REF!</definedName>
    <definedName name="Preço_Improd." localSheetId="9">#REF!</definedName>
    <definedName name="Preço_Improd." localSheetId="2">#REF!</definedName>
    <definedName name="Preço_Improd." localSheetId="1">#REF!</definedName>
    <definedName name="Preço_Improd." localSheetId="12">#REF!</definedName>
    <definedName name="Preço_Improd." localSheetId="17">#REF!</definedName>
    <definedName name="Preço_Improd.">#REF!</definedName>
    <definedName name="Preço_prod." localSheetId="15">#REF!</definedName>
    <definedName name="Preço_prod." localSheetId="4">#REF!</definedName>
    <definedName name="Preço_prod." localSheetId="9">#REF!</definedName>
    <definedName name="Preço_prod." localSheetId="2">#REF!</definedName>
    <definedName name="Preço_prod." localSheetId="1">#REF!</definedName>
    <definedName name="Preço_prod." localSheetId="12">#REF!</definedName>
    <definedName name="Preço_prod." localSheetId="17">#REF!</definedName>
    <definedName name="Preço_prod.">#REF!</definedName>
    <definedName name="preco1" localSheetId="15">#REF!</definedName>
    <definedName name="preco1" localSheetId="4">#REF!</definedName>
    <definedName name="preco1" localSheetId="9">#REF!</definedName>
    <definedName name="preco1" localSheetId="2">#REF!</definedName>
    <definedName name="preco1" localSheetId="1">#REF!</definedName>
    <definedName name="preco1" localSheetId="12">#REF!</definedName>
    <definedName name="preco1" localSheetId="17">#REF!</definedName>
    <definedName name="preco1">#REF!</definedName>
    <definedName name="Print" localSheetId="15">#REF!</definedName>
    <definedName name="Print" localSheetId="4">#REF!</definedName>
    <definedName name="Print" localSheetId="9">#REF!</definedName>
    <definedName name="Print" localSheetId="7">#REF!</definedName>
    <definedName name="Print" localSheetId="2">#REF!</definedName>
    <definedName name="Print" localSheetId="1">#REF!</definedName>
    <definedName name="Print" localSheetId="12">#REF!</definedName>
    <definedName name="Print" localSheetId="11">#REF!</definedName>
    <definedName name="Print" localSheetId="17">#REF!</definedName>
    <definedName name="Print">#REF!</definedName>
    <definedName name="Print_01" localSheetId="15">#REF!</definedName>
    <definedName name="Print_01" localSheetId="4">#REF!</definedName>
    <definedName name="Print_01" localSheetId="9">#REF!</definedName>
    <definedName name="Print_01" localSheetId="0">#REF!</definedName>
    <definedName name="Print_01" localSheetId="7">#REF!</definedName>
    <definedName name="Print_01" localSheetId="2">#REF!</definedName>
    <definedName name="Print_01" localSheetId="1">#REF!</definedName>
    <definedName name="Print_01" localSheetId="12">#REF!</definedName>
    <definedName name="Print_01" localSheetId="11">#REF!</definedName>
    <definedName name="Print_01" localSheetId="17">#REF!</definedName>
    <definedName name="Print_01">#REF!</definedName>
    <definedName name="Print_Area_MI" localSheetId="0">#REF!</definedName>
    <definedName name="Print_Area_MI">#N/A</definedName>
    <definedName name="PRINT_TITLES_MI" localSheetId="2">#REF!</definedName>
    <definedName name="PRINT_TITLES_MI" localSheetId="1">#REF!</definedName>
    <definedName name="PRINT_TITLES_MI" localSheetId="17">#REF!</definedName>
    <definedName name="PRINT_TITLES_MI">#REF!</definedName>
    <definedName name="PRL.1C" localSheetId="15">#REF!</definedName>
    <definedName name="PRL.1C" localSheetId="4">#REF!</definedName>
    <definedName name="PRL.1C" localSheetId="9">#REF!</definedName>
    <definedName name="PRL.1C" localSheetId="0">#REF!</definedName>
    <definedName name="PRL.1C" localSheetId="7">#REF!</definedName>
    <definedName name="PRL.1C" localSheetId="2">#REF!</definedName>
    <definedName name="PRL.1C" localSheetId="1">#REF!</definedName>
    <definedName name="PRL.1C" localSheetId="12">#REF!</definedName>
    <definedName name="PRL.1C" localSheetId="11">#REF!</definedName>
    <definedName name="PRL.1C" localSheetId="17">#REF!</definedName>
    <definedName name="PRL.1C">#REF!</definedName>
    <definedName name="PRM.1C" localSheetId="15">#REF!</definedName>
    <definedName name="PRM.1C" localSheetId="4">#REF!</definedName>
    <definedName name="PRM.1C" localSheetId="9">#REF!</definedName>
    <definedName name="PRM.1C" localSheetId="0">#REF!</definedName>
    <definedName name="PRM.1C" localSheetId="2">#REF!</definedName>
    <definedName name="PRM.1C" localSheetId="1">#REF!</definedName>
    <definedName name="PRM.1C" localSheetId="12">#REF!</definedName>
    <definedName name="PRM.1C" localSheetId="17">#REF!</definedName>
    <definedName name="PRM.1C">#REF!</definedName>
    <definedName name="PROCESSO" localSheetId="15">#REF!</definedName>
    <definedName name="PROCESSO" localSheetId="4">#REF!</definedName>
    <definedName name="PROCESSO" localSheetId="9">#REF!</definedName>
    <definedName name="PROCESSO" localSheetId="7">#REF!</definedName>
    <definedName name="PROCESSO" localSheetId="2">#REF!</definedName>
    <definedName name="PROCESSO" localSheetId="1">#REF!</definedName>
    <definedName name="PROCESSO" localSheetId="13">#REF!</definedName>
    <definedName name="PROCESSO" localSheetId="12">#REF!</definedName>
    <definedName name="PROCESSO" localSheetId="11">#REF!</definedName>
    <definedName name="PROCESSO" localSheetId="17">#REF!</definedName>
    <definedName name="PROCESSO">#REF!</definedName>
    <definedName name="produção" localSheetId="15">#REF!</definedName>
    <definedName name="produção" localSheetId="4">#REF!</definedName>
    <definedName name="produção" localSheetId="9">#REF!</definedName>
    <definedName name="produção" localSheetId="7">#REF!</definedName>
    <definedName name="produção" localSheetId="2">#REF!</definedName>
    <definedName name="produção" localSheetId="1">#REF!</definedName>
    <definedName name="produção" localSheetId="12">#REF!</definedName>
    <definedName name="produção" localSheetId="11">#REF!</definedName>
    <definedName name="produção" localSheetId="17">#REF!</definedName>
    <definedName name="produção">#REF!</definedName>
    <definedName name="produçao1" localSheetId="15">#REF!</definedName>
    <definedName name="produçao1" localSheetId="4">#REF!</definedName>
    <definedName name="produçao1" localSheetId="9">#REF!</definedName>
    <definedName name="produçao1" localSheetId="7">#REF!</definedName>
    <definedName name="produçao1" localSheetId="2">#REF!</definedName>
    <definedName name="produçao1" localSheetId="1">#REF!</definedName>
    <definedName name="produçao1" localSheetId="12">#REF!</definedName>
    <definedName name="produçao1" localSheetId="17">#REF!</definedName>
    <definedName name="produçao1">#REF!</definedName>
    <definedName name="PRR.1C" localSheetId="15">#REF!</definedName>
    <definedName name="PRR.1C" localSheetId="4">#REF!</definedName>
    <definedName name="PRR.1C" localSheetId="9">#REF!</definedName>
    <definedName name="PRR.1C" localSheetId="0">#REF!</definedName>
    <definedName name="PRR.1C" localSheetId="2">#REF!</definedName>
    <definedName name="PRR.1C" localSheetId="1">#REF!</definedName>
    <definedName name="PRR.1C" localSheetId="12">#REF!</definedName>
    <definedName name="PRR.1C" localSheetId="17">#REF!</definedName>
    <definedName name="PRR.1C">#REF!</definedName>
    <definedName name="Pto" localSheetId="15">ROUND(#REF!*#REF!,2)</definedName>
    <definedName name="Pto" localSheetId="4">ROUND(#REF!*#REF!,2)</definedName>
    <definedName name="Pto" localSheetId="9">ROUND(#REF!*#REF!,2)</definedName>
    <definedName name="Pto" localSheetId="7">ROUND(#REF!*#REF!,2)</definedName>
    <definedName name="Pto" localSheetId="2">ROUND(#REF!*#REF!,2)</definedName>
    <definedName name="Pto" localSheetId="1">ROUND(#REF!*#REF!,2)</definedName>
    <definedName name="Pto" localSheetId="12">ROUND(#REF!*#REF!,2)</definedName>
    <definedName name="Pto" localSheetId="11">ROUND(#REF!*#REF!,2)</definedName>
    <definedName name="Pto">ROUND(#REF!*#REF!,2)</definedName>
    <definedName name="Pun">#N/A</definedName>
    <definedName name="pveg" localSheetId="15" hidden="1">{#N/A,#N/A,FALSE,"MO (2)"}</definedName>
    <definedName name="pveg" localSheetId="8" hidden="1">{#N/A,#N/A,FALSE,"MO (2)"}</definedName>
    <definedName name="pveg" localSheetId="6" hidden="1">{#N/A,#N/A,FALSE,"MO (2)"}</definedName>
    <definedName name="pveg" localSheetId="2" hidden="1">{#N/A,#N/A,FALSE,"MO (2)"}</definedName>
    <definedName name="pveg" localSheetId="13" hidden="1">{#N/A,#N/A,FALSE,"MO (2)"}</definedName>
    <definedName name="pveg" localSheetId="12" hidden="1">{#N/A,#N/A,FALSE,"MO (2)"}</definedName>
    <definedName name="pveg" localSheetId="17" hidden="1">{#N/A,#N/A,FALSE,"MO (2)"}</definedName>
    <definedName name="pveg" hidden="1">{#N/A,#N/A,FALSE,"MO (2)"}</definedName>
    <definedName name="q" localSheetId="15">#REF!</definedName>
    <definedName name="q" localSheetId="4">#REF!</definedName>
    <definedName name="q" localSheetId="9">#REF!</definedName>
    <definedName name="q" localSheetId="0">#REF!</definedName>
    <definedName name="q" localSheetId="7">#REF!</definedName>
    <definedName name="q" localSheetId="2">#REF!</definedName>
    <definedName name="q" localSheetId="1">#REF!</definedName>
    <definedName name="q" localSheetId="13">#REF!</definedName>
    <definedName name="q" localSheetId="12">#REF!</definedName>
    <definedName name="q" localSheetId="11">#REF!</definedName>
    <definedName name="q" localSheetId="17">#REF!</definedName>
    <definedName name="q">#REF!</definedName>
    <definedName name="qadfhnbxfc" localSheetId="15">#REF!</definedName>
    <definedName name="qadfhnbxfc" localSheetId="4">#REF!</definedName>
    <definedName name="qadfhnbxfc" localSheetId="9">#REF!</definedName>
    <definedName name="qadfhnbxfc" localSheetId="0">#REF!</definedName>
    <definedName name="qadfhnbxfc" localSheetId="7">#REF!</definedName>
    <definedName name="qadfhnbxfc" localSheetId="2">#REF!</definedName>
    <definedName name="qadfhnbxfc" localSheetId="1">#REF!</definedName>
    <definedName name="qadfhnbxfc" localSheetId="12">#REF!</definedName>
    <definedName name="qadfhnbxfc" localSheetId="11">#REF!</definedName>
    <definedName name="qadfhnbxfc" localSheetId="17">#REF!</definedName>
    <definedName name="qadfhnbxfc">#REF!</definedName>
    <definedName name="QD" localSheetId="15" hidden="1">#REF!</definedName>
    <definedName name="QD" localSheetId="4" hidden="1">#REF!</definedName>
    <definedName name="QD" localSheetId="9" hidden="1">#REF!</definedName>
    <definedName name="QD" localSheetId="7" hidden="1">#REF!</definedName>
    <definedName name="QD" localSheetId="2" hidden="1">#REF!</definedName>
    <definedName name="QD" localSheetId="1" hidden="1">#REF!</definedName>
    <definedName name="QD" localSheetId="12" hidden="1">#REF!</definedName>
    <definedName name="QD" localSheetId="17" hidden="1">#REF!</definedName>
    <definedName name="QD" hidden="1">#REF!</definedName>
    <definedName name="QQ_2" localSheetId="15">'CALÇADA E ACESS. - JDML'!QQ_2</definedName>
    <definedName name="QQ_2" localSheetId="4">'DEMOLIÇÃO - JDML'!QQ_2</definedName>
    <definedName name="QQ_2" localSheetId="9">'DISP. DRENAGEM - JDML'!QQ_2</definedName>
    <definedName name="QQ_2" localSheetId="0">DMT!QQ_2</definedName>
    <definedName name="QQ_2" localSheetId="8">#N/A</definedName>
    <definedName name="QQ_2" localSheetId="7">'DRENAGEM - JDML'!QQ_2</definedName>
    <definedName name="QQ_2" localSheetId="6">#N/A</definedName>
    <definedName name="QQ_2" localSheetId="2">GRELHA!QQ_2</definedName>
    <definedName name="QQ_2" localSheetId="1">'MAT BET'!QQ_2</definedName>
    <definedName name="QQ_2" localSheetId="13">'PAVIMENTAÇÃO - JDML'!QQ_2</definedName>
    <definedName name="QQ_2" localSheetId="3">'PRELIMINARES - JDML+JDA-E2'!QQ_2</definedName>
    <definedName name="QQ_2" localSheetId="12">'RECAPEAMENTO - JDML'!QQ_2</definedName>
    <definedName name="QQ_2" localSheetId="11">'REMENDO - JDML'!QQ_2</definedName>
    <definedName name="QQ_2" localSheetId="17">'SINALIZAÇÃO - JDML'!QQ_2</definedName>
    <definedName name="QQ_2">[0]!QQ_2</definedName>
    <definedName name="QTD" localSheetId="15" hidden="1">#REF!</definedName>
    <definedName name="QTD" localSheetId="4" hidden="1">#REF!</definedName>
    <definedName name="QTD" localSheetId="9" hidden="1">#REF!</definedName>
    <definedName name="QTD" localSheetId="8" hidden="1">#REF!</definedName>
    <definedName name="QTD" localSheetId="7" hidden="1">#REF!</definedName>
    <definedName name="QTD" localSheetId="2" hidden="1">#REF!</definedName>
    <definedName name="QTD" localSheetId="1" hidden="1">#REF!</definedName>
    <definedName name="QTD" localSheetId="12" hidden="1">#REF!</definedName>
    <definedName name="QTD" localSheetId="11" hidden="1">#REF!</definedName>
    <definedName name="QTD" localSheetId="17" hidden="1">#REF!</definedName>
    <definedName name="QTD" hidden="1">#REF!</definedName>
    <definedName name="QTDE" localSheetId="15" hidden="1">{#N/A,#N/A,FALSE,"MO (2)"}</definedName>
    <definedName name="QTDE" localSheetId="8" hidden="1">{#N/A,#N/A,FALSE,"MO (2)"}</definedName>
    <definedName name="QTDE" localSheetId="6" hidden="1">{#N/A,#N/A,FALSE,"MO (2)"}</definedName>
    <definedName name="QTDE" localSheetId="2" hidden="1">{#N/A,#N/A,FALSE,"MO (2)"}</definedName>
    <definedName name="QTDE" localSheetId="13" hidden="1">{#N/A,#N/A,FALSE,"MO (2)"}</definedName>
    <definedName name="QTDE" localSheetId="12" hidden="1">{#N/A,#N/A,FALSE,"MO (2)"}</definedName>
    <definedName name="QTDE" localSheetId="17" hidden="1">{#N/A,#N/A,FALSE,"MO (2)"}</definedName>
    <definedName name="QTDE" hidden="1">{#N/A,#N/A,FALSE,"MO (2)"}</definedName>
    <definedName name="QtEq" localSheetId="15" hidden="1">#REF!</definedName>
    <definedName name="QtEq" localSheetId="4" hidden="1">#REF!</definedName>
    <definedName name="QtEq" localSheetId="9" hidden="1">#REF!</definedName>
    <definedName name="QtEq" localSheetId="2" hidden="1">#REF!</definedName>
    <definedName name="QtEq" localSheetId="1" hidden="1">#REF!</definedName>
    <definedName name="QtEq" localSheetId="12" hidden="1">#REF!</definedName>
    <definedName name="QtEq" localSheetId="17" hidden="1">#REF!</definedName>
    <definedName name="QtEq" hidden="1">#REF!</definedName>
    <definedName name="QtMo" localSheetId="15" hidden="1">#REF!</definedName>
    <definedName name="QtMo" localSheetId="4" hidden="1">#REF!</definedName>
    <definedName name="QtMo" localSheetId="9" hidden="1">#REF!</definedName>
    <definedName name="QtMo" localSheetId="2" hidden="1">#REF!</definedName>
    <definedName name="QtMo" localSheetId="1" hidden="1">#REF!</definedName>
    <definedName name="QtMo" localSheetId="12" hidden="1">#REF!</definedName>
    <definedName name="QtMo" localSheetId="17" hidden="1">#REF!</definedName>
    <definedName name="QtMo" hidden="1">#REF!</definedName>
    <definedName name="QtMp" localSheetId="15" hidden="1">#REF!</definedName>
    <definedName name="QtMp" localSheetId="4" hidden="1">#REF!</definedName>
    <definedName name="QtMp" localSheetId="9" hidden="1">#REF!</definedName>
    <definedName name="QtMp" localSheetId="2" hidden="1">#REF!</definedName>
    <definedName name="QtMp" localSheetId="1" hidden="1">#REF!</definedName>
    <definedName name="QtMp" localSheetId="12" hidden="1">#REF!</definedName>
    <definedName name="QtMp" localSheetId="17" hidden="1">#REF!</definedName>
    <definedName name="QtMp" hidden="1">#REF!</definedName>
    <definedName name="QtTr" localSheetId="15" hidden="1">#REF!</definedName>
    <definedName name="QtTr" localSheetId="4" hidden="1">#REF!</definedName>
    <definedName name="QtTr" localSheetId="9" hidden="1">#REF!</definedName>
    <definedName name="QtTr" localSheetId="2" hidden="1">#REF!</definedName>
    <definedName name="QtTr" localSheetId="1" hidden="1">#REF!</definedName>
    <definedName name="QtTr" localSheetId="12" hidden="1">#REF!</definedName>
    <definedName name="QtTr" localSheetId="17" hidden="1">#REF!</definedName>
    <definedName name="QtTr" hidden="1">#REF!</definedName>
    <definedName name="Quadra" localSheetId="15" hidden="1">{#N/A,#N/A,FALSE,"MO (2)"}</definedName>
    <definedName name="Quadra" localSheetId="8" hidden="1">{#N/A,#N/A,FALSE,"MO (2)"}</definedName>
    <definedName name="Quadra" localSheetId="6" hidden="1">{#N/A,#N/A,FALSE,"MO (2)"}</definedName>
    <definedName name="Quadra" localSheetId="2" hidden="1">{#N/A,#N/A,FALSE,"MO (2)"}</definedName>
    <definedName name="Quadra" localSheetId="13" hidden="1">{#N/A,#N/A,FALSE,"MO (2)"}</definedName>
    <definedName name="Quadra" localSheetId="12" hidden="1">{#N/A,#N/A,FALSE,"MO (2)"}</definedName>
    <definedName name="Quadra" localSheetId="17" hidden="1">{#N/A,#N/A,FALSE,"MO (2)"}</definedName>
    <definedName name="Quadra" hidden="1">{#N/A,#N/A,FALSE,"MO (2)"}</definedName>
    <definedName name="QUADRA2" localSheetId="15" hidden="1">{#N/A,#N/A,FALSE,"MO (2)"}</definedName>
    <definedName name="QUADRA2" localSheetId="8" hidden="1">{#N/A,#N/A,FALSE,"MO (2)"}</definedName>
    <definedName name="QUADRA2" localSheetId="6" hidden="1">{#N/A,#N/A,FALSE,"MO (2)"}</definedName>
    <definedName name="QUADRA2" localSheetId="2" hidden="1">{#N/A,#N/A,FALSE,"MO (2)"}</definedName>
    <definedName name="QUADRA2" localSheetId="13" hidden="1">{#N/A,#N/A,FALSE,"MO (2)"}</definedName>
    <definedName name="QUADRA2" localSheetId="12" hidden="1">{#N/A,#N/A,FALSE,"MO (2)"}</definedName>
    <definedName name="QUADRA2" localSheetId="17" hidden="1">{#N/A,#N/A,FALSE,"MO (2)"}</definedName>
    <definedName name="QUADRA2" hidden="1">{#N/A,#N/A,FALSE,"MO (2)"}</definedName>
    <definedName name="QUANT" localSheetId="15" hidden="1">{#N/A,#N/A,FALSE,"MO (2)"}</definedName>
    <definedName name="QUANT" localSheetId="8" hidden="1">{#N/A,#N/A,FALSE,"MO (2)"}</definedName>
    <definedName name="QUANT" localSheetId="6" hidden="1">{#N/A,#N/A,FALSE,"MO (2)"}</definedName>
    <definedName name="QUANT" localSheetId="2" hidden="1">{#N/A,#N/A,FALSE,"MO (2)"}</definedName>
    <definedName name="QUANT" localSheetId="13" hidden="1">{#N/A,#N/A,FALSE,"MO (2)"}</definedName>
    <definedName name="QUANT" localSheetId="12" hidden="1">{#N/A,#N/A,FALSE,"MO (2)"}</definedName>
    <definedName name="QUANT" localSheetId="17" hidden="1">{#N/A,#N/A,FALSE,"MO (2)"}</definedName>
    <definedName name="QUANT" hidden="1">{#N/A,#N/A,FALSE,"MO (2)"}</definedName>
    <definedName name="Quant." localSheetId="15">#REF!</definedName>
    <definedName name="Quant." localSheetId="4">#REF!</definedName>
    <definedName name="Quant." localSheetId="9">#REF!</definedName>
    <definedName name="Quant." localSheetId="2">#REF!</definedName>
    <definedName name="Quant." localSheetId="1">#REF!</definedName>
    <definedName name="Quant." localSheetId="12">#REF!</definedName>
    <definedName name="Quant." localSheetId="17">#REF!</definedName>
    <definedName name="Quant.">#REF!</definedName>
    <definedName name="Quant.1" localSheetId="15">#REF!</definedName>
    <definedName name="Quant.1" localSheetId="4">#REF!</definedName>
    <definedName name="Quant.1" localSheetId="9">#REF!</definedName>
    <definedName name="Quant.1" localSheetId="2">#REF!</definedName>
    <definedName name="Quant.1" localSheetId="1">#REF!</definedName>
    <definedName name="Quant.1" localSheetId="12">#REF!</definedName>
    <definedName name="Quant.1" localSheetId="17">#REF!</definedName>
    <definedName name="Quant.1">#REF!</definedName>
    <definedName name="QUANTIDADE" localSheetId="15">#REF!</definedName>
    <definedName name="QUANTIDADE" localSheetId="4">#REF!</definedName>
    <definedName name="QUANTIDADE" localSheetId="9">#REF!</definedName>
    <definedName name="QUANTIDADE" localSheetId="2">#REF!</definedName>
    <definedName name="QUANTIDADE" localSheetId="1">#REF!</definedName>
    <definedName name="QUANTIDADE" localSheetId="12">#REF!</definedName>
    <definedName name="QUANTIDADE" localSheetId="17">#REF!</definedName>
    <definedName name="QUANTIDADE">#REF!</definedName>
    <definedName name="Quantidades" localSheetId="15" hidden="1">{#N/A,#N/A,FALSE,"MO (2)"}</definedName>
    <definedName name="Quantidades" localSheetId="8" hidden="1">{#N/A,#N/A,FALSE,"MO (2)"}</definedName>
    <definedName name="Quantidades" localSheetId="6" hidden="1">{#N/A,#N/A,FALSE,"MO (2)"}</definedName>
    <definedName name="Quantidades" localSheetId="2" hidden="1">{#N/A,#N/A,FALSE,"MO (2)"}</definedName>
    <definedName name="Quantidades" localSheetId="13" hidden="1">{#N/A,#N/A,FALSE,"MO (2)"}</definedName>
    <definedName name="Quantidades" localSheetId="12" hidden="1">{#N/A,#N/A,FALSE,"MO (2)"}</definedName>
    <definedName name="Quantidades" localSheetId="17" hidden="1">{#N/A,#N/A,FALSE,"MO (2)"}</definedName>
    <definedName name="Quantidades" hidden="1">{#N/A,#N/A,FALSE,"MO (2)"}</definedName>
    <definedName name="QW" localSheetId="2">#REF!</definedName>
    <definedName name="QW" localSheetId="1">#REF!</definedName>
    <definedName name="QW" localSheetId="17">#REF!</definedName>
    <definedName name="QW">#REF!</definedName>
    <definedName name="Rachão" localSheetId="15">'CALÇADA E ACESS. - JDML'!Rachão</definedName>
    <definedName name="Rachão" localSheetId="4">'DEMOLIÇÃO - JDML'!Rachão</definedName>
    <definedName name="Rachão" localSheetId="9">'DISP. DRENAGEM - JDML'!Rachão</definedName>
    <definedName name="Rachão" localSheetId="0">DMT!Rachão</definedName>
    <definedName name="Rachão" localSheetId="8">#N/A</definedName>
    <definedName name="Rachão" localSheetId="7">'DRENAGEM - JDML'!Rachão</definedName>
    <definedName name="Rachão" localSheetId="6">#N/A</definedName>
    <definedName name="Rachão" localSheetId="2">GRELHA!Rachão</definedName>
    <definedName name="Rachão" localSheetId="1">'MAT BET'!Rachão</definedName>
    <definedName name="Rachão" localSheetId="13">'PAVIMENTAÇÃO - JDML'!Rachão</definedName>
    <definedName name="Rachão" localSheetId="3">'PRELIMINARES - JDML+JDA-E2'!Rachão</definedName>
    <definedName name="Rachão" localSheetId="12">'RECAPEAMENTO - JDML'!Rachão</definedName>
    <definedName name="Rachão" localSheetId="11">'REMENDO - JDML'!Rachão</definedName>
    <definedName name="Rachão" localSheetId="17">'SINALIZAÇÃO - JDML'!Rachão</definedName>
    <definedName name="Rachão">[0]!Rachão</definedName>
    <definedName name="RBV" localSheetId="4">#REF!</definedName>
    <definedName name="RBV" localSheetId="0">#REF!</definedName>
    <definedName name="RBV" localSheetId="2">#REF!</definedName>
    <definedName name="RBV" localSheetId="1">#REF!</definedName>
    <definedName name="RBV" localSheetId="17">#REF!</definedName>
    <definedName name="RBV">#REF!</definedName>
    <definedName name="RCGP" localSheetId="15">#REF!</definedName>
    <definedName name="RCGP" localSheetId="4">#REF!</definedName>
    <definedName name="RCGP" localSheetId="9">#REF!</definedName>
    <definedName name="RCGP" localSheetId="0">#REF!</definedName>
    <definedName name="RCGP" localSheetId="7">#REF!</definedName>
    <definedName name="RCGP" localSheetId="2">#REF!</definedName>
    <definedName name="RCGP" localSheetId="1">#REF!</definedName>
    <definedName name="RCGP" localSheetId="12">#REF!</definedName>
    <definedName name="RCGP" localSheetId="11">#REF!</definedName>
    <definedName name="RCGP" localSheetId="17">#REF!</definedName>
    <definedName name="RCGP">#REF!</definedName>
    <definedName name="RCOLONIAO" localSheetId="4">#REF!</definedName>
    <definedName name="RCOLONIAO" localSheetId="2">#REF!</definedName>
    <definedName name="RCOLONIAO" localSheetId="1">#REF!</definedName>
    <definedName name="RCOLONIAO" localSheetId="17">#REF!</definedName>
    <definedName name="RCOLONIAO">#REF!</definedName>
    <definedName name="RDEF" localSheetId="15">#REF!</definedName>
    <definedName name="RDEF" localSheetId="4">#REF!</definedName>
    <definedName name="RDEF" localSheetId="9">#REF!</definedName>
    <definedName name="RDEF" localSheetId="7">#REF!</definedName>
    <definedName name="RDEF" localSheetId="2">#REF!</definedName>
    <definedName name="RDEF" localSheetId="1">#REF!</definedName>
    <definedName name="RDEF" localSheetId="13">#REF!</definedName>
    <definedName name="RDEF" localSheetId="12">#REF!</definedName>
    <definedName name="RDEF" localSheetId="11">#REF!</definedName>
    <definedName name="RDEF" localSheetId="17">#REF!</definedName>
    <definedName name="RDEF">#REF!</definedName>
    <definedName name="reaj" localSheetId="15">#REF!</definedName>
    <definedName name="reaj" localSheetId="4">#REF!</definedName>
    <definedName name="reaj" localSheetId="9">#REF!</definedName>
    <definedName name="reaj" localSheetId="0">#REF!</definedName>
    <definedName name="reaj" localSheetId="7">#REF!</definedName>
    <definedName name="reaj" localSheetId="2">#REF!</definedName>
    <definedName name="reaj" localSheetId="1">#REF!</definedName>
    <definedName name="reaj" localSheetId="13">#REF!</definedName>
    <definedName name="reaj" localSheetId="12">#REF!</definedName>
    <definedName name="reaj" localSheetId="11">#REF!</definedName>
    <definedName name="reaj" localSheetId="17">#REF!</definedName>
    <definedName name="reaj">#REF!</definedName>
    <definedName name="REAJ1" localSheetId="15">#REF!</definedName>
    <definedName name="REAJ1" localSheetId="4">#REF!</definedName>
    <definedName name="REAJ1" localSheetId="9">#REF!</definedName>
    <definedName name="REAJ1" localSheetId="0">#REF!</definedName>
    <definedName name="REAJ1" localSheetId="7">#REF!</definedName>
    <definedName name="REAJ1" localSheetId="2">#REF!</definedName>
    <definedName name="REAJ1" localSheetId="1">#REF!</definedName>
    <definedName name="REAJ1" localSheetId="13">#REF!</definedName>
    <definedName name="REAJ1" localSheetId="12">#REF!</definedName>
    <definedName name="REAJ1" localSheetId="11">#REF!</definedName>
    <definedName name="REAJ1" localSheetId="17">#REF!</definedName>
    <definedName name="REAJ1">#REF!</definedName>
    <definedName name="REAJ2" localSheetId="15">#REF!</definedName>
    <definedName name="REAJ2" localSheetId="4">#REF!</definedName>
    <definedName name="REAJ2" localSheetId="9">#REF!</definedName>
    <definedName name="REAJ2" localSheetId="0">#REF!</definedName>
    <definedName name="REAJ2" localSheetId="7">#REF!</definedName>
    <definedName name="REAJ2" localSheetId="2">#REF!</definedName>
    <definedName name="REAJ2" localSheetId="1">#REF!</definedName>
    <definedName name="REAJ2" localSheetId="13">#REF!</definedName>
    <definedName name="REAJ2" localSheetId="12">#REF!</definedName>
    <definedName name="REAJ2" localSheetId="11">#REF!</definedName>
    <definedName name="REAJ2" localSheetId="17">#REF!</definedName>
    <definedName name="REAJ2">#REF!</definedName>
    <definedName name="REAJ3" localSheetId="15">#REF!</definedName>
    <definedName name="REAJ3" localSheetId="4">#REF!</definedName>
    <definedName name="REAJ3" localSheetId="9">#REF!</definedName>
    <definedName name="REAJ3" localSheetId="0">#REF!</definedName>
    <definedName name="REAJ3" localSheetId="7">#REF!</definedName>
    <definedName name="REAJ3" localSheetId="2">#REF!</definedName>
    <definedName name="REAJ3" localSheetId="1">#REF!</definedName>
    <definedName name="REAJ3" localSheetId="13">#REF!</definedName>
    <definedName name="REAJ3" localSheetId="12">#REF!</definedName>
    <definedName name="REAJ3" localSheetId="11">#REF!</definedName>
    <definedName name="REAJ3" localSheetId="17">#REF!</definedName>
    <definedName name="REAJ3">#REF!</definedName>
    <definedName name="REAJ4" localSheetId="15">#REF!</definedName>
    <definedName name="REAJ4" localSheetId="4">#REF!</definedName>
    <definedName name="REAJ4" localSheetId="9">#REF!</definedName>
    <definedName name="REAJ4" localSheetId="0">#REF!</definedName>
    <definedName name="REAJ4" localSheetId="7">#REF!</definedName>
    <definedName name="REAJ4" localSheetId="2">#REF!</definedName>
    <definedName name="REAJ4" localSheetId="1">#REF!</definedName>
    <definedName name="REAJ4" localSheetId="13">#REF!</definedName>
    <definedName name="REAJ4" localSheetId="12">#REF!</definedName>
    <definedName name="REAJ4" localSheetId="11">#REF!</definedName>
    <definedName name="REAJ4" localSheetId="17">#REF!</definedName>
    <definedName name="REAJ4">#REF!</definedName>
    <definedName name="REAJ5" localSheetId="15">#REF!</definedName>
    <definedName name="REAJ5" localSheetId="4">#REF!</definedName>
    <definedName name="REAJ5" localSheetId="9">#REF!</definedName>
    <definedName name="REAJ5" localSheetId="0">#REF!</definedName>
    <definedName name="REAJ5" localSheetId="7">#REF!</definedName>
    <definedName name="REAJ5" localSheetId="2">#REF!</definedName>
    <definedName name="REAJ5" localSheetId="1">#REF!</definedName>
    <definedName name="REAJ5" localSheetId="13">#REF!</definedName>
    <definedName name="REAJ5" localSheetId="12">#REF!</definedName>
    <definedName name="REAJ5" localSheetId="11">#REF!</definedName>
    <definedName name="REAJ5" localSheetId="17">#REF!</definedName>
    <definedName name="REAJ5">#REF!</definedName>
    <definedName name="REAJAQUISIÇÃO" localSheetId="15">#REF!</definedName>
    <definedName name="REAJAQUISIÇÃO" localSheetId="4">#REF!</definedName>
    <definedName name="REAJAQUISIÇÃO" localSheetId="9">#REF!</definedName>
    <definedName name="REAJAQUISIÇÃO" localSheetId="0">#REF!</definedName>
    <definedName name="REAJAQUISIÇÃO" localSheetId="7">#REF!</definedName>
    <definedName name="REAJAQUISIÇÃO" localSheetId="2">#REF!</definedName>
    <definedName name="REAJAQUISIÇÃO" localSheetId="1">#REF!</definedName>
    <definedName name="REAJAQUISIÇÃO" localSheetId="12">#REF!</definedName>
    <definedName name="REAJAQUISIÇÃO" localSheetId="11">#REF!</definedName>
    <definedName name="REAJAQUISIÇÃO" localSheetId="17">#REF!</definedName>
    <definedName name="REAJAQUISIÇÃO">#REF!</definedName>
    <definedName name="REAJTRANSPORTE" localSheetId="15">#REF!</definedName>
    <definedName name="REAJTRANSPORTE" localSheetId="4">#REF!</definedName>
    <definedName name="REAJTRANSPORTE" localSheetId="9">#REF!</definedName>
    <definedName name="REAJTRANSPORTE" localSheetId="0">#REF!</definedName>
    <definedName name="REAJTRANSPORTE" localSheetId="7">#REF!</definedName>
    <definedName name="REAJTRANSPORTE" localSheetId="2">#REF!</definedName>
    <definedName name="REAJTRANSPORTE" localSheetId="1">#REF!</definedName>
    <definedName name="REAJTRANSPORTE" localSheetId="12">#REF!</definedName>
    <definedName name="REAJTRANSPORTE" localSheetId="17">#REF!</definedName>
    <definedName name="REAJTRANSPORTE">#REF!</definedName>
    <definedName name="REAJUSTAMENTO" localSheetId="15">#REF!</definedName>
    <definedName name="REAJUSTAMENTO" localSheetId="4">#REF!</definedName>
    <definedName name="REAJUSTAMENTO" localSheetId="9">#REF!</definedName>
    <definedName name="REAJUSTAMENTO" localSheetId="0">#REF!</definedName>
    <definedName name="REAJUSTAMENTO" localSheetId="7">#REF!</definedName>
    <definedName name="REAJUSTAMENTO" localSheetId="2">#REF!</definedName>
    <definedName name="REAJUSTAMENTO" localSheetId="1">#REF!</definedName>
    <definedName name="REAJUSTAMENTO" localSheetId="12">#REF!</definedName>
    <definedName name="REAJUSTAMENTO" localSheetId="17">#REF!</definedName>
    <definedName name="REAJUSTAMENTO">#REF!</definedName>
    <definedName name="reajustamentoaquisição" localSheetId="15">#REF!</definedName>
    <definedName name="reajustamentoaquisição" localSheetId="4">#REF!</definedName>
    <definedName name="reajustamentoaquisição" localSheetId="9">#REF!</definedName>
    <definedName name="reajustamentoaquisição" localSheetId="0">#REF!</definedName>
    <definedName name="reajustamentoaquisição" localSheetId="2">#REF!</definedName>
    <definedName name="reajustamentoaquisição" localSheetId="1">#REF!</definedName>
    <definedName name="reajustamentoaquisição" localSheetId="12">#REF!</definedName>
    <definedName name="reajustamentoaquisição" localSheetId="17">#REF!</definedName>
    <definedName name="reajustamentoaquisição">#REF!</definedName>
    <definedName name="reajustamentotransp" localSheetId="15">#REF!</definedName>
    <definedName name="reajustamentotransp" localSheetId="4">#REF!</definedName>
    <definedName name="reajustamentotransp" localSheetId="9">#REF!</definedName>
    <definedName name="reajustamentotransp" localSheetId="0">#REF!</definedName>
    <definedName name="reajustamentotransp" localSheetId="2">#REF!</definedName>
    <definedName name="reajustamentotransp" localSheetId="1">#REF!</definedName>
    <definedName name="reajustamentotransp" localSheetId="12">#REF!</definedName>
    <definedName name="reajustamentotransp" localSheetId="17">#REF!</definedName>
    <definedName name="reajustamentotransp">#REF!</definedName>
    <definedName name="Real_170" localSheetId="15">#REF!</definedName>
    <definedName name="Real_170" localSheetId="4">#REF!</definedName>
    <definedName name="Real_170" localSheetId="9">#REF!</definedName>
    <definedName name="Real_170" localSheetId="0">#REF!</definedName>
    <definedName name="Real_170" localSheetId="2">#REF!</definedName>
    <definedName name="Real_170" localSheetId="1">#REF!</definedName>
    <definedName name="Real_170" localSheetId="12">#REF!</definedName>
    <definedName name="Real_170" localSheetId="17">#REF!</definedName>
    <definedName name="Real_170">#REF!</definedName>
    <definedName name="Real_180" localSheetId="15">#REF!</definedName>
    <definedName name="Real_180" localSheetId="4">#REF!</definedName>
    <definedName name="Real_180" localSheetId="9">#REF!</definedName>
    <definedName name="Real_180" localSheetId="0">#REF!</definedName>
    <definedName name="Real_180" localSheetId="2">#REF!</definedName>
    <definedName name="Real_180" localSheetId="1">#REF!</definedName>
    <definedName name="Real_180" localSheetId="12">#REF!</definedName>
    <definedName name="Real_180" localSheetId="17">#REF!</definedName>
    <definedName name="Real_180">#REF!</definedName>
    <definedName name="Real_190" localSheetId="15">#REF!</definedName>
    <definedName name="Real_190" localSheetId="4">#REF!</definedName>
    <definedName name="Real_190" localSheetId="9">#REF!</definedName>
    <definedName name="Real_190" localSheetId="0">#REF!</definedName>
    <definedName name="Real_190" localSheetId="2">#REF!</definedName>
    <definedName name="Real_190" localSheetId="1">#REF!</definedName>
    <definedName name="Real_190" localSheetId="12">#REF!</definedName>
    <definedName name="Real_190" localSheetId="17">#REF!</definedName>
    <definedName name="Real_190">#REF!</definedName>
    <definedName name="Real_250" localSheetId="15">#REF!</definedName>
    <definedName name="Real_250" localSheetId="4">#REF!</definedName>
    <definedName name="Real_250" localSheetId="9">#REF!</definedName>
    <definedName name="Real_250" localSheetId="0">#REF!</definedName>
    <definedName name="Real_250" localSheetId="2">#REF!</definedName>
    <definedName name="Real_250" localSheetId="1">#REF!</definedName>
    <definedName name="Real_250" localSheetId="12">#REF!</definedName>
    <definedName name="Real_250" localSheetId="17">#REF!</definedName>
    <definedName name="Real_250">#REF!</definedName>
    <definedName name="Real_270" localSheetId="15">#REF!</definedName>
    <definedName name="Real_270" localSheetId="4">#REF!</definedName>
    <definedName name="Real_270" localSheetId="9">#REF!</definedName>
    <definedName name="Real_270" localSheetId="0">#REF!</definedName>
    <definedName name="Real_270" localSheetId="2">#REF!</definedName>
    <definedName name="Real_270" localSheetId="1">#REF!</definedName>
    <definedName name="Real_270" localSheetId="12">#REF!</definedName>
    <definedName name="Real_270" localSheetId="17">#REF!</definedName>
    <definedName name="Real_270">#REF!</definedName>
    <definedName name="Real_320" localSheetId="15">#REF!</definedName>
    <definedName name="Real_320" localSheetId="4">#REF!</definedName>
    <definedName name="Real_320" localSheetId="9">#REF!</definedName>
    <definedName name="Real_320" localSheetId="0">#REF!</definedName>
    <definedName name="Real_320" localSheetId="2">#REF!</definedName>
    <definedName name="Real_320" localSheetId="1">#REF!</definedName>
    <definedName name="Real_320" localSheetId="12">#REF!</definedName>
    <definedName name="Real_320" localSheetId="17">#REF!</definedName>
    <definedName name="Real_320">#REF!</definedName>
    <definedName name="Real_330" localSheetId="15">#REF!</definedName>
    <definedName name="Real_330" localSheetId="4">#REF!</definedName>
    <definedName name="Real_330" localSheetId="9">#REF!</definedName>
    <definedName name="Real_330" localSheetId="0">#REF!</definedName>
    <definedName name="Real_330" localSheetId="2">#REF!</definedName>
    <definedName name="Real_330" localSheetId="1">#REF!</definedName>
    <definedName name="Real_330" localSheetId="12">#REF!</definedName>
    <definedName name="Real_330" localSheetId="17">#REF!</definedName>
    <definedName name="Real_330">#REF!</definedName>
    <definedName name="Real_350" localSheetId="15">#REF!</definedName>
    <definedName name="Real_350" localSheetId="4">#REF!</definedName>
    <definedName name="Real_350" localSheetId="9">#REF!</definedName>
    <definedName name="Real_350" localSheetId="0">#REF!</definedName>
    <definedName name="Real_350" localSheetId="2">#REF!</definedName>
    <definedName name="Real_350" localSheetId="1">#REF!</definedName>
    <definedName name="Real_350" localSheetId="12">#REF!</definedName>
    <definedName name="Real_350" localSheetId="17">#REF!</definedName>
    <definedName name="Real_350">#REF!</definedName>
    <definedName name="Real_370" localSheetId="15">#REF!</definedName>
    <definedName name="Real_370" localSheetId="4">#REF!</definedName>
    <definedName name="Real_370" localSheetId="9">#REF!</definedName>
    <definedName name="Real_370" localSheetId="0">#REF!</definedName>
    <definedName name="Real_370" localSheetId="2">#REF!</definedName>
    <definedName name="Real_370" localSheetId="1">#REF!</definedName>
    <definedName name="Real_370" localSheetId="12">#REF!</definedName>
    <definedName name="Real_370" localSheetId="17">#REF!</definedName>
    <definedName name="Real_370">#REF!</definedName>
    <definedName name="Real_390" localSheetId="15">#REF!</definedName>
    <definedName name="Real_390" localSheetId="4">#REF!</definedName>
    <definedName name="Real_390" localSheetId="9">#REF!</definedName>
    <definedName name="Real_390" localSheetId="0">#REF!</definedName>
    <definedName name="Real_390" localSheetId="2">#REF!</definedName>
    <definedName name="Real_390" localSheetId="1">#REF!</definedName>
    <definedName name="Real_390" localSheetId="12">#REF!</definedName>
    <definedName name="Real_390" localSheetId="17">#REF!</definedName>
    <definedName name="Real_390">#REF!</definedName>
    <definedName name="Real_400" localSheetId="15">#REF!</definedName>
    <definedName name="Real_400" localSheetId="4">#REF!</definedName>
    <definedName name="Real_400" localSheetId="9">#REF!</definedName>
    <definedName name="Real_400" localSheetId="0">#REF!</definedName>
    <definedName name="Real_400" localSheetId="2">#REF!</definedName>
    <definedName name="Real_400" localSheetId="1">#REF!</definedName>
    <definedName name="Real_400" localSheetId="12">#REF!</definedName>
    <definedName name="Real_400" localSheetId="17">#REF!</definedName>
    <definedName name="Real_400">#REF!</definedName>
    <definedName name="Real_401" localSheetId="15">#REF!</definedName>
    <definedName name="Real_401" localSheetId="4">#REF!</definedName>
    <definedName name="Real_401" localSheetId="9">#REF!</definedName>
    <definedName name="Real_401" localSheetId="0">#REF!</definedName>
    <definedName name="Real_401" localSheetId="2">#REF!</definedName>
    <definedName name="Real_401" localSheetId="1">#REF!</definedName>
    <definedName name="Real_401" localSheetId="12">#REF!</definedName>
    <definedName name="Real_401" localSheetId="17">#REF!</definedName>
    <definedName name="Real_401">#REF!</definedName>
    <definedName name="Real_402" localSheetId="15">#REF!</definedName>
    <definedName name="Real_402" localSheetId="4">#REF!</definedName>
    <definedName name="Real_402" localSheetId="9">#REF!</definedName>
    <definedName name="Real_402" localSheetId="0">#REF!</definedName>
    <definedName name="Real_402" localSheetId="2">#REF!</definedName>
    <definedName name="Real_402" localSheetId="1">#REF!</definedName>
    <definedName name="Real_402" localSheetId="12">#REF!</definedName>
    <definedName name="Real_402" localSheetId="17">#REF!</definedName>
    <definedName name="Real_402">#REF!</definedName>
    <definedName name="Real_403" localSheetId="15">#REF!</definedName>
    <definedName name="Real_403" localSheetId="4">#REF!</definedName>
    <definedName name="Real_403" localSheetId="9">#REF!</definedName>
    <definedName name="Real_403" localSheetId="0">#REF!</definedName>
    <definedName name="Real_403" localSheetId="2">#REF!</definedName>
    <definedName name="Real_403" localSheetId="1">#REF!</definedName>
    <definedName name="Real_403" localSheetId="12">#REF!</definedName>
    <definedName name="Real_403" localSheetId="17">#REF!</definedName>
    <definedName name="Real_403">#REF!</definedName>
    <definedName name="Real_405" localSheetId="15">#REF!</definedName>
    <definedName name="Real_405" localSheetId="4">#REF!</definedName>
    <definedName name="Real_405" localSheetId="9">#REF!</definedName>
    <definedName name="Real_405" localSheetId="0">#REF!</definedName>
    <definedName name="Real_405" localSheetId="2">#REF!</definedName>
    <definedName name="Real_405" localSheetId="1">#REF!</definedName>
    <definedName name="Real_405" localSheetId="12">#REF!</definedName>
    <definedName name="Real_405" localSheetId="17">#REF!</definedName>
    <definedName name="Real_405">#REF!</definedName>
    <definedName name="Real_406" localSheetId="15">#REF!</definedName>
    <definedName name="Real_406" localSheetId="4">#REF!</definedName>
    <definedName name="Real_406" localSheetId="9">#REF!</definedName>
    <definedName name="Real_406" localSheetId="0">#REF!</definedName>
    <definedName name="Real_406" localSheetId="2">#REF!</definedName>
    <definedName name="Real_406" localSheetId="1">#REF!</definedName>
    <definedName name="Real_406" localSheetId="12">#REF!</definedName>
    <definedName name="Real_406" localSheetId="17">#REF!</definedName>
    <definedName name="Real_406">#REF!</definedName>
    <definedName name="Real_407" localSheetId="15">#REF!</definedName>
    <definedName name="Real_407" localSheetId="4">#REF!</definedName>
    <definedName name="Real_407" localSheetId="9">#REF!</definedName>
    <definedName name="Real_407" localSheetId="0">#REF!</definedName>
    <definedName name="Real_407" localSheetId="2">#REF!</definedName>
    <definedName name="Real_407" localSheetId="1">#REF!</definedName>
    <definedName name="Real_407" localSheetId="12">#REF!</definedName>
    <definedName name="Real_407" localSheetId="17">#REF!</definedName>
    <definedName name="Real_407">#REF!</definedName>
    <definedName name="Real_408" localSheetId="15">#REF!</definedName>
    <definedName name="Real_408" localSheetId="4">#REF!</definedName>
    <definedName name="Real_408" localSheetId="9">#REF!</definedName>
    <definedName name="Real_408" localSheetId="0">#REF!</definedName>
    <definedName name="Real_408" localSheetId="2">#REF!</definedName>
    <definedName name="Real_408" localSheetId="1">#REF!</definedName>
    <definedName name="Real_408" localSheetId="12">#REF!</definedName>
    <definedName name="Real_408" localSheetId="17">#REF!</definedName>
    <definedName name="Real_408">#REF!</definedName>
    <definedName name="Real_409" localSheetId="15">#REF!</definedName>
    <definedName name="Real_409" localSheetId="4">#REF!</definedName>
    <definedName name="Real_409" localSheetId="9">#REF!</definedName>
    <definedName name="Real_409" localSheetId="0">#REF!</definedName>
    <definedName name="Real_409" localSheetId="2">#REF!</definedName>
    <definedName name="Real_409" localSheetId="1">#REF!</definedName>
    <definedName name="Real_409" localSheetId="12">#REF!</definedName>
    <definedName name="Real_409" localSheetId="17">#REF!</definedName>
    <definedName name="Real_409">#REF!</definedName>
    <definedName name="Real_410" localSheetId="15">#REF!</definedName>
    <definedName name="Real_410" localSheetId="4">#REF!</definedName>
    <definedName name="Real_410" localSheetId="9">#REF!</definedName>
    <definedName name="Real_410" localSheetId="0">#REF!</definedName>
    <definedName name="Real_410" localSheetId="2">#REF!</definedName>
    <definedName name="Real_410" localSheetId="1">#REF!</definedName>
    <definedName name="Real_410" localSheetId="12">#REF!</definedName>
    <definedName name="Real_410" localSheetId="17">#REF!</definedName>
    <definedName name="Real_410">#REF!</definedName>
    <definedName name="Real_411" localSheetId="15">#REF!</definedName>
    <definedName name="Real_411" localSheetId="4">#REF!</definedName>
    <definedName name="Real_411" localSheetId="9">#REF!</definedName>
    <definedName name="Real_411" localSheetId="0">#REF!</definedName>
    <definedName name="Real_411" localSheetId="2">#REF!</definedName>
    <definedName name="Real_411" localSheetId="1">#REF!</definedName>
    <definedName name="Real_411" localSheetId="12">#REF!</definedName>
    <definedName name="Real_411" localSheetId="17">#REF!</definedName>
    <definedName name="Real_411">#REF!</definedName>
    <definedName name="Real_CP" localSheetId="15">#REF!</definedName>
    <definedName name="Real_CP" localSheetId="4">#REF!</definedName>
    <definedName name="Real_CP" localSheetId="9">#REF!</definedName>
    <definedName name="Real_CP" localSheetId="0">#REF!</definedName>
    <definedName name="Real_CP" localSheetId="2">#REF!</definedName>
    <definedName name="Real_CP" localSheetId="1">#REF!</definedName>
    <definedName name="Real_CP" localSheetId="12">#REF!</definedName>
    <definedName name="Real_CP" localSheetId="17">#REF!</definedName>
    <definedName name="Real_CP">#REF!</definedName>
    <definedName name="Real_Priv" localSheetId="15">#REF!</definedName>
    <definedName name="Real_Priv" localSheetId="4">#REF!</definedName>
    <definedName name="Real_Priv" localSheetId="9">#REF!</definedName>
    <definedName name="Real_Priv" localSheetId="0">#REF!</definedName>
    <definedName name="Real_Priv" localSheetId="2">#REF!</definedName>
    <definedName name="Real_Priv" localSheetId="1">#REF!</definedName>
    <definedName name="Real_Priv" localSheetId="12">#REF!</definedName>
    <definedName name="Real_Priv" localSheetId="17">#REF!</definedName>
    <definedName name="Real_Priv">#REF!</definedName>
    <definedName name="Real_Publ" localSheetId="15">#REF!</definedName>
    <definedName name="Real_Publ" localSheetId="4">#REF!</definedName>
    <definedName name="Real_Publ" localSheetId="9">#REF!</definedName>
    <definedName name="Real_Publ" localSheetId="0">#REF!</definedName>
    <definedName name="Real_Publ" localSheetId="2">#REF!</definedName>
    <definedName name="Real_Publ" localSheetId="1">#REF!</definedName>
    <definedName name="Real_Publ" localSheetId="12">#REF!</definedName>
    <definedName name="Real_Publ" localSheetId="17">#REF!</definedName>
    <definedName name="Real_Publ">#REF!</definedName>
    <definedName name="rec" localSheetId="15">'CALÇADA E ACESS. - JDML'!rec</definedName>
    <definedName name="rec" localSheetId="4">'DEMOLIÇÃO - JDML'!rec</definedName>
    <definedName name="rec" localSheetId="9">'DISP. DRENAGEM - JDML'!rec</definedName>
    <definedName name="rec" localSheetId="0">DMT!rec</definedName>
    <definedName name="rec" localSheetId="8">#N/A</definedName>
    <definedName name="rec" localSheetId="7">'DRENAGEM - JDML'!rec</definedName>
    <definedName name="rec" localSheetId="6">#N/A</definedName>
    <definedName name="rec" localSheetId="2">GRELHA!rec</definedName>
    <definedName name="rec" localSheetId="1">'MAT BET'!rec</definedName>
    <definedName name="rec" localSheetId="13">'PAVIMENTAÇÃO - JDML'!rec</definedName>
    <definedName name="rec" localSheetId="3">'PRELIMINARES - JDML+JDA-E2'!rec</definedName>
    <definedName name="rec" localSheetId="12">'RECAPEAMENTO - JDML'!rec</definedName>
    <definedName name="rec" localSheetId="11">'REMENDO - JDML'!rec</definedName>
    <definedName name="rec" localSheetId="17">'SINALIZAÇÃO - JDML'!rec</definedName>
    <definedName name="rec">[0]!rec</definedName>
    <definedName name="RECGC" localSheetId="4">#REF!</definedName>
    <definedName name="RECGC" localSheetId="2">#REF!</definedName>
    <definedName name="RECGC" localSheetId="1">#REF!</definedName>
    <definedName name="RECGC" localSheetId="17">#REF!</definedName>
    <definedName name="RECGC">#REF!</definedName>
    <definedName name="RECGP" localSheetId="15">#REF!</definedName>
    <definedName name="RECGP" localSheetId="4">#REF!</definedName>
    <definedName name="RECGP" localSheetId="9">#REF!</definedName>
    <definedName name="RECGP" localSheetId="0">#REF!</definedName>
    <definedName name="RECGP" localSheetId="7">#REF!</definedName>
    <definedName name="RECGP" localSheetId="2">#REF!</definedName>
    <definedName name="RECGP" localSheetId="1">#REF!</definedName>
    <definedName name="RECGP" localSheetId="12">#REF!</definedName>
    <definedName name="RECGP" localSheetId="11">#REF!</definedName>
    <definedName name="RECGP" localSheetId="17">#REF!</definedName>
    <definedName name="RECGP">#REF!</definedName>
    <definedName name="RECOMPOSIÇÃOMANUAL" localSheetId="15">#REF!</definedName>
    <definedName name="RECOMPOSIÇÃOMANUAL" localSheetId="4">#REF!</definedName>
    <definedName name="RECOMPOSIÇÃOMANUAL" localSheetId="9">#REF!</definedName>
    <definedName name="RECOMPOSIÇÃOMANUAL" localSheetId="0">#REF!</definedName>
    <definedName name="RECOMPOSIÇÃOMANUAL" localSheetId="7">#REF!</definedName>
    <definedName name="RECOMPOSIÇÃOMANUAL" localSheetId="2">#REF!</definedName>
    <definedName name="RECOMPOSIÇÃOMANUAL" localSheetId="1">#REF!</definedName>
    <definedName name="RECOMPOSIÇÃOMANUAL" localSheetId="12">#REF!</definedName>
    <definedName name="RECOMPOSIÇÃOMANUAL" localSheetId="17">#REF!</definedName>
    <definedName name="RECOMPOSIÇÃOMANUAL">#REF!</definedName>
    <definedName name="RECOMPOSIÇÃOMECANIZADA" localSheetId="15">#REF!</definedName>
    <definedName name="RECOMPOSIÇÃOMECANIZADA" localSheetId="4">#REF!</definedName>
    <definedName name="RECOMPOSIÇÃOMECANIZADA" localSheetId="9">#REF!</definedName>
    <definedName name="RECOMPOSIÇÃOMECANIZADA" localSheetId="0">#REF!</definedName>
    <definedName name="RECOMPOSIÇÃOMECANIZADA" localSheetId="2">#REF!</definedName>
    <definedName name="RECOMPOSIÇÃOMECANIZADA" localSheetId="1">#REF!</definedName>
    <definedName name="RECOMPOSIÇÃOMECANIZADA" localSheetId="12">#REF!</definedName>
    <definedName name="RECOMPOSIÇÃOMECANIZADA" localSheetId="17">#REF!</definedName>
    <definedName name="RECOMPOSIÇÃOMECANIZADA">#REF!</definedName>
    <definedName name="RECPS" localSheetId="4">#REF!</definedName>
    <definedName name="RECPS" localSheetId="2">#REF!</definedName>
    <definedName name="RECPS" localSheetId="1">#REF!</definedName>
    <definedName name="RECPS" localSheetId="17">#REF!</definedName>
    <definedName name="RECPS">#REF!</definedName>
    <definedName name="RECREV" localSheetId="15">#REF!</definedName>
    <definedName name="RECREV" localSheetId="4">#REF!</definedName>
    <definedName name="RECREV" localSheetId="9">#REF!</definedName>
    <definedName name="RECREV" localSheetId="0">#REF!</definedName>
    <definedName name="RECREV" localSheetId="7">#REF!</definedName>
    <definedName name="RECREV" localSheetId="2">#REF!</definedName>
    <definedName name="RECREV" localSheetId="1">#REF!</definedName>
    <definedName name="RECREV" localSheetId="13">#REF!</definedName>
    <definedName name="RECREV" localSheetId="12">#REF!</definedName>
    <definedName name="RECREV" localSheetId="11">#REF!</definedName>
    <definedName name="RECREV" localSheetId="17">#REF!</definedName>
    <definedName name="RECREV">#REF!</definedName>
    <definedName name="RECREVESTIMENTO" localSheetId="15">#REF!</definedName>
    <definedName name="RECREVESTIMENTO" localSheetId="4">#REF!</definedName>
    <definedName name="RECREVESTIMENTO" localSheetId="9">#REF!</definedName>
    <definedName name="RECREVESTIMENTO" localSheetId="0">#REF!</definedName>
    <definedName name="RECREVESTIMENTO" localSheetId="7">#REF!</definedName>
    <definedName name="RECREVESTIMENTO" localSheetId="2">#REF!</definedName>
    <definedName name="RECREVESTIMENTO" localSheetId="1">#REF!</definedName>
    <definedName name="RECREVESTIMENTO" localSheetId="13">#REF!</definedName>
    <definedName name="RECREVESTIMENTO" localSheetId="12">#REF!</definedName>
    <definedName name="RECREVESTIMENTO" localSheetId="11">#REF!</definedName>
    <definedName name="RECREVESTIMENTO" localSheetId="17">#REF!</definedName>
    <definedName name="RECREVESTIMENTO">#REF!</definedName>
    <definedName name="RECREVPRIMARIO" localSheetId="15">#REF!</definedName>
    <definedName name="RECREVPRIMARIO" localSheetId="4">#REF!</definedName>
    <definedName name="RECREVPRIMARIO" localSheetId="9">#REF!</definedName>
    <definedName name="RECREVPRIMARIO" localSheetId="0">#REF!</definedName>
    <definedName name="RECREVPRIMARIO" localSheetId="7">#REF!</definedName>
    <definedName name="RECREVPRIMARIO" localSheetId="2">#REF!</definedName>
    <definedName name="RECREVPRIMARIO" localSheetId="1">#REF!</definedName>
    <definedName name="RECREVPRIMARIO" localSheetId="12">#REF!</definedName>
    <definedName name="RECREVPRIMARIO" localSheetId="11">#REF!</definedName>
    <definedName name="RECREVPRIMARIO" localSheetId="17">#REF!</definedName>
    <definedName name="RECREVPRIMARIO">#REF!</definedName>
    <definedName name="REF" localSheetId="15">#REF!</definedName>
    <definedName name="REF" localSheetId="4">#REF!</definedName>
    <definedName name="REF" localSheetId="9">#REF!</definedName>
    <definedName name="REF" localSheetId="0">#REF!</definedName>
    <definedName name="REF" localSheetId="7">#REF!</definedName>
    <definedName name="REF" localSheetId="2">#REF!</definedName>
    <definedName name="REF" localSheetId="1">#REF!</definedName>
    <definedName name="REF" localSheetId="13">#REF!</definedName>
    <definedName name="REF" localSheetId="11">#REF!</definedName>
    <definedName name="REF" localSheetId="17">#REF!</definedName>
    <definedName name="REF">#REF!</definedName>
    <definedName name="REFERENCIA.Desonerado" localSheetId="15" hidden="1">IF(ISNUMBER(#REF!),VALUE(OFFSET(INDIRECT(ORÇAMENTO.BancoRef),#REF!-1,5,1)),0)</definedName>
    <definedName name="REFERENCIA.Desonerado" localSheetId="8" hidden="1">IF(ISNUMBER(#REF!),VALUE(OFFSET(INDIRECT(ORÇAMENTO.BancoRef),#REF!-1,5,1)),0)</definedName>
    <definedName name="REFERENCIA.Desonerado" localSheetId="6" hidden="1">IF(ISNUMBER(#REF!),VALUE(OFFSET(INDIRECT(ORÇAMENTO.BancoRef),#REF!-1,5,1)),0)</definedName>
    <definedName name="REFERENCIA.Desonerado" localSheetId="2" hidden="1">IF(ISNUMBER(#REF!),VALUE(OFFSET(INDIRECT(ORÇAMENTO.BancoRef),#REF!-1,5,1)),0)</definedName>
    <definedName name="REFERENCIA.Desonerado" localSheetId="13" hidden="1">IF(ISNUMBER(#REF!),VALUE(OFFSET(INDIRECT(ORÇAMENTO.BancoRef),#REF!-1,5,1)),0)</definedName>
    <definedName name="REFERENCIA.Desonerado" localSheetId="12" hidden="1">IF(ISNUMBER(#REF!),VALUE(OFFSET(INDIRECT(ORÇAMENTO.BancoRef),#REF!-1,5,1)),0)</definedName>
    <definedName name="REFERENCIA.Desonerado" localSheetId="17" hidden="1">IF(ISNUMBER(#REF!),VALUE(OFFSET(INDIRECT('SINALIZAÇÃO - JDML'!ORÇAMENTO.BancoRef),#REF!-1,5,1)),0)</definedName>
    <definedName name="REFERENCIA.Desonerado" hidden="1">IF(ISNUMBER(#REF!),VALUE(OFFSET(INDIRECT(ORÇAMENTO.BancoRef),#REF!-1,5,1)),0)</definedName>
    <definedName name="REFERENCIA.NaoDesonerado" localSheetId="15" hidden="1">IF(ISNUMBER(#REF!),VALUE(OFFSET(INDIRECT(ORÇAMENTO.BancoRef),#REF!-1,6,1)),0)</definedName>
    <definedName name="REFERENCIA.NaoDesonerado" localSheetId="8" hidden="1">IF(ISNUMBER(#REF!),VALUE(OFFSET(INDIRECT(ORÇAMENTO.BancoRef),#REF!-1,6,1)),0)</definedName>
    <definedName name="REFERENCIA.NaoDesonerado" localSheetId="6" hidden="1">IF(ISNUMBER(#REF!),VALUE(OFFSET(INDIRECT(ORÇAMENTO.BancoRef),#REF!-1,6,1)),0)</definedName>
    <definedName name="REFERENCIA.NaoDesonerado" localSheetId="2" hidden="1">IF(ISNUMBER(#REF!),VALUE(OFFSET(INDIRECT(ORÇAMENTO.BancoRef),#REF!-1,6,1)),0)</definedName>
    <definedName name="REFERENCIA.NaoDesonerado" localSheetId="13" hidden="1">IF(ISNUMBER(#REF!),VALUE(OFFSET(INDIRECT(ORÇAMENTO.BancoRef),#REF!-1,6,1)),0)</definedName>
    <definedName name="REFERENCIA.NaoDesonerado" localSheetId="12" hidden="1">IF(ISNUMBER(#REF!),VALUE(OFFSET(INDIRECT(ORÇAMENTO.BancoRef),#REF!-1,6,1)),0)</definedName>
    <definedName name="REFERENCIA.NaoDesonerado" localSheetId="17" hidden="1">IF(ISNUMBER(#REF!),VALUE(OFFSET(INDIRECT('SINALIZAÇÃO - JDML'!ORÇAMENTO.BancoRef),#REF!-1,6,1)),0)</definedName>
    <definedName name="REFERENCIA.NaoDesonerado" hidden="1">IF(ISNUMBER(#REF!),VALUE(OFFSET(INDIRECT(ORÇAMENTO.BancoRef),#REF!-1,6,1)),0)</definedName>
    <definedName name="REG" localSheetId="15">#REF!</definedName>
    <definedName name="REG" localSheetId="4">#REF!</definedName>
    <definedName name="REG" localSheetId="9">#REF!</definedName>
    <definedName name="REG" localSheetId="7">#REF!</definedName>
    <definedName name="REG" localSheetId="2">#REF!</definedName>
    <definedName name="REG" localSheetId="1">#REF!</definedName>
    <definedName name="REG" localSheetId="12">#REF!</definedName>
    <definedName name="REG" localSheetId="11">#REF!</definedName>
    <definedName name="REG" localSheetId="17">#REF!</definedName>
    <definedName name="REG">#REF!</definedName>
    <definedName name="REGFAIXA" localSheetId="4">#REF!</definedName>
    <definedName name="REGFAIXA" localSheetId="2">#REF!</definedName>
    <definedName name="REGFAIXA" localSheetId="1">#REF!</definedName>
    <definedName name="REGFAIXA" localSheetId="17">#REF!</definedName>
    <definedName name="REGFAIXA">#REF!</definedName>
    <definedName name="REGULA" localSheetId="15">#REF!</definedName>
    <definedName name="REGULA" localSheetId="4">#REF!</definedName>
    <definedName name="REGULA" localSheetId="9">#REF!</definedName>
    <definedName name="REGULA" localSheetId="7">#REF!</definedName>
    <definedName name="REGULA" localSheetId="2">#REF!</definedName>
    <definedName name="REGULA" localSheetId="1">#REF!</definedName>
    <definedName name="REGULA" localSheetId="12">#REF!</definedName>
    <definedName name="REGULA" localSheetId="11">#REF!</definedName>
    <definedName name="REGULA" localSheetId="17">#REF!</definedName>
    <definedName name="REGULA">#REF!</definedName>
    <definedName name="Reimbursement">"Reembolso"</definedName>
    <definedName name="RELAÇÃO_DE_DEPENDÊNCIAS">"CABECA"</definedName>
    <definedName name="Relat" localSheetId="15" hidden="1">#REF!</definedName>
    <definedName name="Relat" localSheetId="4" hidden="1">#REF!</definedName>
    <definedName name="Relat" localSheetId="9" hidden="1">#REF!</definedName>
    <definedName name="Relat" localSheetId="7" hidden="1">#REF!</definedName>
    <definedName name="Relat" localSheetId="2" hidden="1">#REF!</definedName>
    <definedName name="Relat" localSheetId="1" hidden="1">#REF!</definedName>
    <definedName name="Relat" localSheetId="12" hidden="1">#REF!</definedName>
    <definedName name="Relat" localSheetId="11" hidden="1">#REF!</definedName>
    <definedName name="Relat" localSheetId="17" hidden="1">#REF!</definedName>
    <definedName name="Relat" hidden="1">#REF!</definedName>
    <definedName name="REMENDOMANUAL" localSheetId="15">#REF!</definedName>
    <definedName name="REMENDOMANUAL" localSheetId="4">#REF!</definedName>
    <definedName name="REMENDOMANUAL" localSheetId="9">#REF!</definedName>
    <definedName name="REMENDOMANUAL" localSheetId="0">#REF!</definedName>
    <definedName name="REMENDOMANUAL" localSheetId="7">#REF!</definedName>
    <definedName name="REMENDOMANUAL" localSheetId="2">#REF!</definedName>
    <definedName name="REMENDOMANUAL" localSheetId="1">#REF!</definedName>
    <definedName name="REMENDOMANUAL" localSheetId="12">#REF!</definedName>
    <definedName name="REMENDOMANUAL" localSheetId="17">#REF!</definedName>
    <definedName name="REMENDOMANUAL">#REF!</definedName>
    <definedName name="REMMAN" localSheetId="15">#REF!</definedName>
    <definedName name="REMMAN" localSheetId="4">#REF!</definedName>
    <definedName name="REMMAN" localSheetId="9">#REF!</definedName>
    <definedName name="REMMAN" localSheetId="0">#REF!</definedName>
    <definedName name="REMMAN" localSheetId="2">#REF!</definedName>
    <definedName name="REMMAN" localSheetId="1">#REF!</definedName>
    <definedName name="REMMAN" localSheetId="12">#REF!</definedName>
    <definedName name="REMMAN" localSheetId="17">#REF!</definedName>
    <definedName name="REMMAN">#REF!</definedName>
    <definedName name="REMMEC" localSheetId="15">#REF!</definedName>
    <definedName name="REMMEC" localSheetId="4">#REF!</definedName>
    <definedName name="REMMEC" localSheetId="9">#REF!</definedName>
    <definedName name="REMMEC" localSheetId="0">#REF!</definedName>
    <definedName name="REMMEC" localSheetId="2">#REF!</definedName>
    <definedName name="REMMEC" localSheetId="1">#REF!</definedName>
    <definedName name="REMMEC" localSheetId="12">#REF!</definedName>
    <definedName name="REMMEC" localSheetId="17">#REF!</definedName>
    <definedName name="REMMEC">#REF!</definedName>
    <definedName name="Remoção_canalização_D_0_60m" localSheetId="2">#REF!</definedName>
    <definedName name="Remoção_canalização_D_0_60m" localSheetId="1">#REF!</definedName>
    <definedName name="Remoção_canalização_D_0_60m" localSheetId="17">#REF!</definedName>
    <definedName name="Remoção_canalização_D_0_60m">#REF!</definedName>
    <definedName name="REMOPS" localSheetId="4">#REF!</definedName>
    <definedName name="REMOPS" localSheetId="2">#REF!</definedName>
    <definedName name="REMOPS" localSheetId="1">#REF!</definedName>
    <definedName name="REMOPS" localSheetId="17">#REF!</definedName>
    <definedName name="REMOPS">#REF!</definedName>
    <definedName name="RESUMO" localSheetId="15">'CALÇADA E ACESS. - JDML'!RESUMO</definedName>
    <definedName name="RESUMO" localSheetId="4">'DEMOLIÇÃO - JDML'!RESUMO</definedName>
    <definedName name="RESUMO" localSheetId="9">'DISP. DRENAGEM - JDML'!RESUMO</definedName>
    <definedName name="RESUMO" localSheetId="0">DMT!RESUMO</definedName>
    <definedName name="RESUMO" localSheetId="8">#N/A</definedName>
    <definedName name="RESUMO" localSheetId="7">'DRENAGEM - JDML'!RESUMO</definedName>
    <definedName name="RESUMO" localSheetId="6">#N/A</definedName>
    <definedName name="RESUMO" localSheetId="2">GRELHA!RESUMO</definedName>
    <definedName name="RESUMO" localSheetId="1">'MAT BET'!RESUMO</definedName>
    <definedName name="RESUMO" localSheetId="13">'PAVIMENTAÇÃO - JDML'!RESUMO</definedName>
    <definedName name="RESUMO" localSheetId="3">'PRELIMINARES - JDML+JDA-E2'!RESUMO</definedName>
    <definedName name="RESUMO" localSheetId="12">'RECAPEAMENTO - JDML'!RESUMO</definedName>
    <definedName name="RESUMO" localSheetId="11">'REMENDO - JDML'!RESUMO</definedName>
    <definedName name="RESUMO" localSheetId="17">'SINALIZAÇÃO - JDML'!RESUMO</definedName>
    <definedName name="RESUMO">[0]!RESUMO</definedName>
    <definedName name="RETRO" localSheetId="4">#REF!</definedName>
    <definedName name="RETRO" localSheetId="2">#REF!</definedName>
    <definedName name="RETRO" localSheetId="1">#REF!</definedName>
    <definedName name="RETRO" localSheetId="17">#REF!</definedName>
    <definedName name="RETRO">#REF!</definedName>
    <definedName name="REV" localSheetId="2">#REF!</definedName>
    <definedName name="REV" localSheetId="1">#REF!</definedName>
    <definedName name="REV" localSheetId="17">#REF!</definedName>
    <definedName name="REV">#REF!</definedName>
    <definedName name="RGC" localSheetId="15">#REF!</definedName>
    <definedName name="RGC" localSheetId="4">#REF!</definedName>
    <definedName name="RGC" localSheetId="9">#REF!</definedName>
    <definedName name="RGC" localSheetId="7">#REF!</definedName>
    <definedName name="RGC" localSheetId="2">#REF!</definedName>
    <definedName name="RGC" localSheetId="1">#REF!</definedName>
    <definedName name="RGC" localSheetId="13">#REF!</definedName>
    <definedName name="RGC" localSheetId="12">#REF!</definedName>
    <definedName name="RGC" localSheetId="11">#REF!</definedName>
    <definedName name="RGC" localSheetId="17">#REF!</definedName>
    <definedName name="RGC">#REF!</definedName>
    <definedName name="RICARDO" localSheetId="2">#REF!</definedName>
    <definedName name="RICARDO" localSheetId="1">#REF!</definedName>
    <definedName name="RICARDO" localSheetId="17">#REF!</definedName>
    <definedName name="RICARDO">#REF!</definedName>
    <definedName name="RMA" localSheetId="15">#REF!</definedName>
    <definedName name="RMA" localSheetId="4">#REF!</definedName>
    <definedName name="RMA" localSheetId="9">#REF!</definedName>
    <definedName name="RMA" localSheetId="0">#REF!</definedName>
    <definedName name="RMA" localSheetId="7">#REF!</definedName>
    <definedName name="RMA" localSheetId="2">#REF!</definedName>
    <definedName name="RMA" localSheetId="1">#REF!</definedName>
    <definedName name="RMA" localSheetId="12">#REF!</definedName>
    <definedName name="RMA" localSheetId="11">#REF!</definedName>
    <definedName name="RMA" localSheetId="17">#REF!</definedName>
    <definedName name="RMA">#REF!</definedName>
    <definedName name="RMAN" localSheetId="4">#REF!</definedName>
    <definedName name="RMAN" localSheetId="2">#REF!</definedName>
    <definedName name="RMAN" localSheetId="1">#REF!</definedName>
    <definedName name="RMAN" localSheetId="17">#REF!</definedName>
    <definedName name="RMAN">#REF!</definedName>
    <definedName name="RMANAT" localSheetId="4">#REF!</definedName>
    <definedName name="RMANAT" localSheetId="2">#REF!</definedName>
    <definedName name="RMANAT" localSheetId="1">#REF!</definedName>
    <definedName name="RMANAT" localSheetId="17">#REF!</definedName>
    <definedName name="RMANAT">#REF!</definedName>
    <definedName name="RMEC" localSheetId="4">#REF!</definedName>
    <definedName name="RMEC" localSheetId="2">#REF!</definedName>
    <definedName name="RMEC" localSheetId="1">#REF!</definedName>
    <definedName name="RMEC" localSheetId="17">#REF!</definedName>
    <definedName name="RMEC">#REF!</definedName>
    <definedName name="RMECAT" localSheetId="4">#REF!</definedName>
    <definedName name="RMECAT" localSheetId="2">#REF!</definedName>
    <definedName name="RMECAT" localSheetId="1">#REF!</definedName>
    <definedName name="RMECAT" localSheetId="17">#REF!</definedName>
    <definedName name="RMECAT">#REF!</definedName>
    <definedName name="RMSH" localSheetId="4">#REF!</definedName>
    <definedName name="RMSH" localSheetId="2">#REF!</definedName>
    <definedName name="RMSH" localSheetId="1">#REF!</definedName>
    <definedName name="RMSH" localSheetId="17">#REF!</definedName>
    <definedName name="RMSH">#REF!</definedName>
    <definedName name="ROÇADA" localSheetId="15">#REF!</definedName>
    <definedName name="ROÇADA" localSheetId="4">#REF!</definedName>
    <definedName name="ROÇADA" localSheetId="9">#REF!</definedName>
    <definedName name="ROÇADA" localSheetId="0">#REF!</definedName>
    <definedName name="ROÇADA" localSheetId="7">#REF!</definedName>
    <definedName name="ROÇADA" localSheetId="2">#REF!</definedName>
    <definedName name="ROÇADA" localSheetId="1">#REF!</definedName>
    <definedName name="ROÇADA" localSheetId="12">#REF!</definedName>
    <definedName name="ROÇADA" localSheetId="11">#REF!</definedName>
    <definedName name="ROÇADA" localSheetId="17">#REF!</definedName>
    <definedName name="ROÇADA">#REF!</definedName>
    <definedName name="ROÇADACOLONIÃO" localSheetId="15">#REF!</definedName>
    <definedName name="ROÇADACOLONIÃO" localSheetId="4">#REF!</definedName>
    <definedName name="ROÇADACOLONIÃO" localSheetId="9">#REF!</definedName>
    <definedName name="ROÇADACOLONIÃO" localSheetId="0">#REF!</definedName>
    <definedName name="ROÇADACOLONIÃO" localSheetId="7">#REF!</definedName>
    <definedName name="ROÇADACOLONIÃO" localSheetId="2">#REF!</definedName>
    <definedName name="ROÇADACOLONIÃO" localSheetId="1">#REF!</definedName>
    <definedName name="ROÇADACOLONIÃO" localSheetId="12">#REF!</definedName>
    <definedName name="ROÇADACOLONIÃO" localSheetId="17">#REF!</definedName>
    <definedName name="ROÇADACOLONIÃO">#REF!</definedName>
    <definedName name="rod" localSheetId="15">#REF!</definedName>
    <definedName name="rod" localSheetId="4">#REF!</definedName>
    <definedName name="Rod" localSheetId="0">#REF!</definedName>
    <definedName name="rod" localSheetId="2">#REF!</definedName>
    <definedName name="rod" localSheetId="1">#REF!</definedName>
    <definedName name="rod" localSheetId="12">#REF!</definedName>
    <definedName name="rod" localSheetId="11">#REF!</definedName>
    <definedName name="rod" localSheetId="17">#REF!</definedName>
    <definedName name="rod">#REF!</definedName>
    <definedName name="rodo" localSheetId="15">#REF!</definedName>
    <definedName name="rodo" localSheetId="4">#REF!</definedName>
    <definedName name="rodo" localSheetId="2">#REF!</definedName>
    <definedName name="rodo" localSheetId="1">#REF!</definedName>
    <definedName name="rodo" localSheetId="12">#REF!</definedName>
    <definedName name="rodo" localSheetId="11">#REF!</definedName>
    <definedName name="rodo" localSheetId="17">#REF!</definedName>
    <definedName name="rodo">#REF!</definedName>
    <definedName name="RODOVIA" localSheetId="15">#REF!</definedName>
    <definedName name="RODOVIA" localSheetId="4">#REF!</definedName>
    <definedName name="RODOVIA" localSheetId="9">#REF!</definedName>
    <definedName name="RODOVIA" localSheetId="0">#REF!</definedName>
    <definedName name="RODOVIA" localSheetId="7">#REF!</definedName>
    <definedName name="RODOVIA" localSheetId="2">#REF!</definedName>
    <definedName name="RODOVIA" localSheetId="1">#REF!</definedName>
    <definedName name="RODOVIA" localSheetId="13">#REF!</definedName>
    <definedName name="RODOVIA" localSheetId="12">#REF!</definedName>
    <definedName name="RODOVIA" localSheetId="11">#REF!</definedName>
    <definedName name="RODOVIA" localSheetId="17">#REF!</definedName>
    <definedName name="RODOVIA">#REF!</definedName>
    <definedName name="RODOVIA_1" localSheetId="15">#REF!</definedName>
    <definedName name="RODOVIA_1" localSheetId="4">#REF!</definedName>
    <definedName name="RODOVIA_1" localSheetId="9">#REF!</definedName>
    <definedName name="RODOVIA_1" localSheetId="0">#REF!</definedName>
    <definedName name="RODOVIA_1" localSheetId="7">#REF!</definedName>
    <definedName name="RODOVIA_1" localSheetId="2">#REF!</definedName>
    <definedName name="RODOVIA_1" localSheetId="1">#REF!</definedName>
    <definedName name="RODOVIA_1" localSheetId="13">#REF!</definedName>
    <definedName name="RODOVIA_1" localSheetId="12">#REF!</definedName>
    <definedName name="RODOVIA_1" localSheetId="11">#REF!</definedName>
    <definedName name="RODOVIA_1" localSheetId="17">#REF!</definedName>
    <definedName name="RODOVIA_1">#REF!</definedName>
    <definedName name="RPDMAN" localSheetId="4">#REF!</definedName>
    <definedName name="RPDMAN" localSheetId="2">#REF!</definedName>
    <definedName name="RPDMAN" localSheetId="1">#REF!</definedName>
    <definedName name="RPDMAN" localSheetId="17">#REF!</definedName>
    <definedName name="RPDMAN">#REF!</definedName>
    <definedName name="RPDMEC" localSheetId="4">#REF!</definedName>
    <definedName name="RPDMEC" localSheetId="2">#REF!</definedName>
    <definedName name="RPDMEC" localSheetId="1">#REF!</definedName>
    <definedName name="RPDMEC" localSheetId="17">#REF!</definedName>
    <definedName name="RPDMEC">#REF!</definedName>
    <definedName name="RR.1C" localSheetId="15">#REF!</definedName>
    <definedName name="RR.1C" localSheetId="4">#REF!</definedName>
    <definedName name="RR.1C" localSheetId="9">#REF!</definedName>
    <definedName name="RR.1C" localSheetId="0">#REF!</definedName>
    <definedName name="RR.1C" localSheetId="7">#REF!</definedName>
    <definedName name="RR.1C" localSheetId="2">#REF!</definedName>
    <definedName name="RR.1C" localSheetId="1">#REF!</definedName>
    <definedName name="RR.1C" localSheetId="12">#REF!</definedName>
    <definedName name="RR.1C" localSheetId="11">#REF!</definedName>
    <definedName name="RR.1C" localSheetId="17">#REF!</definedName>
    <definedName name="RR.1C">#REF!</definedName>
    <definedName name="RR.1CREC" localSheetId="15">#REF!</definedName>
    <definedName name="RR.1CREC" localSheetId="4">#REF!</definedName>
    <definedName name="RR.1CREC" localSheetId="9">#REF!</definedName>
    <definedName name="RR.1CREC" localSheetId="0">#REF!</definedName>
    <definedName name="RR.1CREC" localSheetId="7">#REF!</definedName>
    <definedName name="RR.1CREC" localSheetId="2">#REF!</definedName>
    <definedName name="RR.1CREC" localSheetId="1">#REF!</definedName>
    <definedName name="RR.1CREC" localSheetId="13">#REF!</definedName>
    <definedName name="RR.1CREC" localSheetId="12">#REF!</definedName>
    <definedName name="RR.1CREC" localSheetId="11">#REF!</definedName>
    <definedName name="RR.1CREC" localSheetId="17">#REF!</definedName>
    <definedName name="RR.1CREC">#REF!</definedName>
    <definedName name="RRM" localSheetId="4">#REF!</definedName>
    <definedName name="RRM" localSheetId="9">#REF!</definedName>
    <definedName name="RRM" localSheetId="0">#REF!</definedName>
    <definedName name="RRM" localSheetId="7">#REF!</definedName>
    <definedName name="RRM" localSheetId="2">#REF!</definedName>
    <definedName name="RRM" localSheetId="1">#REF!</definedName>
    <definedName name="RRM" localSheetId="12">#REF!</definedName>
    <definedName name="RRM" localSheetId="17">#REF!</definedName>
    <definedName name="RRM">#REF!</definedName>
    <definedName name="RRP" localSheetId="4">#REF!</definedName>
    <definedName name="RRP" localSheetId="9">#REF!</definedName>
    <definedName name="RRP" localSheetId="2">#REF!</definedName>
    <definedName name="RRP" localSheetId="1">#REF!</definedName>
    <definedName name="RRP" localSheetId="12">#REF!</definedName>
    <definedName name="RRP" localSheetId="17">#REF!</definedName>
    <definedName name="RRP">#REF!</definedName>
    <definedName name="rrr" localSheetId="4">#REF!</definedName>
    <definedName name="rrr" localSheetId="9">#REF!</definedName>
    <definedName name="rrr" localSheetId="2">#REF!</definedName>
    <definedName name="rrr" localSheetId="1">#REF!</definedName>
    <definedName name="rrr" localSheetId="17">#REF!</definedName>
    <definedName name="rrr">#REF!</definedName>
    <definedName name="RRRR" localSheetId="15">#REF!</definedName>
    <definedName name="RRRR" localSheetId="4">#REF!</definedName>
    <definedName name="RRRR" localSheetId="9">#REF!</definedName>
    <definedName name="RRRR" localSheetId="0">#REF!</definedName>
    <definedName name="RRRR" localSheetId="7">#REF!</definedName>
    <definedName name="RRRR" localSheetId="2">#REF!</definedName>
    <definedName name="RRRR" localSheetId="1">#REF!</definedName>
    <definedName name="RRRR" localSheetId="12">#REF!</definedName>
    <definedName name="RRRR" localSheetId="11">#REF!</definedName>
    <definedName name="RRRR" localSheetId="17">#REF!</definedName>
    <definedName name="RRRR">#REF!</definedName>
    <definedName name="RS" localSheetId="15">#REF!</definedName>
    <definedName name="RS" localSheetId="4">#REF!</definedName>
    <definedName name="RS" localSheetId="9">#REF!</definedName>
    <definedName name="RS" localSheetId="7">#REF!</definedName>
    <definedName name="RS" localSheetId="2">#REF!</definedName>
    <definedName name="RS" localSheetId="1">#REF!</definedName>
    <definedName name="RS" localSheetId="12">#REF!</definedName>
    <definedName name="RS" localSheetId="17">#REF!</definedName>
    <definedName name="RS">#REF!</definedName>
    <definedName name="rua" localSheetId="2">#REF!</definedName>
    <definedName name="rua" localSheetId="1">#REF!</definedName>
    <definedName name="rua" localSheetId="17">#REF!</definedName>
    <definedName name="rua">#REF!</definedName>
    <definedName name="RVGL" localSheetId="15">#REF!</definedName>
    <definedName name="RVGL" localSheetId="4">#REF!</definedName>
    <definedName name="RVGL" localSheetId="9">#REF!</definedName>
    <definedName name="RVGL" localSheetId="0">#REF!</definedName>
    <definedName name="RVGL" localSheetId="7">#REF!</definedName>
    <definedName name="RVGL" localSheetId="2">#REF!</definedName>
    <definedName name="RVGL" localSheetId="1">#REF!</definedName>
    <definedName name="RVGL" localSheetId="12">#REF!</definedName>
    <definedName name="RVGL" localSheetId="11">#REF!</definedName>
    <definedName name="RVGL" localSheetId="17">#REF!</definedName>
    <definedName name="RVGL">#REF!</definedName>
    <definedName name="s" localSheetId="15" hidden="1">{#N/A,#N/A,FALSE,"MO (2)"}</definedName>
    <definedName name="s" localSheetId="8" hidden="1">{#N/A,#N/A,FALSE,"MO (2)"}</definedName>
    <definedName name="s" localSheetId="6" hidden="1">{#N/A,#N/A,FALSE,"MO (2)"}</definedName>
    <definedName name="s" localSheetId="2" hidden="1">{#N/A,#N/A,FALSE,"MO (2)"}</definedName>
    <definedName name="s" localSheetId="13" hidden="1">{#N/A,#N/A,FALSE,"MO (2)"}</definedName>
    <definedName name="s" localSheetId="12" hidden="1">{#N/A,#N/A,FALSE,"MO (2)"}</definedName>
    <definedName name="s" localSheetId="17" hidden="1">{#N/A,#N/A,FALSE,"MO (2)"}</definedName>
    <definedName name="s" hidden="1">{#N/A,#N/A,FALSE,"MO (2)"}</definedName>
    <definedName name="sad" localSheetId="2">#REF!</definedName>
    <definedName name="sad" localSheetId="1">#REF!</definedName>
    <definedName name="sad" localSheetId="17">#REF!</definedName>
    <definedName name="sad">#REF!</definedName>
    <definedName name="Salario">1</definedName>
    <definedName name="Salários" localSheetId="15">#REF!</definedName>
    <definedName name="Salários" localSheetId="4">#REF!</definedName>
    <definedName name="Salários" localSheetId="9">#REF!</definedName>
    <definedName name="Salários" localSheetId="0">#REF!</definedName>
    <definedName name="Salários" localSheetId="7">#REF!</definedName>
    <definedName name="Salários" localSheetId="2">#REF!</definedName>
    <definedName name="Salários" localSheetId="1">#REF!</definedName>
    <definedName name="Salários" localSheetId="12">#REF!</definedName>
    <definedName name="Salários" localSheetId="11">#REF!</definedName>
    <definedName name="Salários" localSheetId="17">#REF!</definedName>
    <definedName name="Salários">#REF!</definedName>
    <definedName name="SB" localSheetId="15">#REF!</definedName>
    <definedName name="SB" localSheetId="4">#REF!</definedName>
    <definedName name="SB" localSheetId="0">#REF!</definedName>
    <definedName name="SB" localSheetId="2">#REF!</definedName>
    <definedName name="SB" localSheetId="1">#REF!</definedName>
    <definedName name="SB" localSheetId="12">#REF!</definedName>
    <definedName name="SB" localSheetId="11">#REF!</definedName>
    <definedName name="SB" localSheetId="17">#REF!</definedName>
    <definedName name="SB">#REF!</definedName>
    <definedName name="sbg" localSheetId="15">#REF!</definedName>
    <definedName name="sbg" localSheetId="4">#REF!</definedName>
    <definedName name="sbg" localSheetId="9">#REF!</definedName>
    <definedName name="sbg" localSheetId="7">#REF!</definedName>
    <definedName name="sbg" localSheetId="2">#REF!</definedName>
    <definedName name="sbg" localSheetId="1">#REF!</definedName>
    <definedName name="sbg" localSheetId="12">#REF!</definedName>
    <definedName name="sbg" localSheetId="11">#REF!</definedName>
    <definedName name="sbg" localSheetId="17">#REF!</definedName>
    <definedName name="sbg">#REF!</definedName>
    <definedName name="sbsdbsdb" localSheetId="2">#REF!</definedName>
    <definedName name="sbsdbsdb" localSheetId="1">#REF!</definedName>
    <definedName name="sbsdbsdb" localSheetId="17">#REF!</definedName>
    <definedName name="sbsdbsdb">#REF!</definedName>
    <definedName name="SBTC" localSheetId="15">#REF!</definedName>
    <definedName name="SBTC" localSheetId="4">#REF!</definedName>
    <definedName name="SBTC" localSheetId="9">#REF!</definedName>
    <definedName name="SBTC" localSheetId="2">#REF!</definedName>
    <definedName name="SBTC" localSheetId="1">#REF!</definedName>
    <definedName name="SBTC" localSheetId="12">#REF!</definedName>
    <definedName name="SBTC" localSheetId="17">#REF!</definedName>
    <definedName name="SBTC">#REF!</definedName>
    <definedName name="sdbbsdb" localSheetId="2">#REF!</definedName>
    <definedName name="sdbbsdb" localSheetId="1">#REF!</definedName>
    <definedName name="sdbbsdb" localSheetId="17">#REF!</definedName>
    <definedName name="sdbbsdb">#REF!</definedName>
    <definedName name="sdbsdb" localSheetId="2">#REF!</definedName>
    <definedName name="sdbsdb" localSheetId="1">#REF!</definedName>
    <definedName name="sdbsdb" localSheetId="17">#REF!</definedName>
    <definedName name="sdbsdb">#REF!</definedName>
    <definedName name="sdf" localSheetId="2">#REF!</definedName>
    <definedName name="sdf" localSheetId="1">#REF!</definedName>
    <definedName name="sdf" localSheetId="17">#REF!</definedName>
    <definedName name="sdf">#REF!</definedName>
    <definedName name="se" localSheetId="15">#REF!</definedName>
    <definedName name="se" localSheetId="4">#REF!</definedName>
    <definedName name="se" localSheetId="9">#REF!</definedName>
    <definedName name="SE" localSheetId="0" hidden="1">#REF!</definedName>
    <definedName name="se" localSheetId="7">#REF!</definedName>
    <definedName name="se" localSheetId="2">#REF!</definedName>
    <definedName name="se" localSheetId="1">#REF!</definedName>
    <definedName name="se" localSheetId="13">#REF!</definedName>
    <definedName name="se" localSheetId="12">#REF!</definedName>
    <definedName name="se" localSheetId="11">#REF!</definedName>
    <definedName name="se" localSheetId="17">#REF!</definedName>
    <definedName name="se">#REF!</definedName>
    <definedName name="SEG" localSheetId="15">#REF!</definedName>
    <definedName name="SEG" localSheetId="4">#REF!</definedName>
    <definedName name="SEG" localSheetId="0">#REF!</definedName>
    <definedName name="SEG" localSheetId="2">#REF!</definedName>
    <definedName name="SEG" localSheetId="1">#REF!</definedName>
    <definedName name="SEG" localSheetId="12">#REF!</definedName>
    <definedName name="SEG" localSheetId="11">#REF!</definedName>
    <definedName name="SEG" localSheetId="17">#REF!</definedName>
    <definedName name="SEG">#REF!</definedName>
    <definedName name="SEGMENTO" localSheetId="15">#REF!</definedName>
    <definedName name="SEGMENTO" localSheetId="4">#REF!</definedName>
    <definedName name="SEGMENTO" localSheetId="9">#REF!</definedName>
    <definedName name="SEGMENTO" localSheetId="0">#REF!</definedName>
    <definedName name="SEGMENTO" localSheetId="7">#REF!</definedName>
    <definedName name="SEGMENTO" localSheetId="2">#REF!</definedName>
    <definedName name="SEGMENTO" localSheetId="1">#REF!</definedName>
    <definedName name="SEGMENTO" localSheetId="13">#REF!</definedName>
    <definedName name="SEGMENTO" localSheetId="12">#REF!</definedName>
    <definedName name="SEGMENTO" localSheetId="11">#REF!</definedName>
    <definedName name="SEGMENTO" localSheetId="17">#REF!</definedName>
    <definedName name="SEGMENTO">#REF!</definedName>
    <definedName name="SEGMENTO_1" localSheetId="15">#REF!</definedName>
    <definedName name="SEGMENTO_1" localSheetId="4">#REF!</definedName>
    <definedName name="SEGMENTO_1" localSheetId="9">#REF!</definedName>
    <definedName name="SEGMENTO_1" localSheetId="0">#REF!</definedName>
    <definedName name="SEGMENTO_1" localSheetId="7">#REF!</definedName>
    <definedName name="SEGMENTO_1" localSheetId="2">#REF!</definedName>
    <definedName name="SEGMENTO_1" localSheetId="1">#REF!</definedName>
    <definedName name="SEGMENTO_1" localSheetId="13">#REF!</definedName>
    <definedName name="SEGMENTO_1" localSheetId="12">#REF!</definedName>
    <definedName name="SEGMENTO_1" localSheetId="11">#REF!</definedName>
    <definedName name="SEGMENTO_1" localSheetId="17">#REF!</definedName>
    <definedName name="SEGMENTO_1">#REF!</definedName>
    <definedName name="SERV" localSheetId="15">#REF!</definedName>
    <definedName name="SERV" localSheetId="4">#REF!</definedName>
    <definedName name="SERV" localSheetId="9">#REF!</definedName>
    <definedName name="SERV" localSheetId="7">#REF!</definedName>
    <definedName name="SERV" localSheetId="2">#REF!</definedName>
    <definedName name="SERV" localSheetId="1">#REF!</definedName>
    <definedName name="SERV" localSheetId="12">#REF!</definedName>
    <definedName name="SERV" localSheetId="11">#REF!</definedName>
    <definedName name="SERV" localSheetId="17">#REF!</definedName>
    <definedName name="SERV">#REF!</definedName>
    <definedName name="SERVENTE" localSheetId="4">#REF!</definedName>
    <definedName name="SERVENTE" localSheetId="2">#REF!</definedName>
    <definedName name="SERVENTE" localSheetId="1">#REF!</definedName>
    <definedName name="SERVENTE" localSheetId="17">#REF!</definedName>
    <definedName name="SERVENTE">#REF!</definedName>
    <definedName name="SERVIÇO" localSheetId="15">#REF!</definedName>
    <definedName name="SERVIÇO" localSheetId="4">#REF!</definedName>
    <definedName name="SERVIÇO" localSheetId="2">#REF!</definedName>
    <definedName name="SERVIÇO" localSheetId="1">#REF!</definedName>
    <definedName name="SERVIÇO" localSheetId="12">#REF!</definedName>
    <definedName name="SERVIÇO" localSheetId="11">#REF!</definedName>
    <definedName name="SERVIÇO" localSheetId="17">#REF!</definedName>
    <definedName name="SERVIÇO">#REF!</definedName>
    <definedName name="serviço1" localSheetId="15">#REF!</definedName>
    <definedName name="serviço1" localSheetId="4">#REF!</definedName>
    <definedName name="serviço1" localSheetId="9">#REF!</definedName>
    <definedName name="serviço1" localSheetId="7">#REF!</definedName>
    <definedName name="serviço1" localSheetId="2">#REF!</definedName>
    <definedName name="serviço1" localSheetId="1">#REF!</definedName>
    <definedName name="serviço1" localSheetId="12">#REF!</definedName>
    <definedName name="serviço1" localSheetId="11">#REF!</definedName>
    <definedName name="serviço1" localSheetId="17">#REF!</definedName>
    <definedName name="serviço1">#REF!</definedName>
    <definedName name="Serviços" localSheetId="15">#REF!</definedName>
    <definedName name="Serviços" localSheetId="4">#REF!</definedName>
    <definedName name="Serviços" localSheetId="9">#REF!</definedName>
    <definedName name="Serviços" localSheetId="7">#REF!</definedName>
    <definedName name="Serviços" localSheetId="2">#REF!</definedName>
    <definedName name="Serviços" localSheetId="1">#REF!</definedName>
    <definedName name="Serviços" localSheetId="13">#REF!</definedName>
    <definedName name="Serviços" localSheetId="12">#REF!</definedName>
    <definedName name="Serviços" localSheetId="11">#REF!</definedName>
    <definedName name="Serviços" localSheetId="17">#REF!</definedName>
    <definedName name="Serviços">#REF!</definedName>
    <definedName name="sfahjbrgoaiejrbg" localSheetId="2">#REF!</definedName>
    <definedName name="sfahjbrgoaiejrbg" localSheetId="1">#REF!</definedName>
    <definedName name="sfahjbrgoaiejrbg" localSheetId="17">#REF!</definedName>
    <definedName name="sfahjbrgoaiejrbg">#REF!</definedName>
    <definedName name="SICRO" localSheetId="15">#REF!</definedName>
    <definedName name="SICRO" localSheetId="4">#REF!</definedName>
    <definedName name="SICRO" localSheetId="9">#REF!</definedName>
    <definedName name="SICRO" localSheetId="7">#REF!</definedName>
    <definedName name="SICRO" localSheetId="2">#REF!</definedName>
    <definedName name="SICRO" localSheetId="1">#REF!</definedName>
    <definedName name="SICRO" localSheetId="13">#REF!</definedName>
    <definedName name="SICRO" localSheetId="12">#REF!</definedName>
    <definedName name="SICRO" localSheetId="11">#REF!</definedName>
    <definedName name="SICRO" localSheetId="17">#REF!</definedName>
    <definedName name="SICRO">#REF!</definedName>
    <definedName name="SIH" localSheetId="2">#REF!</definedName>
    <definedName name="SIH" localSheetId="1">#REF!</definedName>
    <definedName name="SIH" localSheetId="17">#REF!</definedName>
    <definedName name="SIH">#REF!</definedName>
    <definedName name="SIV" localSheetId="2">#REF!</definedName>
    <definedName name="SIV" localSheetId="1">#REF!</definedName>
    <definedName name="SIV" localSheetId="17">#REF!</definedName>
    <definedName name="SIV">#REF!</definedName>
    <definedName name="SLRP" localSheetId="15">#REF!</definedName>
    <definedName name="SLRP" localSheetId="4">#REF!</definedName>
    <definedName name="SLRP" localSheetId="9">#REF!</definedName>
    <definedName name="SLRP" localSheetId="0">#REF!</definedName>
    <definedName name="SLRP" localSheetId="7">#REF!</definedName>
    <definedName name="SLRP" localSheetId="2">#REF!</definedName>
    <definedName name="SLRP" localSheetId="1">#REF!</definedName>
    <definedName name="SLRP" localSheetId="12">#REF!</definedName>
    <definedName name="SLRP" localSheetId="11">#REF!</definedName>
    <definedName name="SLRP" localSheetId="17">#REF!</definedName>
    <definedName name="SLRP">#REF!</definedName>
    <definedName name="solo" localSheetId="15">#REF!</definedName>
    <definedName name="solo" localSheetId="4">#REF!</definedName>
    <definedName name="solo" localSheetId="9">#REF!</definedName>
    <definedName name="solo" localSheetId="0">#REF!</definedName>
    <definedName name="solo" localSheetId="7">#REF!</definedName>
    <definedName name="solo" localSheetId="2">#REF!</definedName>
    <definedName name="solo" localSheetId="1">#REF!</definedName>
    <definedName name="solo" localSheetId="12">#REF!</definedName>
    <definedName name="solo" localSheetId="11">#REF!</definedName>
    <definedName name="solo" localSheetId="17">#REF!</definedName>
    <definedName name="solo">#REF!</definedName>
    <definedName name="SOLOCIM" localSheetId="4">#REF!</definedName>
    <definedName name="SOLOCIM" localSheetId="2">#REF!</definedName>
    <definedName name="SOLOCIM" localSheetId="1">#REF!</definedName>
    <definedName name="SOLOCIM" localSheetId="17">#REF!</definedName>
    <definedName name="SOLOCIM">#REF!</definedName>
    <definedName name="SOLOMANUAL" localSheetId="15">#REF!</definedName>
    <definedName name="SOLOMANUAL" localSheetId="4">#REF!</definedName>
    <definedName name="SOLOMANUAL" localSheetId="9">#REF!</definedName>
    <definedName name="SOLOMANUAL" localSheetId="0">#REF!</definedName>
    <definedName name="SOLOMANUAL" localSheetId="7">#REF!</definedName>
    <definedName name="SOLOMANUAL" localSheetId="2">#REF!</definedName>
    <definedName name="SOLOMANUAL" localSheetId="1">#REF!</definedName>
    <definedName name="SOLOMANUAL" localSheetId="12">#REF!</definedName>
    <definedName name="SOLOMANUAL" localSheetId="11">#REF!</definedName>
    <definedName name="SOLOMANUAL" localSheetId="17">#REF!</definedName>
    <definedName name="SOLOMANUAL">#REF!</definedName>
    <definedName name="solomecanizado" localSheetId="15">#REF!</definedName>
    <definedName name="solomecanizado" localSheetId="4">#REF!</definedName>
    <definedName name="solomecanizado" localSheetId="9">#REF!</definedName>
    <definedName name="solomecanizado" localSheetId="0">#REF!</definedName>
    <definedName name="solomecanizado" localSheetId="7">#REF!</definedName>
    <definedName name="solomecanizado" localSheetId="2">#REF!</definedName>
    <definedName name="solomecanizado" localSheetId="1">#REF!</definedName>
    <definedName name="solomecanizado" localSheetId="12">#REF!</definedName>
    <definedName name="solomecanizado" localSheetId="17">#REF!</definedName>
    <definedName name="solomecanizado">#REF!</definedName>
    <definedName name="SOMA6" localSheetId="15">#REF!</definedName>
    <definedName name="SOMA6" localSheetId="4">#REF!</definedName>
    <definedName name="SOMA6" localSheetId="9">#REF!</definedName>
    <definedName name="SOMA6" localSheetId="0">#REF!</definedName>
    <definedName name="SOMA6" localSheetId="7">#REF!</definedName>
    <definedName name="SOMA6" localSheetId="2">#REF!</definedName>
    <definedName name="SOMA6" localSheetId="1">#REF!</definedName>
    <definedName name="SOMA6" localSheetId="12">#REF!</definedName>
    <definedName name="SOMA6" localSheetId="11">#REF!</definedName>
    <definedName name="SOMA6" localSheetId="17">#REF!</definedName>
    <definedName name="SOMA6">#REF!</definedName>
    <definedName name="SOMA7" localSheetId="4">#REF!</definedName>
    <definedName name="SOMA7" localSheetId="9">#REF!</definedName>
    <definedName name="SOMA7" localSheetId="0">#REF!</definedName>
    <definedName name="SOMA7" localSheetId="7">#REF!</definedName>
    <definedName name="SOMA7" localSheetId="2">#REF!</definedName>
    <definedName name="SOMA7" localSheetId="1">#REF!</definedName>
    <definedName name="SOMA7" localSheetId="12">#REF!</definedName>
    <definedName name="SOMA7" localSheetId="17">#REF!</definedName>
    <definedName name="SOMA7">#REF!</definedName>
    <definedName name="SomaTotal" localSheetId="17">#REF!</definedName>
    <definedName name="SomaTotal">#REF!</definedName>
    <definedName name="SRV" localSheetId="15" hidden="1">#REF!</definedName>
    <definedName name="SRV" localSheetId="4" hidden="1">#REF!</definedName>
    <definedName name="SRV" localSheetId="9" hidden="1">#REF!</definedName>
    <definedName name="SRV" localSheetId="8" hidden="1">#REF!</definedName>
    <definedName name="SRV" localSheetId="7" hidden="1">#REF!</definedName>
    <definedName name="SRV" localSheetId="2" hidden="1">#REF!</definedName>
    <definedName name="SRV" localSheetId="1" hidden="1">#REF!</definedName>
    <definedName name="SRV" localSheetId="12" hidden="1">#REF!</definedName>
    <definedName name="SRV" localSheetId="11" hidden="1">#REF!</definedName>
    <definedName name="SRV" localSheetId="17" hidden="1">#REF!</definedName>
    <definedName name="SRV" hidden="1">#REF!</definedName>
    <definedName name="sss" localSheetId="15">#REF!</definedName>
    <definedName name="sss" localSheetId="4">#REF!</definedName>
    <definedName name="sss" localSheetId="9">#REF!</definedName>
    <definedName name="sss" localSheetId="7">#REF!</definedName>
    <definedName name="sss" localSheetId="2">#REF!</definedName>
    <definedName name="sss" localSheetId="1">#REF!</definedName>
    <definedName name="sss" localSheetId="12">#REF!</definedName>
    <definedName name="sss" localSheetId="11">#REF!</definedName>
    <definedName name="sss" localSheetId="17">#REF!</definedName>
    <definedName name="sss">#REF!</definedName>
    <definedName name="sssrttt" localSheetId="15">'CALÇADA E ACESS. - JDML'!sssrttt</definedName>
    <definedName name="sssrttt" localSheetId="4">'DEMOLIÇÃO - JDML'!sssrttt</definedName>
    <definedName name="sssrttt" localSheetId="9">'DISP. DRENAGEM - JDML'!sssrttt</definedName>
    <definedName name="sssrttt" localSheetId="0">DMT!sssrttt</definedName>
    <definedName name="sssrttt" localSheetId="8">#N/A</definedName>
    <definedName name="sssrttt" localSheetId="7">'DRENAGEM - JDML'!sssrttt</definedName>
    <definedName name="sssrttt" localSheetId="6">#N/A</definedName>
    <definedName name="sssrttt" localSheetId="2">GRELHA!sssrttt</definedName>
    <definedName name="sssrttt" localSheetId="1">'MAT BET'!sssrttt</definedName>
    <definedName name="sssrttt" localSheetId="13">'PAVIMENTAÇÃO - JDML'!sssrttt</definedName>
    <definedName name="sssrttt" localSheetId="3">'PRELIMINARES - JDML+JDA-E2'!sssrttt</definedName>
    <definedName name="sssrttt" localSheetId="12">'RECAPEAMENTO - JDML'!sssrttt</definedName>
    <definedName name="sssrttt" localSheetId="11">'REMENDO - JDML'!sssrttt</definedName>
    <definedName name="sssrttt" localSheetId="17">'SINALIZAÇÃO - JDML'!sssrttt</definedName>
    <definedName name="sssrttt">[0]!sssrttt</definedName>
    <definedName name="SSSS" localSheetId="15">#REF!</definedName>
    <definedName name="SSSS" localSheetId="4">#REF!</definedName>
    <definedName name="SSSS" localSheetId="9">#REF!</definedName>
    <definedName name="SSSS" localSheetId="7">#REF!</definedName>
    <definedName name="SSSS" localSheetId="2">#REF!</definedName>
    <definedName name="SSSS" localSheetId="1">#REF!</definedName>
    <definedName name="SSSS" localSheetId="13">#REF!</definedName>
    <definedName name="SSSS" localSheetId="12">#REF!</definedName>
    <definedName name="SSSS" localSheetId="11">#REF!</definedName>
    <definedName name="SSSS" localSheetId="17">#REF!</definedName>
    <definedName name="SSSS">#REF!</definedName>
    <definedName name="SSSSSS" localSheetId="4">#REF!</definedName>
    <definedName name="SSSSSS" localSheetId="9">#REF!</definedName>
    <definedName name="SSSSSS" localSheetId="7">#REF!</definedName>
    <definedName name="SSSSSS" localSheetId="2">#REF!</definedName>
    <definedName name="SSSSSS" localSheetId="1">#REF!</definedName>
    <definedName name="SSSSSS" localSheetId="17">#REF!</definedName>
    <definedName name="SSSSSS">#REF!</definedName>
    <definedName name="ST" localSheetId="4">#REF!</definedName>
    <definedName name="ST" localSheetId="2">#REF!</definedName>
    <definedName name="ST" localSheetId="1">#REF!</definedName>
    <definedName name="ST" localSheetId="17">#REF!</definedName>
    <definedName name="ST">#REF!</definedName>
    <definedName name="STC" localSheetId="15">#REF!</definedName>
    <definedName name="STC" localSheetId="4">#REF!</definedName>
    <definedName name="STC" localSheetId="9">#REF!</definedName>
    <definedName name="STC" localSheetId="7">#REF!</definedName>
    <definedName name="STC" localSheetId="2">#REF!</definedName>
    <definedName name="STC" localSheetId="1">#REF!</definedName>
    <definedName name="STC" localSheetId="13">#REF!</definedName>
    <definedName name="STC" localSheetId="12">#REF!</definedName>
    <definedName name="STC" localSheetId="11">#REF!</definedName>
    <definedName name="STC" localSheetId="17">#REF!</definedName>
    <definedName name="STC">#REF!</definedName>
    <definedName name="STR" localSheetId="4">#REF!</definedName>
    <definedName name="STR" localSheetId="2">#REF!</definedName>
    <definedName name="STR" localSheetId="1">#REF!</definedName>
    <definedName name="STR" localSheetId="17">#REF!</definedName>
    <definedName name="STR">#REF!</definedName>
    <definedName name="SUB_TRECHO" localSheetId="15">#REF!</definedName>
    <definedName name="SUB_TRECHO" localSheetId="4">#REF!</definedName>
    <definedName name="SUB_TRECHO" localSheetId="9">#REF!</definedName>
    <definedName name="SUB_TRECHO" localSheetId="7">#REF!</definedName>
    <definedName name="SUB_TRECHO" localSheetId="2">#REF!</definedName>
    <definedName name="SUB_TRECHO" localSheetId="1">#REF!</definedName>
    <definedName name="SUB_TRECHO" localSheetId="12">#REF!</definedName>
    <definedName name="SUB_TRECHO" localSheetId="11">#REF!</definedName>
    <definedName name="SUB_TRECHO" localSheetId="17">#REF!</definedName>
    <definedName name="SUB_TRECHO">#REF!</definedName>
    <definedName name="Subt" localSheetId="15">#REF!</definedName>
    <definedName name="Subt" localSheetId="4">#REF!</definedName>
    <definedName name="Subt" localSheetId="9">#REF!</definedName>
    <definedName name="Subt" localSheetId="7">#REF!</definedName>
    <definedName name="Subt" localSheetId="2">#REF!</definedName>
    <definedName name="Subt" localSheetId="1">#REF!</definedName>
    <definedName name="Subt" localSheetId="12">#REF!</definedName>
    <definedName name="Subt" localSheetId="17">#REF!</definedName>
    <definedName name="Subt">#REF!</definedName>
    <definedName name="subtrec" localSheetId="15">#REF!</definedName>
    <definedName name="subtrec" localSheetId="4">#REF!</definedName>
    <definedName name="subtrec" localSheetId="2">#REF!</definedName>
    <definedName name="subtrec" localSheetId="1">#REF!</definedName>
    <definedName name="subtrec" localSheetId="12">#REF!</definedName>
    <definedName name="subtrec" localSheetId="11">#REF!</definedName>
    <definedName name="subtrec" localSheetId="17">#REF!</definedName>
    <definedName name="subtrec">#REF!</definedName>
    <definedName name="SUBTRECHO" localSheetId="15">#REF!</definedName>
    <definedName name="SUBTRECHO" localSheetId="4">#REF!</definedName>
    <definedName name="SUBTRECHO" localSheetId="9">#REF!</definedName>
    <definedName name="SUBTRECHO" localSheetId="0">#REF!</definedName>
    <definedName name="SUBTRECHO" localSheetId="7">#REF!</definedName>
    <definedName name="SUBTRECHO" localSheetId="2">#REF!</definedName>
    <definedName name="SUBTRECHO" localSheetId="1">#REF!</definedName>
    <definedName name="SUBTRECHO" localSheetId="13">#REF!</definedName>
    <definedName name="SUBTRECHO" localSheetId="12">#REF!</definedName>
    <definedName name="SUBTRECHO" localSheetId="11">#REF!</definedName>
    <definedName name="SUBTRECHO" localSheetId="17">#REF!</definedName>
    <definedName name="SUBTRECHO">#REF!</definedName>
    <definedName name="SUBTRECHO_1" localSheetId="15">#REF!</definedName>
    <definedName name="SUBTRECHO_1" localSheetId="4">#REF!</definedName>
    <definedName name="SUBTRECHO_1" localSheetId="9">#REF!</definedName>
    <definedName name="SUBTRECHO_1" localSheetId="0">#REF!</definedName>
    <definedName name="SUBTRECHO_1" localSheetId="7">#REF!</definedName>
    <definedName name="SUBTRECHO_1" localSheetId="2">#REF!</definedName>
    <definedName name="SUBTRECHO_1" localSheetId="1">#REF!</definedName>
    <definedName name="SUBTRECHO_1" localSheetId="13">#REF!</definedName>
    <definedName name="SUBTRECHO_1" localSheetId="12">#REF!</definedName>
    <definedName name="SUBTRECHO_1" localSheetId="11">#REF!</definedName>
    <definedName name="SUBTRECHO_1" localSheetId="17">#REF!</definedName>
    <definedName name="SUBTRECHO_1">#REF!</definedName>
    <definedName name="SUPER" localSheetId="15">#REF!</definedName>
    <definedName name="SUPER" localSheetId="4">#REF!</definedName>
    <definedName name="SUPER" localSheetId="9">#REF!</definedName>
    <definedName name="SUPER" localSheetId="0">#REF!</definedName>
    <definedName name="SUPER" localSheetId="7">#REF!</definedName>
    <definedName name="SUPER" localSheetId="2">#REF!</definedName>
    <definedName name="SUPER" localSheetId="1">#REF!</definedName>
    <definedName name="SUPER" localSheetId="13">#REF!</definedName>
    <definedName name="SUPER" localSheetId="12">#REF!</definedName>
    <definedName name="SUPER" localSheetId="11">#REF!</definedName>
    <definedName name="SUPER" localSheetId="17">#REF!</definedName>
    <definedName name="SUPER">#REF!</definedName>
    <definedName name="SUUU7" localSheetId="2">#REF!</definedName>
    <definedName name="SUUU7" localSheetId="1">#REF!</definedName>
    <definedName name="SUUU7" localSheetId="17">#REF!</definedName>
    <definedName name="SUUU7">#REF!</definedName>
    <definedName name="SVASRTVARTVAWRTVAWRTBVAWTEBAWEBTAW" localSheetId="2">#REF!</definedName>
    <definedName name="SVASRTVARTVAWRTVAWRTBVAWTEBAWEBTAW" localSheetId="1">#REF!</definedName>
    <definedName name="SVASRTVARTVAWRTVAWRTBVAWTEBAWEBTAW" localSheetId="17">#REF!</definedName>
    <definedName name="SVASRTVARTVAWRTVAWRTBVAWTEBAWEBTAW">#REF!</definedName>
    <definedName name="T" localSheetId="4">#REF!</definedName>
    <definedName name="T" localSheetId="2">#REF!</definedName>
    <definedName name="T" localSheetId="1">#REF!</definedName>
    <definedName name="T" localSheetId="17">#REF!</definedName>
    <definedName name="T">#REF!</definedName>
    <definedName name="T0.230.17" localSheetId="15">#REF!</definedName>
    <definedName name="T0.230.17" localSheetId="4">#REF!</definedName>
    <definedName name="T0.230.17" localSheetId="9">#REF!</definedName>
    <definedName name="T0.230.17" localSheetId="0">#REF!</definedName>
    <definedName name="T0.230.17" localSheetId="7">#REF!</definedName>
    <definedName name="T0.230.17" localSheetId="2">#REF!</definedName>
    <definedName name="T0.230.17" localSheetId="1">#REF!</definedName>
    <definedName name="T0.230.17" localSheetId="12">#REF!</definedName>
    <definedName name="T0.230.17" localSheetId="11">#REF!</definedName>
    <definedName name="T0.230.17" localSheetId="17">#REF!</definedName>
    <definedName name="T0.230.17">#REF!</definedName>
    <definedName name="T0.303.17" localSheetId="15">#REF!</definedName>
    <definedName name="T0.303.17" localSheetId="4">#REF!</definedName>
    <definedName name="T0.303.17" localSheetId="9">#REF!</definedName>
    <definedName name="T0.303.17" localSheetId="0">#REF!</definedName>
    <definedName name="T0.303.17" localSheetId="7">#REF!</definedName>
    <definedName name="T0.303.17" localSheetId="2">#REF!</definedName>
    <definedName name="T0.303.17" localSheetId="1">#REF!</definedName>
    <definedName name="T0.303.17" localSheetId="12">#REF!</definedName>
    <definedName name="T0.303.17" localSheetId="17">#REF!</definedName>
    <definedName name="T0.303.17">#REF!</definedName>
    <definedName name="T2.241.00" localSheetId="15">#REF!</definedName>
    <definedName name="T2.241.00" localSheetId="4">#REF!</definedName>
    <definedName name="T2.241.00" localSheetId="9">#REF!</definedName>
    <definedName name="T2.241.00" localSheetId="0">#REF!</definedName>
    <definedName name="T2.241.00" localSheetId="2">#REF!</definedName>
    <definedName name="T2.241.00" localSheetId="1">#REF!</definedName>
    <definedName name="T2.241.00" localSheetId="12">#REF!</definedName>
    <definedName name="T2.241.00" localSheetId="17">#REF!</definedName>
    <definedName name="T2.241.00">#REF!</definedName>
    <definedName name="T2.500.01" localSheetId="15">#REF!</definedName>
    <definedName name="T2.500.01" localSheetId="4">#REF!</definedName>
    <definedName name="T2.500.01" localSheetId="9">#REF!</definedName>
    <definedName name="T2.500.01" localSheetId="0">#REF!</definedName>
    <definedName name="T2.500.01" localSheetId="2">#REF!</definedName>
    <definedName name="T2.500.01" localSheetId="1">#REF!</definedName>
    <definedName name="T2.500.01" localSheetId="12">#REF!</definedName>
    <definedName name="T2.500.01" localSheetId="17">#REF!</definedName>
    <definedName name="T2.500.01">#REF!</definedName>
    <definedName name="T2.530.02" localSheetId="15">#REF!</definedName>
    <definedName name="T2.530.02" localSheetId="4">#REF!</definedName>
    <definedName name="T2.530.02" localSheetId="9">#REF!</definedName>
    <definedName name="T2.530.02" localSheetId="0">#REF!</definedName>
    <definedName name="T2.530.02" localSheetId="7">#REF!</definedName>
    <definedName name="T2.530.02" localSheetId="2">#REF!</definedName>
    <definedName name="T2.530.02" localSheetId="1">#REF!</definedName>
    <definedName name="T2.530.02" localSheetId="13">#REF!</definedName>
    <definedName name="T2.530.02" localSheetId="12">#REF!</definedName>
    <definedName name="T2.530.02" localSheetId="11">#REF!</definedName>
    <definedName name="T2.530.02" localSheetId="17">#REF!</definedName>
    <definedName name="T2.530.02">#REF!</definedName>
    <definedName name="T3.329.01" localSheetId="15">#REF!</definedName>
    <definedName name="T3.329.01" localSheetId="4">#REF!</definedName>
    <definedName name="T3.329.01" localSheetId="9">#REF!</definedName>
    <definedName name="T3.329.01" localSheetId="0">#REF!</definedName>
    <definedName name="T3.329.01" localSheetId="7">#REF!</definedName>
    <definedName name="T3.329.01" localSheetId="2">#REF!</definedName>
    <definedName name="T3.329.01" localSheetId="1">#REF!</definedName>
    <definedName name="T3.329.01" localSheetId="12">#REF!</definedName>
    <definedName name="T3.329.01" localSheetId="11">#REF!</definedName>
    <definedName name="T3.329.01" localSheetId="17">#REF!</definedName>
    <definedName name="T3.329.01">#REF!</definedName>
    <definedName name="T3.950.00" localSheetId="15">#REF!</definedName>
    <definedName name="T3.950.00" localSheetId="4">#REF!</definedName>
    <definedName name="T3.950.00" localSheetId="9">#REF!</definedName>
    <definedName name="T3.950.00" localSheetId="0">#REF!</definedName>
    <definedName name="T3.950.00" localSheetId="7">#REF!</definedName>
    <definedName name="T3.950.00" localSheetId="2">#REF!</definedName>
    <definedName name="T3.950.00" localSheetId="1">#REF!</definedName>
    <definedName name="T3.950.00" localSheetId="12">#REF!</definedName>
    <definedName name="T3.950.00" localSheetId="17">#REF!</definedName>
    <definedName name="T3.950.00">#REF!</definedName>
    <definedName name="T4.000.00" localSheetId="15">#REF!</definedName>
    <definedName name="T4.000.00" localSheetId="4">#REF!</definedName>
    <definedName name="T4.000.00" localSheetId="9">#REF!</definedName>
    <definedName name="T4.000.00" localSheetId="0">#REF!</definedName>
    <definedName name="T4.000.00" localSheetId="2">#REF!</definedName>
    <definedName name="T4.000.00" localSheetId="1">#REF!</definedName>
    <definedName name="T4.000.00" localSheetId="12">#REF!</definedName>
    <definedName name="T4.000.00" localSheetId="17">#REF!</definedName>
    <definedName name="T4.000.00">#REF!</definedName>
    <definedName name="T5.000.00" localSheetId="15">#REF!</definedName>
    <definedName name="T5.000.00" localSheetId="4">#REF!</definedName>
    <definedName name="T5.000.00" localSheetId="9">#REF!</definedName>
    <definedName name="T5.000.00" localSheetId="0">#REF!</definedName>
    <definedName name="T5.000.00" localSheetId="2">#REF!</definedName>
    <definedName name="T5.000.00" localSheetId="1">#REF!</definedName>
    <definedName name="T5.000.00" localSheetId="12">#REF!</definedName>
    <definedName name="T5.000.00" localSheetId="17">#REF!</definedName>
    <definedName name="T5.000.00">#REF!</definedName>
    <definedName name="T8.100.01" localSheetId="15">#REF!</definedName>
    <definedName name="T8.100.01" localSheetId="4">#REF!</definedName>
    <definedName name="T8.100.01" localSheetId="9">#REF!</definedName>
    <definedName name="T8.100.01" localSheetId="0">#REF!</definedName>
    <definedName name="T8.100.01" localSheetId="2">#REF!</definedName>
    <definedName name="T8.100.01" localSheetId="1">#REF!</definedName>
    <definedName name="T8.100.01" localSheetId="12">#REF!</definedName>
    <definedName name="T8.100.01" localSheetId="17">#REF!</definedName>
    <definedName name="T8.100.01">#REF!</definedName>
    <definedName name="T8.300.01" localSheetId="15">#REF!</definedName>
    <definedName name="T8.300.01" localSheetId="4">#REF!</definedName>
    <definedName name="T8.300.01" localSheetId="9">#REF!</definedName>
    <definedName name="T8.300.01" localSheetId="0">#REF!</definedName>
    <definedName name="T8.300.01" localSheetId="2">#REF!</definedName>
    <definedName name="T8.300.01" localSheetId="1">#REF!</definedName>
    <definedName name="T8.300.01" localSheetId="12">#REF!</definedName>
    <definedName name="T8.300.01" localSheetId="17">#REF!</definedName>
    <definedName name="T8.300.01">#REF!</definedName>
    <definedName name="t8.301.01" localSheetId="15">#REF!</definedName>
    <definedName name="t8.301.01" localSheetId="4">#REF!</definedName>
    <definedName name="t8.301.01" localSheetId="9">#REF!</definedName>
    <definedName name="t8.301.01" localSheetId="0">#REF!</definedName>
    <definedName name="t8.301.01" localSheetId="2">#REF!</definedName>
    <definedName name="t8.301.01" localSheetId="1">#REF!</definedName>
    <definedName name="t8.301.01" localSheetId="12">#REF!</definedName>
    <definedName name="t8.301.01" localSheetId="17">#REF!</definedName>
    <definedName name="t8.301.01">#REF!</definedName>
    <definedName name="T8.302.05" localSheetId="15">#REF!</definedName>
    <definedName name="T8.302.05" localSheetId="4">#REF!</definedName>
    <definedName name="T8.302.05" localSheetId="9">#REF!</definedName>
    <definedName name="T8.302.05" localSheetId="0">#REF!</definedName>
    <definedName name="T8.302.05" localSheetId="2">#REF!</definedName>
    <definedName name="T8.302.05" localSheetId="1">#REF!</definedName>
    <definedName name="T8.302.05" localSheetId="12">#REF!</definedName>
    <definedName name="T8.302.05" localSheetId="17">#REF!</definedName>
    <definedName name="T8.302.05">#REF!</definedName>
    <definedName name="T8.402.00" localSheetId="15">#REF!</definedName>
    <definedName name="T8.402.00" localSheetId="4">#REF!</definedName>
    <definedName name="T8.402.00" localSheetId="9">#REF!</definedName>
    <definedName name="T8.402.00" localSheetId="0">#REF!</definedName>
    <definedName name="T8.402.00" localSheetId="2">#REF!</definedName>
    <definedName name="T8.402.00" localSheetId="1">#REF!</definedName>
    <definedName name="T8.402.00" localSheetId="12">#REF!</definedName>
    <definedName name="T8.402.00" localSheetId="17">#REF!</definedName>
    <definedName name="T8.402.00">#REF!</definedName>
    <definedName name="T8.500.00" localSheetId="15">#REF!</definedName>
    <definedName name="T8.500.00" localSheetId="4">#REF!</definedName>
    <definedName name="T8.500.00" localSheetId="9">#REF!</definedName>
    <definedName name="T8.500.00" localSheetId="0">#REF!</definedName>
    <definedName name="T8.500.00" localSheetId="2">#REF!</definedName>
    <definedName name="T8.500.00" localSheetId="1">#REF!</definedName>
    <definedName name="T8.500.00" localSheetId="12">#REF!</definedName>
    <definedName name="T8.500.00" localSheetId="17">#REF!</definedName>
    <definedName name="T8.500.00">#REF!</definedName>
    <definedName name="t8.501.00" localSheetId="15">#REF!</definedName>
    <definedName name="t8.501.00" localSheetId="4">#REF!</definedName>
    <definedName name="t8.501.00" localSheetId="9">#REF!</definedName>
    <definedName name="t8.501.00" localSheetId="0">#REF!</definedName>
    <definedName name="t8.501.00" localSheetId="2">#REF!</definedName>
    <definedName name="t8.501.00" localSheetId="1">#REF!</definedName>
    <definedName name="t8.501.00" localSheetId="12">#REF!</definedName>
    <definedName name="t8.501.00" localSheetId="17">#REF!</definedName>
    <definedName name="t8.501.00">#REF!</definedName>
    <definedName name="T8.900.00" localSheetId="15">#REF!</definedName>
    <definedName name="T8.900.00" localSheetId="4">#REF!</definedName>
    <definedName name="T8.900.00" localSheetId="9">#REF!</definedName>
    <definedName name="T8.900.00" localSheetId="0">#REF!</definedName>
    <definedName name="T8.900.00" localSheetId="2">#REF!</definedName>
    <definedName name="T8.900.00" localSheetId="1">#REF!</definedName>
    <definedName name="T8.900.00" localSheetId="12">#REF!</definedName>
    <definedName name="T8.900.00" localSheetId="17">#REF!</definedName>
    <definedName name="T8.900.00">#REF!</definedName>
    <definedName name="T8.900.01" localSheetId="15">#REF!</definedName>
    <definedName name="T8.900.01" localSheetId="4">#REF!</definedName>
    <definedName name="T8.900.01" localSheetId="9">#REF!</definedName>
    <definedName name="T8.900.01" localSheetId="0">#REF!</definedName>
    <definedName name="T8.900.01" localSheetId="2">#REF!</definedName>
    <definedName name="T8.900.01" localSheetId="1">#REF!</definedName>
    <definedName name="T8.900.01" localSheetId="12">#REF!</definedName>
    <definedName name="T8.900.01" localSheetId="17">#REF!</definedName>
    <definedName name="T8.900.01">#REF!</definedName>
    <definedName name="T8.901.01" localSheetId="15">#REF!</definedName>
    <definedName name="T8.901.01" localSheetId="4">#REF!</definedName>
    <definedName name="T8.901.01" localSheetId="9">#REF!</definedName>
    <definedName name="T8.901.01" localSheetId="0">#REF!</definedName>
    <definedName name="T8.901.01" localSheetId="2">#REF!</definedName>
    <definedName name="T8.901.01" localSheetId="1">#REF!</definedName>
    <definedName name="T8.901.01" localSheetId="12">#REF!</definedName>
    <definedName name="T8.901.01" localSheetId="17">#REF!</definedName>
    <definedName name="T8.901.01">#REF!</definedName>
    <definedName name="T8.910.00" localSheetId="15">#REF!</definedName>
    <definedName name="T8.910.00" localSheetId="4">#REF!</definedName>
    <definedName name="T8.910.00" localSheetId="9">#REF!</definedName>
    <definedName name="T8.910.00" localSheetId="0">#REF!</definedName>
    <definedName name="T8.910.00" localSheetId="2">#REF!</definedName>
    <definedName name="T8.910.00" localSheetId="1">#REF!</definedName>
    <definedName name="T8.910.00" localSheetId="12">#REF!</definedName>
    <definedName name="T8.910.00" localSheetId="17">#REF!</definedName>
    <definedName name="T8.910.00">#REF!</definedName>
    <definedName name="T9.002.00" localSheetId="15">#REF!</definedName>
    <definedName name="T9.002.00" localSheetId="4">#REF!</definedName>
    <definedName name="T9.002.00" localSheetId="9">#REF!</definedName>
    <definedName name="T9.002.00" localSheetId="0">#REF!</definedName>
    <definedName name="T9.002.00" localSheetId="7">#REF!</definedName>
    <definedName name="T9.002.00" localSheetId="2">#REF!</definedName>
    <definedName name="T9.002.00" localSheetId="1">#REF!</definedName>
    <definedName name="T9.002.00" localSheetId="13">#REF!</definedName>
    <definedName name="T9.002.00" localSheetId="12">#REF!</definedName>
    <definedName name="T9.002.00" localSheetId="11">#REF!</definedName>
    <definedName name="T9.002.00" localSheetId="17">#REF!</definedName>
    <definedName name="T9.002.00">#REF!</definedName>
    <definedName name="T9.002.06" localSheetId="15">#REF!</definedName>
    <definedName name="T9.002.06" localSheetId="4">#REF!</definedName>
    <definedName name="T9.002.06" localSheetId="9">#REF!</definedName>
    <definedName name="T9.002.06" localSheetId="0">#REF!</definedName>
    <definedName name="T9.002.06" localSheetId="7">#REF!</definedName>
    <definedName name="T9.002.06" localSheetId="2">#REF!</definedName>
    <definedName name="T9.002.06" localSheetId="1">#REF!</definedName>
    <definedName name="T9.002.06" localSheetId="12">#REF!</definedName>
    <definedName name="T9.002.06" localSheetId="11">#REF!</definedName>
    <definedName name="T9.002.06" localSheetId="17">#REF!</definedName>
    <definedName name="T9.002.06">#REF!</definedName>
    <definedName name="TABELA" localSheetId="17">#REF!</definedName>
    <definedName name="TABELA">#REF!</definedName>
    <definedName name="Tabela_1" localSheetId="2">#REF!</definedName>
    <definedName name="Tabela_1" localSheetId="1">#REF!</definedName>
    <definedName name="Tabela_1" localSheetId="17">#REF!</definedName>
    <definedName name="Tabela_1">#REF!</definedName>
    <definedName name="Tabela_1_6" localSheetId="2">#REF!</definedName>
    <definedName name="Tabela_1_6" localSheetId="1">#REF!</definedName>
    <definedName name="Tabela_1_6" localSheetId="17">#REF!</definedName>
    <definedName name="Tabela_1_6">#REF!</definedName>
    <definedName name="Tabela_10" localSheetId="2">#REF!</definedName>
    <definedName name="Tabela_10" localSheetId="1">#REF!</definedName>
    <definedName name="Tabela_10" localSheetId="17">#REF!</definedName>
    <definedName name="Tabela_10">#REF!</definedName>
    <definedName name="Tabela_2" localSheetId="2">#REF!</definedName>
    <definedName name="Tabela_2" localSheetId="1">#REF!</definedName>
    <definedName name="Tabela_2" localSheetId="17">#REF!</definedName>
    <definedName name="Tabela_2">#REF!</definedName>
    <definedName name="Tabela_3" localSheetId="2">#REF!</definedName>
    <definedName name="Tabela_3" localSheetId="1">#REF!</definedName>
    <definedName name="Tabela_3" localSheetId="17">#REF!</definedName>
    <definedName name="Tabela_3">#REF!</definedName>
    <definedName name="Tabela_4" localSheetId="2">#REF!</definedName>
    <definedName name="Tabela_4" localSheetId="1">#REF!</definedName>
    <definedName name="Tabela_4" localSheetId="17">#REF!</definedName>
    <definedName name="Tabela_4">#REF!</definedName>
    <definedName name="Tabela_5" localSheetId="2">#REF!</definedName>
    <definedName name="Tabela_5" localSheetId="1">#REF!</definedName>
    <definedName name="Tabela_5" localSheetId="17">#REF!</definedName>
    <definedName name="Tabela_5">#REF!</definedName>
    <definedName name="Tabela_5_1" localSheetId="2">#REF!</definedName>
    <definedName name="Tabela_5_1" localSheetId="1">#REF!</definedName>
    <definedName name="Tabela_5_1" localSheetId="17">#REF!</definedName>
    <definedName name="Tabela_5_1">#REF!</definedName>
    <definedName name="Tabela_6" localSheetId="2">#REF!</definedName>
    <definedName name="Tabela_6" localSheetId="1">#REF!</definedName>
    <definedName name="Tabela_6" localSheetId="17">#REF!</definedName>
    <definedName name="Tabela_6">#REF!</definedName>
    <definedName name="TACS" localSheetId="15">#REF!</definedName>
    <definedName name="TACS" localSheetId="4">#REF!</definedName>
    <definedName name="TACS" localSheetId="9">#REF!</definedName>
    <definedName name="TACS" localSheetId="0">#REF!</definedName>
    <definedName name="TACS" localSheetId="2">#REF!</definedName>
    <definedName name="TACS" localSheetId="1">#REF!</definedName>
    <definedName name="TACS" localSheetId="12">#REF!</definedName>
    <definedName name="TACS" localSheetId="17">#REF!</definedName>
    <definedName name="TACS">#REF!</definedName>
    <definedName name="tapaburaco" localSheetId="15">#REF!</definedName>
    <definedName name="tapaburaco" localSheetId="4">#REF!</definedName>
    <definedName name="tapaburaco" localSheetId="9">#REF!</definedName>
    <definedName name="tapaburaco" localSheetId="0">#REF!</definedName>
    <definedName name="tapaburaco" localSheetId="7">#REF!</definedName>
    <definedName name="tapaburaco" localSheetId="2">#REF!</definedName>
    <definedName name="tapaburaco" localSheetId="1">#REF!</definedName>
    <definedName name="tapaburaco" localSheetId="13">#REF!</definedName>
    <definedName name="tapaburaco" localSheetId="12">#REF!</definedName>
    <definedName name="tapaburaco" localSheetId="11">#REF!</definedName>
    <definedName name="tapaburaco" localSheetId="17">#REF!</definedName>
    <definedName name="tapaburaco">#REF!</definedName>
    <definedName name="TAPAEMERGENCIAL" localSheetId="15">#REF!</definedName>
    <definedName name="TAPAEMERGENCIAL" localSheetId="4">#REF!</definedName>
    <definedName name="TAPAEMERGENCIAL" localSheetId="9">#REF!</definedName>
    <definedName name="TAPAEMERGENCIAL" localSheetId="0">#REF!</definedName>
    <definedName name="TAPAEMERGENCIAL" localSheetId="7">#REF!</definedName>
    <definedName name="TAPAEMERGENCIAL" localSheetId="2">#REF!</definedName>
    <definedName name="TAPAEMERGENCIAL" localSheetId="1">#REF!</definedName>
    <definedName name="TAPAEMERGENCIAL" localSheetId="12">#REF!</definedName>
    <definedName name="TAPAEMERGENCIAL" localSheetId="11">#REF!</definedName>
    <definedName name="TAPAEMERGENCIAL" localSheetId="17">#REF!</definedName>
    <definedName name="TAPAEMERGENCIAL">#REF!</definedName>
    <definedName name="TaxaJuros" localSheetId="15">#REF!</definedName>
    <definedName name="TaxaJuros" localSheetId="4">#REF!</definedName>
    <definedName name="TaxaJuros" localSheetId="9">#REF!</definedName>
    <definedName name="TaxaJuros" localSheetId="7">#REF!</definedName>
    <definedName name="TaxaJuros" localSheetId="2">#REF!</definedName>
    <definedName name="TaxaJuros" localSheetId="1">#REF!</definedName>
    <definedName name="TaxaJuros" localSheetId="12">#REF!</definedName>
    <definedName name="TaxaJuros" localSheetId="17">#REF!</definedName>
    <definedName name="TaxaJuros">#REF!</definedName>
    <definedName name="TB" localSheetId="4">#REF!</definedName>
    <definedName name="TB" localSheetId="2">#REF!</definedName>
    <definedName name="TB" localSheetId="1">#REF!</definedName>
    <definedName name="TB" localSheetId="17">#REF!</definedName>
    <definedName name="TB">#REF!</definedName>
    <definedName name="TCAP" localSheetId="15">#REF!</definedName>
    <definedName name="TCAP" localSheetId="4">#REF!</definedName>
    <definedName name="TCAP" localSheetId="9">#REF!</definedName>
    <definedName name="TCAP" localSheetId="7">#REF!</definedName>
    <definedName name="TCAP" localSheetId="2">#REF!</definedName>
    <definedName name="TCAP" localSheetId="1">#REF!</definedName>
    <definedName name="TCAP" localSheetId="13">#REF!</definedName>
    <definedName name="TCAP" localSheetId="12">#REF!</definedName>
    <definedName name="TCAP" localSheetId="11">#REF!</definedName>
    <definedName name="TCAP" localSheetId="17">#REF!</definedName>
    <definedName name="TCAP">#REF!</definedName>
    <definedName name="TCC" localSheetId="4">#REF!</definedName>
    <definedName name="TCC" localSheetId="2">#REF!</definedName>
    <definedName name="TCC" localSheetId="1">#REF!</definedName>
    <definedName name="TCC" localSheetId="17">#REF!</definedName>
    <definedName name="TCC">#REF!</definedName>
    <definedName name="TCM" localSheetId="15">#REF!</definedName>
    <definedName name="TCM" localSheetId="4">#REF!</definedName>
    <definedName name="TCM" localSheetId="9">#REF!</definedName>
    <definedName name="TCM" localSheetId="7">#REF!</definedName>
    <definedName name="TCM" localSheetId="2">#REF!</definedName>
    <definedName name="TCM" localSheetId="1">#REF!</definedName>
    <definedName name="TCM" localSheetId="13">#REF!</definedName>
    <definedName name="TCM" localSheetId="12">#REF!</definedName>
    <definedName name="TCM" localSheetId="11">#REF!</definedName>
    <definedName name="TCM" localSheetId="17">#REF!</definedName>
    <definedName name="TCM">#REF!</definedName>
    <definedName name="TENROCAMENTO" localSheetId="15">#REF!</definedName>
    <definedName name="TENROCAMENTO" localSheetId="4">#REF!</definedName>
    <definedName name="TENROCAMENTO" localSheetId="9">#REF!</definedName>
    <definedName name="TENROCAMENTO" localSheetId="0">#REF!</definedName>
    <definedName name="TENROCAMENTO" localSheetId="7">#REF!</definedName>
    <definedName name="TENROCAMENTO" localSheetId="2">#REF!</definedName>
    <definedName name="TENROCAMENTO" localSheetId="1">#REF!</definedName>
    <definedName name="TENROCAMENTO" localSheetId="12">#REF!</definedName>
    <definedName name="TENROCAMENTO" localSheetId="11">#REF!</definedName>
    <definedName name="TENROCAMENTO" localSheetId="17">#REF!</definedName>
    <definedName name="TENROCAMENTO">#REF!</definedName>
    <definedName name="Teor" localSheetId="4">#REF!</definedName>
    <definedName name="Teor" localSheetId="0">#REF!</definedName>
    <definedName name="Teor" localSheetId="2">#REF!</definedName>
    <definedName name="Teor" localSheetId="1">#REF!</definedName>
    <definedName name="Teor" localSheetId="17">#REF!</definedName>
    <definedName name="Teor">#REF!</definedName>
    <definedName name="terra" localSheetId="15">#REF!</definedName>
    <definedName name="terra" localSheetId="4">#REF!</definedName>
    <definedName name="terra" localSheetId="9">#REF!</definedName>
    <definedName name="terra" localSheetId="0">#REF!</definedName>
    <definedName name="terra" localSheetId="7">#REF!</definedName>
    <definedName name="terra" localSheetId="2">#REF!</definedName>
    <definedName name="terra" localSheetId="1">#REF!</definedName>
    <definedName name="terra" localSheetId="12">#REF!</definedName>
    <definedName name="terra" localSheetId="11">#REF!</definedName>
    <definedName name="terra" localSheetId="17">#REF!</definedName>
    <definedName name="terra">#REF!</definedName>
    <definedName name="TEST1" localSheetId="15">#REF!</definedName>
    <definedName name="TEST1" localSheetId="4">#REF!</definedName>
    <definedName name="TEST1" localSheetId="9">#REF!</definedName>
    <definedName name="TEST1" localSheetId="0">#REF!</definedName>
    <definedName name="TEST1" localSheetId="7">#REF!</definedName>
    <definedName name="TEST1" localSheetId="2">#REF!</definedName>
    <definedName name="TEST1" localSheetId="1">#REF!</definedName>
    <definedName name="TEST1" localSheetId="12">#REF!</definedName>
    <definedName name="TEST1" localSheetId="17">#REF!</definedName>
    <definedName name="TEST1">#REF!</definedName>
    <definedName name="TEST10" localSheetId="15">#REF!</definedName>
    <definedName name="TEST10" localSheetId="4">#REF!</definedName>
    <definedName name="TEST10" localSheetId="9">#REF!</definedName>
    <definedName name="TEST10" localSheetId="0">#REF!</definedName>
    <definedName name="TEST10" localSheetId="2">#REF!</definedName>
    <definedName name="TEST10" localSheetId="1">#REF!</definedName>
    <definedName name="TEST10" localSheetId="12">#REF!</definedName>
    <definedName name="TEST10" localSheetId="17">#REF!</definedName>
    <definedName name="TEST10">#REF!</definedName>
    <definedName name="TEST11" localSheetId="15">#REF!</definedName>
    <definedName name="TEST11" localSheetId="4">#REF!</definedName>
    <definedName name="TEST11" localSheetId="9">#REF!</definedName>
    <definedName name="TEST11" localSheetId="0">#REF!</definedName>
    <definedName name="TEST11" localSheetId="2">#REF!</definedName>
    <definedName name="TEST11" localSheetId="1">#REF!</definedName>
    <definedName name="TEST11" localSheetId="12">#REF!</definedName>
    <definedName name="TEST11" localSheetId="17">#REF!</definedName>
    <definedName name="TEST11">#REF!</definedName>
    <definedName name="TEST12" localSheetId="15">#REF!</definedName>
    <definedName name="TEST12" localSheetId="4">#REF!</definedName>
    <definedName name="TEST12" localSheetId="9">#REF!</definedName>
    <definedName name="TEST12" localSheetId="0">#REF!</definedName>
    <definedName name="TEST12" localSheetId="2">#REF!</definedName>
    <definedName name="TEST12" localSheetId="1">#REF!</definedName>
    <definedName name="TEST12" localSheetId="12">#REF!</definedName>
    <definedName name="TEST12" localSheetId="17">#REF!</definedName>
    <definedName name="TEST12">#REF!</definedName>
    <definedName name="TEST13" localSheetId="15">#REF!</definedName>
    <definedName name="TEST13" localSheetId="4">#REF!</definedName>
    <definedName name="TEST13" localSheetId="9">#REF!</definedName>
    <definedName name="TEST13" localSheetId="0">#REF!</definedName>
    <definedName name="TEST13" localSheetId="2">#REF!</definedName>
    <definedName name="TEST13" localSheetId="1">#REF!</definedName>
    <definedName name="TEST13" localSheetId="12">#REF!</definedName>
    <definedName name="TEST13" localSheetId="17">#REF!</definedName>
    <definedName name="TEST13">#REF!</definedName>
    <definedName name="TEST14" localSheetId="15">#REF!</definedName>
    <definedName name="TEST14" localSheetId="4">#REF!</definedName>
    <definedName name="TEST14" localSheetId="9">#REF!</definedName>
    <definedName name="TEST14" localSheetId="0">#REF!</definedName>
    <definedName name="TEST14" localSheetId="2">#REF!</definedName>
    <definedName name="TEST14" localSheetId="1">#REF!</definedName>
    <definedName name="TEST14" localSheetId="12">#REF!</definedName>
    <definedName name="TEST14" localSheetId="17">#REF!</definedName>
    <definedName name="TEST14">#REF!</definedName>
    <definedName name="TEST15" localSheetId="15">#REF!</definedName>
    <definedName name="TEST15" localSheetId="4">#REF!</definedName>
    <definedName name="TEST15" localSheetId="9">#REF!</definedName>
    <definedName name="TEST15" localSheetId="0">#REF!</definedName>
    <definedName name="TEST15" localSheetId="2">#REF!</definedName>
    <definedName name="TEST15" localSheetId="1">#REF!</definedName>
    <definedName name="TEST15" localSheetId="12">#REF!</definedName>
    <definedName name="TEST15" localSheetId="17">#REF!</definedName>
    <definedName name="TEST15">#REF!</definedName>
    <definedName name="TEST16" localSheetId="15">#REF!</definedName>
    <definedName name="TEST16" localSheetId="4">#REF!</definedName>
    <definedName name="TEST16" localSheetId="9">#REF!</definedName>
    <definedName name="TEST16" localSheetId="0">#REF!</definedName>
    <definedName name="TEST16" localSheetId="2">#REF!</definedName>
    <definedName name="TEST16" localSheetId="1">#REF!</definedName>
    <definedName name="TEST16" localSheetId="12">#REF!</definedName>
    <definedName name="TEST16" localSheetId="17">#REF!</definedName>
    <definedName name="TEST16">#REF!</definedName>
    <definedName name="TEST17" localSheetId="15">#REF!</definedName>
    <definedName name="TEST17" localSheetId="4">#REF!</definedName>
    <definedName name="TEST17" localSheetId="9">#REF!</definedName>
    <definedName name="TEST17" localSheetId="0">#REF!</definedName>
    <definedName name="TEST17" localSheetId="2">#REF!</definedName>
    <definedName name="TEST17" localSheetId="1">#REF!</definedName>
    <definedName name="TEST17" localSheetId="12">#REF!</definedName>
    <definedName name="TEST17" localSheetId="17">#REF!</definedName>
    <definedName name="TEST17">#REF!</definedName>
    <definedName name="TEST18" localSheetId="15">#REF!</definedName>
    <definedName name="TEST18" localSheetId="4">#REF!</definedName>
    <definedName name="TEST18" localSheetId="9">#REF!</definedName>
    <definedName name="TEST18" localSheetId="0">#REF!</definedName>
    <definedName name="TEST18" localSheetId="2">#REF!</definedName>
    <definedName name="TEST18" localSheetId="1">#REF!</definedName>
    <definedName name="TEST18" localSheetId="12">#REF!</definedName>
    <definedName name="TEST18" localSheetId="17">#REF!</definedName>
    <definedName name="TEST18">#REF!</definedName>
    <definedName name="TEST19" localSheetId="15">#REF!</definedName>
    <definedName name="TEST19" localSheetId="4">#REF!</definedName>
    <definedName name="TEST19" localSheetId="9">#REF!</definedName>
    <definedName name="TEST19" localSheetId="0">#REF!</definedName>
    <definedName name="TEST19" localSheetId="2">#REF!</definedName>
    <definedName name="TEST19" localSheetId="1">#REF!</definedName>
    <definedName name="TEST19" localSheetId="12">#REF!</definedName>
    <definedName name="TEST19" localSheetId="17">#REF!</definedName>
    <definedName name="TEST19">#REF!</definedName>
    <definedName name="TEST2" localSheetId="15">#REF!</definedName>
    <definedName name="TEST2" localSheetId="4">#REF!</definedName>
    <definedName name="TEST2" localSheetId="9">#REF!</definedName>
    <definedName name="TEST2" localSheetId="0">#REF!</definedName>
    <definedName name="TEST2" localSheetId="2">#REF!</definedName>
    <definedName name="TEST2" localSheetId="1">#REF!</definedName>
    <definedName name="TEST2" localSheetId="12">#REF!</definedName>
    <definedName name="TEST2" localSheetId="17">#REF!</definedName>
    <definedName name="TEST2">#REF!</definedName>
    <definedName name="TEST20" localSheetId="15">#REF!</definedName>
    <definedName name="TEST20" localSheetId="4">#REF!</definedName>
    <definedName name="TEST20" localSheetId="9">#REF!</definedName>
    <definedName name="TEST20" localSheetId="0">#REF!</definedName>
    <definedName name="TEST20" localSheetId="2">#REF!</definedName>
    <definedName name="TEST20" localSheetId="1">#REF!</definedName>
    <definedName name="TEST20" localSheetId="12">#REF!</definedName>
    <definedName name="TEST20" localSheetId="17">#REF!</definedName>
    <definedName name="TEST20">#REF!</definedName>
    <definedName name="TEST21" localSheetId="15">#REF!</definedName>
    <definedName name="TEST21" localSheetId="4">#REF!</definedName>
    <definedName name="TEST21" localSheetId="9">#REF!</definedName>
    <definedName name="TEST21" localSheetId="0">#REF!</definedName>
    <definedName name="TEST21" localSheetId="2">#REF!</definedName>
    <definedName name="TEST21" localSheetId="1">#REF!</definedName>
    <definedName name="TEST21" localSheetId="12">#REF!</definedName>
    <definedName name="TEST21" localSheetId="17">#REF!</definedName>
    <definedName name="TEST21">#REF!</definedName>
    <definedName name="TEST22" localSheetId="15">#REF!</definedName>
    <definedName name="TEST22" localSheetId="4">#REF!</definedName>
    <definedName name="TEST22" localSheetId="9">#REF!</definedName>
    <definedName name="TEST22" localSheetId="0">#REF!</definedName>
    <definedName name="TEST22" localSheetId="2">#REF!</definedName>
    <definedName name="TEST22" localSheetId="1">#REF!</definedName>
    <definedName name="TEST22" localSheetId="12">#REF!</definedName>
    <definedName name="TEST22" localSheetId="17">#REF!</definedName>
    <definedName name="TEST22">#REF!</definedName>
    <definedName name="TEST3" localSheetId="15">#REF!</definedName>
    <definedName name="TEST3" localSheetId="4">#REF!</definedName>
    <definedName name="TEST3" localSheetId="9">#REF!</definedName>
    <definedName name="TEST3" localSheetId="0">#REF!</definedName>
    <definedName name="TEST3" localSheetId="2">#REF!</definedName>
    <definedName name="TEST3" localSheetId="1">#REF!</definedName>
    <definedName name="TEST3" localSheetId="12">#REF!</definedName>
    <definedName name="TEST3" localSheetId="17">#REF!</definedName>
    <definedName name="TEST3">#REF!</definedName>
    <definedName name="TEST4" localSheetId="15">#REF!</definedName>
    <definedName name="TEST4" localSheetId="4">#REF!</definedName>
    <definedName name="TEST4" localSheetId="9">#REF!</definedName>
    <definedName name="TEST4" localSheetId="0">#REF!</definedName>
    <definedName name="TEST4" localSheetId="2">#REF!</definedName>
    <definedName name="TEST4" localSheetId="1">#REF!</definedName>
    <definedName name="TEST4" localSheetId="12">#REF!</definedName>
    <definedName name="TEST4" localSheetId="17">#REF!</definedName>
    <definedName name="TEST4">#REF!</definedName>
    <definedName name="TEST5" localSheetId="15">#REF!</definedName>
    <definedName name="TEST5" localSheetId="4">#REF!</definedName>
    <definedName name="TEST5" localSheetId="9">#REF!</definedName>
    <definedName name="TEST5" localSheetId="0">#REF!</definedName>
    <definedName name="TEST5" localSheetId="2">#REF!</definedName>
    <definedName name="TEST5" localSheetId="1">#REF!</definedName>
    <definedName name="TEST5" localSheetId="12">#REF!</definedName>
    <definedName name="TEST5" localSheetId="17">#REF!</definedName>
    <definedName name="TEST5">#REF!</definedName>
    <definedName name="TEST6" localSheetId="15">#REF!</definedName>
    <definedName name="TEST6" localSheetId="4">#REF!</definedName>
    <definedName name="TEST6" localSheetId="9">#REF!</definedName>
    <definedName name="TEST6" localSheetId="0">#REF!</definedName>
    <definedName name="TEST6" localSheetId="2">#REF!</definedName>
    <definedName name="TEST6" localSheetId="1">#REF!</definedName>
    <definedName name="TEST6" localSheetId="12">#REF!</definedName>
    <definedName name="TEST6" localSheetId="17">#REF!</definedName>
    <definedName name="TEST6">#REF!</definedName>
    <definedName name="TEST7" localSheetId="15">#REF!</definedName>
    <definedName name="TEST7" localSheetId="4">#REF!</definedName>
    <definedName name="TEST7" localSheetId="9">#REF!</definedName>
    <definedName name="TEST7" localSheetId="0">#REF!</definedName>
    <definedName name="TEST7" localSheetId="2">#REF!</definedName>
    <definedName name="TEST7" localSheetId="1">#REF!</definedName>
    <definedName name="TEST7" localSheetId="12">#REF!</definedName>
    <definedName name="TEST7" localSheetId="17">#REF!</definedName>
    <definedName name="TEST7">#REF!</definedName>
    <definedName name="TEST8" localSheetId="15">#REF!</definedName>
    <definedName name="TEST8" localSheetId="4">#REF!</definedName>
    <definedName name="TEST8" localSheetId="9">#REF!</definedName>
    <definedName name="TEST8" localSheetId="0">#REF!</definedName>
    <definedName name="TEST8" localSheetId="2">#REF!</definedName>
    <definedName name="TEST8" localSheetId="1">#REF!</definedName>
    <definedName name="TEST8" localSheetId="12">#REF!</definedName>
    <definedName name="TEST8" localSheetId="17">#REF!</definedName>
    <definedName name="TEST8">#REF!</definedName>
    <definedName name="TEST9" localSheetId="15">#REF!</definedName>
    <definedName name="TEST9" localSheetId="4">#REF!</definedName>
    <definedName name="TEST9" localSheetId="9">#REF!</definedName>
    <definedName name="TEST9" localSheetId="0">#REF!</definedName>
    <definedName name="TEST9" localSheetId="2">#REF!</definedName>
    <definedName name="TEST9" localSheetId="1">#REF!</definedName>
    <definedName name="TEST9" localSheetId="12">#REF!</definedName>
    <definedName name="TEST9" localSheetId="17">#REF!</definedName>
    <definedName name="TEST9">#REF!</definedName>
    <definedName name="teste" localSheetId="2">#REF!</definedName>
    <definedName name="teste" localSheetId="1">#REF!</definedName>
    <definedName name="teste" localSheetId="17">#REF!</definedName>
    <definedName name="teste">#REF!</definedName>
    <definedName name="teste1" localSheetId="2">#REF!</definedName>
    <definedName name="teste1" localSheetId="1">#REF!</definedName>
    <definedName name="teste1" localSheetId="17">#REF!</definedName>
    <definedName name="teste1">#REF!</definedName>
    <definedName name="teste10" localSheetId="2">#REF!</definedName>
    <definedName name="teste10" localSheetId="1">#REF!</definedName>
    <definedName name="teste10" localSheetId="17">#REF!</definedName>
    <definedName name="teste10">#REF!</definedName>
    <definedName name="teste2" localSheetId="2">#REF!</definedName>
    <definedName name="teste2" localSheetId="1">#REF!</definedName>
    <definedName name="teste2" localSheetId="17">#REF!</definedName>
    <definedName name="teste2">#REF!</definedName>
    <definedName name="teste3" localSheetId="2">#REF!</definedName>
    <definedName name="teste3" localSheetId="1">#REF!</definedName>
    <definedName name="teste3" localSheetId="17">#REF!</definedName>
    <definedName name="teste3">#REF!</definedName>
    <definedName name="TESTE4" localSheetId="2">#REF!</definedName>
    <definedName name="TESTE4" localSheetId="1">#REF!</definedName>
    <definedName name="TESTE4" localSheetId="17">#REF!</definedName>
    <definedName name="TESTE4">#REF!</definedName>
    <definedName name="TESTE4teste" localSheetId="2">#REF!</definedName>
    <definedName name="TESTE4teste" localSheetId="1">#REF!</definedName>
    <definedName name="TESTE4teste" localSheetId="17">#REF!</definedName>
    <definedName name="TESTE4teste">#REF!</definedName>
    <definedName name="TESTES" localSheetId="2">#REF!</definedName>
    <definedName name="TESTES" localSheetId="1">#REF!</definedName>
    <definedName name="TESTES" localSheetId="17">#REF!</definedName>
    <definedName name="TESTES">#REF!</definedName>
    <definedName name="TESTHKEY" localSheetId="15">#REF!</definedName>
    <definedName name="TESTHKEY" localSheetId="4">#REF!</definedName>
    <definedName name="TESTHKEY" localSheetId="9">#REF!</definedName>
    <definedName name="TESTHKEY" localSheetId="0">#REF!</definedName>
    <definedName name="TESTHKEY" localSheetId="2">#REF!</definedName>
    <definedName name="TESTHKEY" localSheetId="1">#REF!</definedName>
    <definedName name="TESTHKEY" localSheetId="12">#REF!</definedName>
    <definedName name="TESTHKEY" localSheetId="17">#REF!</definedName>
    <definedName name="TESTHKEY">#REF!</definedName>
    <definedName name="TESTKEYS" localSheetId="15">#REF!</definedName>
    <definedName name="TESTKEYS" localSheetId="4">#REF!</definedName>
    <definedName name="TESTKEYS" localSheetId="9">#REF!</definedName>
    <definedName name="TESTKEYS" localSheetId="0">#REF!</definedName>
    <definedName name="TESTKEYS" localSheetId="2">#REF!</definedName>
    <definedName name="TESTKEYS" localSheetId="1">#REF!</definedName>
    <definedName name="TESTKEYS" localSheetId="12">#REF!</definedName>
    <definedName name="TESTKEYS" localSheetId="17">#REF!</definedName>
    <definedName name="TESTKEYS">#REF!</definedName>
    <definedName name="TESTVKEY" localSheetId="15">#REF!</definedName>
    <definedName name="TESTVKEY" localSheetId="4">#REF!</definedName>
    <definedName name="TESTVKEY" localSheetId="9">#REF!</definedName>
    <definedName name="TESTVKEY" localSheetId="0">#REF!</definedName>
    <definedName name="TESTVKEY" localSheetId="2">#REF!</definedName>
    <definedName name="TESTVKEY" localSheetId="1">#REF!</definedName>
    <definedName name="TESTVKEY" localSheetId="12">#REF!</definedName>
    <definedName name="TESTVKEY" localSheetId="17">#REF!</definedName>
    <definedName name="TESTVKEY">#REF!</definedName>
    <definedName name="TETO">#REF!</definedName>
    <definedName name="TipoObra">2</definedName>
    <definedName name="TipoRel">"Vale"</definedName>
    <definedName name="TITULO" localSheetId="2">#REF!</definedName>
    <definedName name="TITULO" localSheetId="1">#REF!</definedName>
    <definedName name="TITULO" localSheetId="17">#REF!</definedName>
    <definedName name="TITULO">#REF!</definedName>
    <definedName name="_xlnm.Print_Titles" localSheetId="15">'CALÇADA E ACESS. - JDML'!$2:$4</definedName>
    <definedName name="_xlnm.Print_Titles" localSheetId="9">'DISP. DRENAGEM - JDML'!$2:$3</definedName>
    <definedName name="_xlnm.Print_Titles" localSheetId="8">'DRENAGEM - JDA-E2'!$10:$13</definedName>
    <definedName name="_xlnm.Print_Titles" localSheetId="7">'DRENAGEM - JDML'!$10:$13</definedName>
    <definedName name="TLMBCS" localSheetId="15">#REF!</definedName>
    <definedName name="TLMBCS" localSheetId="4">#REF!</definedName>
    <definedName name="TLMBCS" localSheetId="9">#REF!</definedName>
    <definedName name="TLMBCS" localSheetId="0">#REF!</definedName>
    <definedName name="TLMBCS" localSheetId="7">#REF!</definedName>
    <definedName name="TLMBCS" localSheetId="2">#REF!</definedName>
    <definedName name="TLMBCS" localSheetId="1">#REF!</definedName>
    <definedName name="TLMBCS" localSheetId="12">#REF!</definedName>
    <definedName name="TLMBCS" localSheetId="11">#REF!</definedName>
    <definedName name="TLMBCS" localSheetId="17">#REF!</definedName>
    <definedName name="TLMBCS">#REF!</definedName>
    <definedName name="TOT" localSheetId="15" hidden="1">#REF!</definedName>
    <definedName name="TOT" localSheetId="4" hidden="1">#REF!</definedName>
    <definedName name="TOT" localSheetId="9" hidden="1">#REF!</definedName>
    <definedName name="TOT" localSheetId="7" hidden="1">#REF!</definedName>
    <definedName name="TOT" localSheetId="2" hidden="1">#REF!</definedName>
    <definedName name="TOT" localSheetId="1" hidden="1">#REF!</definedName>
    <definedName name="TOT" localSheetId="12" hidden="1">#REF!</definedName>
    <definedName name="TOT" localSheetId="17" hidden="1">#REF!</definedName>
    <definedName name="TOT" hidden="1">#REF!</definedName>
    <definedName name="TOTAL" localSheetId="15">#REF!</definedName>
    <definedName name="TOTAL" localSheetId="4">#REF!</definedName>
    <definedName name="TOTAL" localSheetId="9">#REF!</definedName>
    <definedName name="TOTAL" localSheetId="2">#REF!</definedName>
    <definedName name="TOTAL" localSheetId="1">#REF!</definedName>
    <definedName name="TOTAL" localSheetId="12">#REF!</definedName>
    <definedName name="TOTAL" localSheetId="17">#REF!</definedName>
    <definedName name="TOTAL">#REF!</definedName>
    <definedName name="TOTGC" localSheetId="15">#REF!</definedName>
    <definedName name="TOTGC" localSheetId="4">#REF!</definedName>
    <definedName name="TOTGC" localSheetId="9">#REF!</definedName>
    <definedName name="TOTGC" localSheetId="0">#REF!</definedName>
    <definedName name="TOTGC" localSheetId="2">#REF!</definedName>
    <definedName name="TOTGC" localSheetId="1">#REF!</definedName>
    <definedName name="TOTGC" localSheetId="12">#REF!</definedName>
    <definedName name="TOTGC" localSheetId="17">#REF!</definedName>
    <definedName name="TOTGC">#REF!</definedName>
    <definedName name="TPM" localSheetId="15">#REF!</definedName>
    <definedName name="TPM" localSheetId="4">#REF!</definedName>
    <definedName name="TPM" localSheetId="9">#REF!</definedName>
    <definedName name="TPM" localSheetId="2">#REF!</definedName>
    <definedName name="TPM" localSheetId="1">#REF!</definedName>
    <definedName name="TPM" localSheetId="12">#REF!</definedName>
    <definedName name="TPM" localSheetId="17">#REF!</definedName>
    <definedName name="TPM">#REF!</definedName>
    <definedName name="TR" localSheetId="4">#REF!</definedName>
    <definedName name="TR" localSheetId="2">#REF!</definedName>
    <definedName name="TR" localSheetId="1">#REF!</definedName>
    <definedName name="TR" localSheetId="17">#REF!</definedName>
    <definedName name="TR">#REF!</definedName>
    <definedName name="TrabAnual" localSheetId="15">#REF!</definedName>
    <definedName name="TrabAnual" localSheetId="4">#REF!</definedName>
    <definedName name="TrabAnual" localSheetId="9">#REF!</definedName>
    <definedName name="TrabAnual" localSheetId="7">#REF!</definedName>
    <definedName name="TrabAnual" localSheetId="2">#REF!</definedName>
    <definedName name="TrabAnual" localSheetId="1">#REF!</definedName>
    <definedName name="TrabAnual" localSheetId="12">#REF!</definedName>
    <definedName name="TrabAnual" localSheetId="11">#REF!</definedName>
    <definedName name="TrabAnual" localSheetId="17">#REF!</definedName>
    <definedName name="TrabAnual">#REF!</definedName>
    <definedName name="TRAÇO" localSheetId="17">#REF!</definedName>
    <definedName name="TRAÇO">#REF!</definedName>
    <definedName name="TRAF" localSheetId="15">#REF!</definedName>
    <definedName name="TRAF" localSheetId="4">#REF!</definedName>
    <definedName name="TRAF" localSheetId="9">#REF!</definedName>
    <definedName name="TRAF" localSheetId="7">#REF!</definedName>
    <definedName name="TRAF" localSheetId="2">#REF!</definedName>
    <definedName name="TRAF" localSheetId="1">#REF!</definedName>
    <definedName name="TRAF" localSheetId="12">#REF!</definedName>
    <definedName name="TRAF" localSheetId="11">#REF!</definedName>
    <definedName name="TRAF" localSheetId="17">#REF!</definedName>
    <definedName name="TRAF">#REF!</definedName>
    <definedName name="TRANSPORTE10" localSheetId="15">#REF!</definedName>
    <definedName name="TRANSPORTE10" localSheetId="4">#REF!</definedName>
    <definedName name="TRANSPORTE10" localSheetId="9">#REF!</definedName>
    <definedName name="TRANSPORTE10" localSheetId="0">#REF!</definedName>
    <definedName name="TRANSPORTE10" localSheetId="7">#REF!</definedName>
    <definedName name="TRANSPORTE10" localSheetId="2">#REF!</definedName>
    <definedName name="TRANSPORTE10" localSheetId="1">#REF!</definedName>
    <definedName name="TRANSPORTE10" localSheetId="12">#REF!</definedName>
    <definedName name="TRANSPORTE10" localSheetId="11">#REF!</definedName>
    <definedName name="TRANSPORTE10" localSheetId="17">#REF!</definedName>
    <definedName name="TRANSPORTE10">#REF!</definedName>
    <definedName name="TRANSPORTE4T" localSheetId="15">#REF!</definedName>
    <definedName name="TRANSPORTE4T" localSheetId="4">#REF!</definedName>
    <definedName name="TRANSPORTE4T" localSheetId="9">#REF!</definedName>
    <definedName name="TRANSPORTE4T" localSheetId="0">#REF!</definedName>
    <definedName name="TRANSPORTE4T" localSheetId="7">#REF!</definedName>
    <definedName name="TRANSPORTE4T" localSheetId="2">#REF!</definedName>
    <definedName name="TRANSPORTE4T" localSheetId="1">#REF!</definedName>
    <definedName name="TRANSPORTE4T" localSheetId="13">#REF!</definedName>
    <definedName name="TRANSPORTE4T" localSheetId="12">#REF!</definedName>
    <definedName name="TRANSPORTE4T" localSheetId="11">#REF!</definedName>
    <definedName name="TRANSPORTE4T" localSheetId="17">#REF!</definedName>
    <definedName name="TRANSPORTE4T">#REF!</definedName>
    <definedName name="TRANSPORTE5M" localSheetId="15">#REF!</definedName>
    <definedName name="TRANSPORTE5M" localSheetId="4">#REF!</definedName>
    <definedName name="TRANSPORTE5M" localSheetId="9">#REF!</definedName>
    <definedName name="TRANSPORTE5M" localSheetId="0">#REF!</definedName>
    <definedName name="TRANSPORTE5M" localSheetId="7">#REF!</definedName>
    <definedName name="TRANSPORTE5M" localSheetId="2">#REF!</definedName>
    <definedName name="TRANSPORTE5M" localSheetId="1">#REF!</definedName>
    <definedName name="TRANSPORTE5M" localSheetId="13">#REF!</definedName>
    <definedName name="TRANSPORTE5M" localSheetId="12">#REF!</definedName>
    <definedName name="TRANSPORTE5M" localSheetId="11">#REF!</definedName>
    <definedName name="TRANSPORTE5M" localSheetId="17">#REF!</definedName>
    <definedName name="TRANSPORTE5M">#REF!</definedName>
    <definedName name="TRANSPORTEBASEMANUAL" localSheetId="15">#REF!</definedName>
    <definedName name="TRANSPORTEBASEMANUAL" localSheetId="4">#REF!</definedName>
    <definedName name="TRANSPORTEBASEMANUAL" localSheetId="9">#REF!</definedName>
    <definedName name="TRANSPORTEBASEMANUAL" localSheetId="0">#REF!</definedName>
    <definedName name="TRANSPORTEBASEMANUAL" localSheetId="7">#REF!</definedName>
    <definedName name="TRANSPORTEBASEMANUAL" localSheetId="2">#REF!</definedName>
    <definedName name="TRANSPORTEBASEMANUAL" localSheetId="1">#REF!</definedName>
    <definedName name="TRANSPORTEBASEMANUAL" localSheetId="12">#REF!</definedName>
    <definedName name="TRANSPORTEBASEMANUAL" localSheetId="11">#REF!</definedName>
    <definedName name="TRANSPORTEBASEMANUAL" localSheetId="17">#REF!</definedName>
    <definedName name="TRANSPORTEBASEMANUAL">#REF!</definedName>
    <definedName name="TRANSPORTECAPAMANUAL" localSheetId="15">#REF!</definedName>
    <definedName name="TRANSPORTECAPAMANUAL" localSheetId="4">#REF!</definedName>
    <definedName name="TRANSPORTECAPAMANUAL" localSheetId="9">#REF!</definedName>
    <definedName name="TRANSPORTECAPAMANUAL" localSheetId="0">#REF!</definedName>
    <definedName name="TRANSPORTECAPAMANUAL" localSheetId="7">#REF!</definedName>
    <definedName name="TRANSPORTECAPAMANUAL" localSheetId="2">#REF!</definedName>
    <definedName name="TRANSPORTECAPAMANUAL" localSheetId="1">#REF!</definedName>
    <definedName name="TRANSPORTECAPAMANUAL" localSheetId="12">#REF!</definedName>
    <definedName name="TRANSPORTECAPAMANUAL" localSheetId="17">#REF!</definedName>
    <definedName name="TRANSPORTECAPAMANUAL">#REF!</definedName>
    <definedName name="transportecorreção" localSheetId="15">#REF!</definedName>
    <definedName name="transportecorreção" localSheetId="4">#REF!</definedName>
    <definedName name="transportecorreção" localSheetId="9">#REF!</definedName>
    <definedName name="transportecorreção" localSheetId="0">#REF!</definedName>
    <definedName name="transportecorreção" localSheetId="7">#REF!</definedName>
    <definedName name="transportecorreção" localSheetId="2">#REF!</definedName>
    <definedName name="transportecorreção" localSheetId="1">#REF!</definedName>
    <definedName name="transportecorreção" localSheetId="13">#REF!</definedName>
    <definedName name="transportecorreção" localSheetId="12">#REF!</definedName>
    <definedName name="transportecorreção" localSheetId="11">#REF!</definedName>
    <definedName name="transportecorreção" localSheetId="17">#REF!</definedName>
    <definedName name="transportecorreção">#REF!</definedName>
    <definedName name="Transporteenrocamento" localSheetId="15">#REF!</definedName>
    <definedName name="Transporteenrocamento" localSheetId="4">#REF!</definedName>
    <definedName name="Transporteenrocamento" localSheetId="9">#REF!</definedName>
    <definedName name="Transporteenrocamento" localSheetId="0">#REF!</definedName>
    <definedName name="Transporteenrocamento" localSheetId="7">#REF!</definedName>
    <definedName name="Transporteenrocamento" localSheetId="2">#REF!</definedName>
    <definedName name="Transporteenrocamento" localSheetId="1">#REF!</definedName>
    <definedName name="Transporteenrocamento" localSheetId="12">#REF!</definedName>
    <definedName name="Transporteenrocamento" localSheetId="11">#REF!</definedName>
    <definedName name="Transporteenrocamento" localSheetId="17">#REF!</definedName>
    <definedName name="Transporteenrocamento">#REF!</definedName>
    <definedName name="TRANSPORTEESPECIAL" localSheetId="15">#REF!</definedName>
    <definedName name="TRANSPORTEESPECIAL" localSheetId="4">#REF!</definedName>
    <definedName name="TRANSPORTEESPECIAL" localSheetId="9">#REF!</definedName>
    <definedName name="TRANSPORTEESPECIAL" localSheetId="0">#REF!</definedName>
    <definedName name="TRANSPORTEESPECIAL" localSheetId="7">#REF!</definedName>
    <definedName name="TRANSPORTEESPECIAL" localSheetId="2">#REF!</definedName>
    <definedName name="TRANSPORTEESPECIAL" localSheetId="1">#REF!</definedName>
    <definedName name="TRANSPORTEESPECIAL" localSheetId="13">#REF!</definedName>
    <definedName name="TRANSPORTEESPECIAL" localSheetId="12">#REF!</definedName>
    <definedName name="TRANSPORTEESPECIAL" localSheetId="11">#REF!</definedName>
    <definedName name="TRANSPORTEESPECIAL" localSheetId="17">#REF!</definedName>
    <definedName name="TRANSPORTEESPECIAL">#REF!</definedName>
    <definedName name="TRANSPORTELOCAL" localSheetId="15">#REF!</definedName>
    <definedName name="TRANSPORTELOCAL" localSheetId="4">#REF!</definedName>
    <definedName name="TRANSPORTELOCAL" localSheetId="9">#REF!</definedName>
    <definedName name="TRANSPORTELOCAL" localSheetId="0">#REF!</definedName>
    <definedName name="TRANSPORTELOCAL" localSheetId="7">#REF!</definedName>
    <definedName name="TRANSPORTELOCAL" localSheetId="2">#REF!</definedName>
    <definedName name="TRANSPORTELOCAL" localSheetId="1">#REF!</definedName>
    <definedName name="TRANSPORTELOCAL" localSheetId="12">#REF!</definedName>
    <definedName name="TRANSPORTELOCAL" localSheetId="11">#REF!</definedName>
    <definedName name="TRANSPORTELOCAL" localSheetId="17">#REF!</definedName>
    <definedName name="TRANSPORTELOCAL">#REF!</definedName>
    <definedName name="TRANSPORTEMATBET" localSheetId="15">#REF!</definedName>
    <definedName name="TRANSPORTEMATBET" localSheetId="4">#REF!</definedName>
    <definedName name="TRANSPORTEMATBET" localSheetId="9">#REF!</definedName>
    <definedName name="TRANSPORTEMATBET" localSheetId="0">#REF!</definedName>
    <definedName name="TRANSPORTEMATBET" localSheetId="7">#REF!</definedName>
    <definedName name="TRANSPORTEMATBET" localSheetId="2">#REF!</definedName>
    <definedName name="TRANSPORTEMATBET" localSheetId="1">#REF!</definedName>
    <definedName name="TRANSPORTEMATBET" localSheetId="13">#REF!</definedName>
    <definedName name="TRANSPORTEMATBET" localSheetId="12">#REF!</definedName>
    <definedName name="TRANSPORTEMATBET" localSheetId="11">#REF!</definedName>
    <definedName name="TRANSPORTEMATBET" localSheetId="17">#REF!</definedName>
    <definedName name="TRANSPORTEMATBET">#REF!</definedName>
    <definedName name="TRANSPORTERECOMPOSIÇÃO" localSheetId="15">#REF!</definedName>
    <definedName name="TRANSPORTERECOMPOSIÇÃO" localSheetId="4">#REF!</definedName>
    <definedName name="TRANSPORTERECOMPOSIÇÃO" localSheetId="9">#REF!</definedName>
    <definedName name="TRANSPORTERECOMPOSIÇÃO" localSheetId="0">#REF!</definedName>
    <definedName name="TRANSPORTERECOMPOSIÇÃO" localSheetId="7">#REF!</definedName>
    <definedName name="TRANSPORTERECOMPOSIÇÃO" localSheetId="2">#REF!</definedName>
    <definedName name="TRANSPORTERECOMPOSIÇÃO" localSheetId="1">#REF!</definedName>
    <definedName name="TRANSPORTERECOMPOSIÇÃO" localSheetId="12">#REF!</definedName>
    <definedName name="TRANSPORTERECOMPOSIÇÃO" localSheetId="11">#REF!</definedName>
    <definedName name="TRANSPORTERECOMPOSIÇÃO" localSheetId="17">#REF!</definedName>
    <definedName name="TRANSPORTERECOMPOSIÇÃO">#REF!</definedName>
    <definedName name="transportetapaburaco" localSheetId="15">#REF!</definedName>
    <definedName name="transportetapaburaco" localSheetId="4">#REF!</definedName>
    <definedName name="transportetapaburaco" localSheetId="9">#REF!</definedName>
    <definedName name="transportetapaburaco" localSheetId="0">#REF!</definedName>
    <definedName name="transportetapaburaco" localSheetId="7">#REF!</definedName>
    <definedName name="transportetapaburaco" localSheetId="2">#REF!</definedName>
    <definedName name="transportetapaburaco" localSheetId="1">#REF!</definedName>
    <definedName name="transportetapaburaco" localSheetId="13">#REF!</definedName>
    <definedName name="transportetapaburaco" localSheetId="12">#REF!</definedName>
    <definedName name="transportetapaburaco" localSheetId="11">#REF!</definedName>
    <definedName name="transportetapaburaco" localSheetId="17">#REF!</definedName>
    <definedName name="transportetapaburaco">#REF!</definedName>
    <definedName name="TRANSPORTETAPAEMERGENCIAL" localSheetId="15">#REF!</definedName>
    <definedName name="TRANSPORTETAPAEMERGENCIAL" localSheetId="4">#REF!</definedName>
    <definedName name="TRANSPORTETAPAEMERGENCIAL" localSheetId="9">#REF!</definedName>
    <definedName name="TRANSPORTETAPAEMERGENCIAL" localSheetId="0">#REF!</definedName>
    <definedName name="TRANSPORTETAPAEMERGENCIAL" localSheetId="7">#REF!</definedName>
    <definedName name="TRANSPORTETAPAEMERGENCIAL" localSheetId="2">#REF!</definedName>
    <definedName name="TRANSPORTETAPAEMERGENCIAL" localSheetId="1">#REF!</definedName>
    <definedName name="TRANSPORTETAPAEMERGENCIAL" localSheetId="12">#REF!</definedName>
    <definedName name="TRANSPORTETAPAEMERGENCIAL" localSheetId="11">#REF!</definedName>
    <definedName name="TRANSPORTETAPAEMERGENCIAL" localSheetId="17">#REF!</definedName>
    <definedName name="TRANSPORTETAPAEMERGENCIAL">#REF!</definedName>
    <definedName name="TRANSPSOLO" localSheetId="15">#REF!</definedName>
    <definedName name="TRANSPSOLO" localSheetId="4">#REF!</definedName>
    <definedName name="TRANSPSOLO" localSheetId="9">#REF!</definedName>
    <definedName name="TRANSPSOLO" localSheetId="0">#REF!</definedName>
    <definedName name="TRANSPSOLO" localSheetId="7">#REF!</definedName>
    <definedName name="TRANSPSOLO" localSheetId="2">#REF!</definedName>
    <definedName name="TRANSPSOLO" localSheetId="1">#REF!</definedName>
    <definedName name="TRANSPSOLO" localSheetId="12">#REF!</definedName>
    <definedName name="TRANSPSOLO" localSheetId="17">#REF!</definedName>
    <definedName name="TRANSPSOLO">#REF!</definedName>
    <definedName name="TRANSREM" localSheetId="4">#REF!</definedName>
    <definedName name="TRANSREM" localSheetId="2">#REF!</definedName>
    <definedName name="TRANSREM" localSheetId="1">#REF!</definedName>
    <definedName name="TRANSREM" localSheetId="17">#REF!</definedName>
    <definedName name="TRANSREM">#REF!</definedName>
    <definedName name="TRC1C" localSheetId="15">#REF!</definedName>
    <definedName name="TRC1C" localSheetId="4">#REF!</definedName>
    <definedName name="TRC1C" localSheetId="9">#REF!</definedName>
    <definedName name="TRC1C" localSheetId="7">#REF!</definedName>
    <definedName name="TRC1C" localSheetId="2">#REF!</definedName>
    <definedName name="TRC1C" localSheetId="1">#REF!</definedName>
    <definedName name="TRC1C" localSheetId="13">#REF!</definedName>
    <definedName name="TRC1C" localSheetId="12">#REF!</definedName>
    <definedName name="TRC1C" localSheetId="11">#REF!</definedName>
    <definedName name="TRC1C" localSheetId="17">#REF!</definedName>
    <definedName name="TRC1C">#REF!</definedName>
    <definedName name="trec" localSheetId="15">#REF!</definedName>
    <definedName name="trec" localSheetId="4">#REF!</definedName>
    <definedName name="Trec" localSheetId="0">#REF!</definedName>
    <definedName name="trec" localSheetId="2">#REF!</definedName>
    <definedName name="trec" localSheetId="1">#REF!</definedName>
    <definedName name="trec" localSheetId="12">#REF!</definedName>
    <definedName name="trec" localSheetId="11">#REF!</definedName>
    <definedName name="trec" localSheetId="17">#REF!</definedName>
    <definedName name="trec">#REF!</definedName>
    <definedName name="trech" localSheetId="17">#REF!</definedName>
    <definedName name="trech">#REF!</definedName>
    <definedName name="TRECHO" localSheetId="15">#REF!</definedName>
    <definedName name="TRECHO" localSheetId="4">#REF!</definedName>
    <definedName name="TRECHO" localSheetId="9">#REF!</definedName>
    <definedName name="TRECHO" localSheetId="0">#REF!</definedName>
    <definedName name="TRECHO" localSheetId="7">#REF!</definedName>
    <definedName name="TRECHO" localSheetId="2">#REF!</definedName>
    <definedName name="TRECHO" localSheetId="1">#REF!</definedName>
    <definedName name="TRECHO" localSheetId="13">#REF!</definedName>
    <definedName name="TRECHO" localSheetId="12">#REF!</definedName>
    <definedName name="TRECHO" localSheetId="11">#REF!</definedName>
    <definedName name="TRECHO" localSheetId="17">#REF!</definedName>
    <definedName name="TRECHO">#REF!</definedName>
    <definedName name="TRECHO_1" localSheetId="15">#REF!</definedName>
    <definedName name="TRECHO_1" localSheetId="4">#REF!</definedName>
    <definedName name="TRECHO_1" localSheetId="9">#REF!</definedName>
    <definedName name="TRECHO_1" localSheetId="0">#REF!</definedName>
    <definedName name="TRECHO_1" localSheetId="7">#REF!</definedName>
    <definedName name="TRECHO_1" localSheetId="2">#REF!</definedName>
    <definedName name="TRECHO_1" localSheetId="1">#REF!</definedName>
    <definedName name="TRECHO_1" localSheetId="13">#REF!</definedName>
    <definedName name="TRECHO_1" localSheetId="12">#REF!</definedName>
    <definedName name="TRECHO_1" localSheetId="11">#REF!</definedName>
    <definedName name="TRECHO_1" localSheetId="17">#REF!</definedName>
    <definedName name="TRECHO_1">#REF!</definedName>
    <definedName name="TRECREVPRIMARIO" localSheetId="15">#REF!</definedName>
    <definedName name="TRECREVPRIMARIO" localSheetId="4">#REF!</definedName>
    <definedName name="TRECREVPRIMARIO" localSheetId="9">#REF!</definedName>
    <definedName name="TRECREVPRIMARIO" localSheetId="0">#REF!</definedName>
    <definedName name="TRECREVPRIMARIO" localSheetId="7">#REF!</definedName>
    <definedName name="TRECREVPRIMARIO" localSheetId="2">#REF!</definedName>
    <definedName name="TRECREVPRIMARIO" localSheetId="1">#REF!</definedName>
    <definedName name="TRECREVPRIMARIO" localSheetId="12">#REF!</definedName>
    <definedName name="TRECREVPRIMARIO" localSheetId="11">#REF!</definedName>
    <definedName name="TRECREVPRIMARIO" localSheetId="17">#REF!</definedName>
    <definedName name="TRECREVPRIMARIO">#REF!</definedName>
    <definedName name="TRFORMA" localSheetId="15">#REF!</definedName>
    <definedName name="TRFORMA" localSheetId="4">#REF!</definedName>
    <definedName name="TRFORMA" localSheetId="9">#REF!</definedName>
    <definedName name="TRFORMA" localSheetId="0">#REF!</definedName>
    <definedName name="TRFORMA" localSheetId="7">#REF!</definedName>
    <definedName name="TRFORMA" localSheetId="2">#REF!</definedName>
    <definedName name="TRFORMA" localSheetId="1">#REF!</definedName>
    <definedName name="TRFORMA" localSheetId="12">#REF!</definedName>
    <definedName name="TRFORMA" localSheetId="17">#REF!</definedName>
    <definedName name="TRFORMA">#REF!</definedName>
    <definedName name="TRMUDAS" localSheetId="15">#REF!</definedName>
    <definedName name="TRMUDAS" localSheetId="4">#REF!</definedName>
    <definedName name="TRMUDAS" localSheetId="9">#REF!</definedName>
    <definedName name="TRMUDAS" localSheetId="0">#REF!</definedName>
    <definedName name="TRMUDAS" localSheetId="2">#REF!</definedName>
    <definedName name="TRMUDAS" localSheetId="1">#REF!</definedName>
    <definedName name="TRMUDAS" localSheetId="12">#REF!</definedName>
    <definedName name="TRMUDAS" localSheetId="17">#REF!</definedName>
    <definedName name="TRMUDAS">#REF!</definedName>
    <definedName name="TRP" localSheetId="2">#REF!</definedName>
    <definedName name="TRP" localSheetId="1">#REF!</definedName>
    <definedName name="TRP" localSheetId="17">#REF!</definedName>
    <definedName name="TRP">#REF!</definedName>
    <definedName name="TRR1C" localSheetId="15">#REF!</definedName>
    <definedName name="TRR1C" localSheetId="4">#REF!</definedName>
    <definedName name="TRR1C" localSheetId="9">#REF!</definedName>
    <definedName name="TRR1C" localSheetId="7">#REF!</definedName>
    <definedName name="TRR1C" localSheetId="2">#REF!</definedName>
    <definedName name="TRR1C" localSheetId="1">#REF!</definedName>
    <definedName name="TRR1C" localSheetId="13">#REF!</definedName>
    <definedName name="TRR1C" localSheetId="12">#REF!</definedName>
    <definedName name="TRR1C" localSheetId="11">#REF!</definedName>
    <definedName name="TRR1C" localSheetId="17">#REF!</definedName>
    <definedName name="TRR1C">#REF!</definedName>
    <definedName name="TRR2C" localSheetId="15">#REF!</definedName>
    <definedName name="TRR2C" localSheetId="4">#REF!</definedName>
    <definedName name="TRR2C" localSheetId="9">#REF!</definedName>
    <definedName name="TRR2C" localSheetId="7">#REF!</definedName>
    <definedName name="TRR2C" localSheetId="2">#REF!</definedName>
    <definedName name="TRR2C" localSheetId="1">#REF!</definedName>
    <definedName name="TRR2C" localSheetId="13">#REF!</definedName>
    <definedName name="TRR2C" localSheetId="12">#REF!</definedName>
    <definedName name="TRR2C" localSheetId="11">#REF!</definedName>
    <definedName name="TRR2C" localSheetId="17">#REF!</definedName>
    <definedName name="TRR2C">#REF!</definedName>
    <definedName name="TSD" localSheetId="15">#REF!</definedName>
    <definedName name="TSD" localSheetId="4">#REF!</definedName>
    <definedName name="TSD" localSheetId="9">#REF!</definedName>
    <definedName name="TSD" localSheetId="0">#REF!</definedName>
    <definedName name="TSD" localSheetId="7">#REF!</definedName>
    <definedName name="TSD" localSheetId="2">#REF!</definedName>
    <definedName name="TSD" localSheetId="1">#REF!</definedName>
    <definedName name="TSD" localSheetId="12">#REF!</definedName>
    <definedName name="TSD" localSheetId="11">#REF!</definedName>
    <definedName name="TSD" localSheetId="17">#REF!</definedName>
    <definedName name="TSD">#REF!</definedName>
    <definedName name="TUBO" localSheetId="15">#REF!</definedName>
    <definedName name="TUBO" localSheetId="4">#REF!</definedName>
    <definedName name="TUBO" localSheetId="9">#REF!</definedName>
    <definedName name="TUBO" localSheetId="0">#REF!</definedName>
    <definedName name="TUBO" localSheetId="7">#REF!</definedName>
    <definedName name="TUBO" localSheetId="2">#REF!</definedName>
    <definedName name="TUBO" localSheetId="1">#REF!</definedName>
    <definedName name="TUBO" localSheetId="12">#REF!</definedName>
    <definedName name="TUBO" localSheetId="11">#REF!</definedName>
    <definedName name="TUBO" localSheetId="17">#REF!</definedName>
    <definedName name="TUBO">#REF!</definedName>
    <definedName name="TxCresc" localSheetId="17">#REF!</definedName>
    <definedName name="TxCresc">#REF!</definedName>
    <definedName name="un" hidden="1">#N/A</definedName>
    <definedName name="Und">#N/A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NID" localSheetId="2">#REF!</definedName>
    <definedName name="UNID" localSheetId="17">#REF!</definedName>
    <definedName name="UNID">#REF!</definedName>
    <definedName name="unid.2" localSheetId="15">#REF!</definedName>
    <definedName name="unid.2" localSheetId="4">#REF!</definedName>
    <definedName name="unid.2" localSheetId="9">#REF!</definedName>
    <definedName name="unid.2" localSheetId="7">#REF!</definedName>
    <definedName name="unid.2" localSheetId="2">#REF!</definedName>
    <definedName name="unid.2" localSheetId="1">#REF!</definedName>
    <definedName name="unid.2" localSheetId="12">#REF!</definedName>
    <definedName name="unid.2" localSheetId="11">#REF!</definedName>
    <definedName name="unid.2" localSheetId="17">#REF!</definedName>
    <definedName name="unid.2">#REF!</definedName>
    <definedName name="UNID2" localSheetId="17">#REF!</definedName>
    <definedName name="UNID2">#REF!</definedName>
    <definedName name="unidade" localSheetId="15">#REF!</definedName>
    <definedName name="unidade" localSheetId="4">#REF!</definedName>
    <definedName name="unidade" localSheetId="9">#REF!</definedName>
    <definedName name="unidade" localSheetId="7">#REF!</definedName>
    <definedName name="unidade" localSheetId="2">#REF!</definedName>
    <definedName name="unidade" localSheetId="1">#REF!</definedName>
    <definedName name="unidade" localSheetId="13">#REF!</definedName>
    <definedName name="unidade" localSheetId="12">#REF!</definedName>
    <definedName name="unidade" localSheetId="11">#REF!</definedName>
    <definedName name="unidade" localSheetId="17">#REF!</definedName>
    <definedName name="unidade">#REF!</definedName>
    <definedName name="Unidade1" localSheetId="15">#REF!</definedName>
    <definedName name="Unidade1" localSheetId="4">#REF!</definedName>
    <definedName name="Unidade1" localSheetId="9">#REF!</definedName>
    <definedName name="Unidade1" localSheetId="7">#REF!</definedName>
    <definedName name="Unidade1" localSheetId="2">#REF!</definedName>
    <definedName name="Unidade1" localSheetId="1">#REF!</definedName>
    <definedName name="Unidade1" localSheetId="12">#REF!</definedName>
    <definedName name="Unidade1" localSheetId="11">#REF!</definedName>
    <definedName name="Unidade1" localSheetId="17">#REF!</definedName>
    <definedName name="Unidade1">#REF!</definedName>
    <definedName name="UnidAux" hidden="1">#N/A</definedName>
    <definedName name="Unit." localSheetId="2">#REF!</definedName>
    <definedName name="Unit." localSheetId="1">#REF!</definedName>
    <definedName name="Unit." localSheetId="17">#REF!</definedName>
    <definedName name="Unit.">#REF!</definedName>
    <definedName name="USINA" localSheetId="15">#REF!</definedName>
    <definedName name="USINA" localSheetId="4">#REF!</definedName>
    <definedName name="USINA" localSheetId="9">#REF!</definedName>
    <definedName name="USINA" localSheetId="7">#REF!</definedName>
    <definedName name="USINA" localSheetId="2">#REF!</definedName>
    <definedName name="USINA" localSheetId="1">#REF!</definedName>
    <definedName name="USINA" localSheetId="13">#REF!</definedName>
    <definedName name="USINA" localSheetId="12">#REF!</definedName>
    <definedName name="USINA" localSheetId="11">#REF!</definedName>
    <definedName name="USINA" localSheetId="17">#REF!</definedName>
    <definedName name="USINA">#REF!</definedName>
    <definedName name="uuujsh" localSheetId="15">#REF!</definedName>
    <definedName name="uuujsh" localSheetId="4">#REF!</definedName>
    <definedName name="uuujsh" localSheetId="9">#REF!</definedName>
    <definedName name="uuujsh" localSheetId="0">#REF!</definedName>
    <definedName name="uuujsh" localSheetId="7">#REF!</definedName>
    <definedName name="uuujsh" localSheetId="2">#REF!</definedName>
    <definedName name="uuujsh" localSheetId="1">#REF!</definedName>
    <definedName name="uuujsh" localSheetId="12">#REF!</definedName>
    <definedName name="uuujsh" localSheetId="11">#REF!</definedName>
    <definedName name="uuujsh" localSheetId="17">#REF!</definedName>
    <definedName name="uuujsh">#REF!</definedName>
    <definedName name="VALCORTE" localSheetId="15">#REF!</definedName>
    <definedName name="VALCORTE" localSheetId="4">#REF!</definedName>
    <definedName name="VALCORTE" localSheetId="9">#REF!</definedName>
    <definedName name="VALCORTE" localSheetId="0">#REF!</definedName>
    <definedName name="VALCORTE" localSheetId="7">#REF!</definedName>
    <definedName name="VALCORTE" localSheetId="2">#REF!</definedName>
    <definedName name="VALCORTE" localSheetId="1">#REF!</definedName>
    <definedName name="VALCORTE" localSheetId="12">#REF!</definedName>
    <definedName name="VALCORTE" localSheetId="17">#REF!</definedName>
    <definedName name="VALCORTE">#REF!</definedName>
    <definedName name="valeta" localSheetId="15">#REF!</definedName>
    <definedName name="valeta" localSheetId="4">#REF!</definedName>
    <definedName name="valeta" localSheetId="9">#REF!</definedName>
    <definedName name="valeta" localSheetId="0">#REF!</definedName>
    <definedName name="valeta" localSheetId="2">#REF!</definedName>
    <definedName name="valeta" localSheetId="1">#REF!</definedName>
    <definedName name="valeta" localSheetId="12">#REF!</definedName>
    <definedName name="valeta" localSheetId="17">#REF!</definedName>
    <definedName name="valeta">#REF!</definedName>
    <definedName name="VALOR_NF" localSheetId="15">#REF!</definedName>
    <definedName name="VALOR_NF" localSheetId="4">#REF!</definedName>
    <definedName name="VALOR_NF" localSheetId="9">#REF!</definedName>
    <definedName name="VALOR_NF" localSheetId="0">#REF!</definedName>
    <definedName name="VALOR_NF" localSheetId="7">#REF!</definedName>
    <definedName name="VALOR_NF" localSheetId="2">#REF!</definedName>
    <definedName name="VALOR_NF" localSheetId="1">#REF!</definedName>
    <definedName name="VALOR_NF" localSheetId="13">#REF!</definedName>
    <definedName name="VALOR_NF" localSheetId="12">#REF!</definedName>
    <definedName name="VALOR_NF" localSheetId="11">#REF!</definedName>
    <definedName name="VALOR_NF" localSheetId="17">#REF!</definedName>
    <definedName name="VALOR_NF">#REF!</definedName>
    <definedName name="Vazios" localSheetId="4">#REF!</definedName>
    <definedName name="Vazios" localSheetId="0">#REF!</definedName>
    <definedName name="Vazios" localSheetId="2">#REF!</definedName>
    <definedName name="Vazios" localSheetId="1">#REF!</definedName>
    <definedName name="Vazios" localSheetId="17">#REF!</definedName>
    <definedName name="Vazios">#REF!</definedName>
    <definedName name="verde" localSheetId="15">#REF!</definedName>
    <definedName name="verde" localSheetId="4">#REF!</definedName>
    <definedName name="verde" localSheetId="9">#REF!</definedName>
    <definedName name="verde" localSheetId="7">#REF!</definedName>
    <definedName name="verde" localSheetId="2">#REF!</definedName>
    <definedName name="verde" localSheetId="1">#REF!</definedName>
    <definedName name="verde" localSheetId="12">#REF!</definedName>
    <definedName name="verde" localSheetId="11">#REF!</definedName>
    <definedName name="verde" localSheetId="17">#REF!</definedName>
    <definedName name="verde">#REF!</definedName>
    <definedName name="verdepav" localSheetId="15">#REF!</definedName>
    <definedName name="verdepav" localSheetId="4">#REF!</definedName>
    <definedName name="verdepav" localSheetId="9">#REF!</definedName>
    <definedName name="verdepav" localSheetId="7">#REF!</definedName>
    <definedName name="verdepav" localSheetId="2">#REF!</definedName>
    <definedName name="verdepav" localSheetId="1">#REF!</definedName>
    <definedName name="verdepav" localSheetId="12">#REF!</definedName>
    <definedName name="verdepav" localSheetId="17">#REF!</definedName>
    <definedName name="verdepav">#REF!</definedName>
    <definedName name="VidaAnos" localSheetId="15">#REF!</definedName>
    <definedName name="VidaAnos" localSheetId="4">#REF!</definedName>
    <definedName name="VidaAnos" localSheetId="9">#REF!</definedName>
    <definedName name="VidaAnos" localSheetId="2">#REF!</definedName>
    <definedName name="VidaAnos" localSheetId="1">#REF!</definedName>
    <definedName name="VidaAnos" localSheetId="12">#REF!</definedName>
    <definedName name="VidaAnos" localSheetId="17">#REF!</definedName>
    <definedName name="VidaAnos">#REF!</definedName>
    <definedName name="Vidahoras" localSheetId="15">#REF!</definedName>
    <definedName name="Vidahoras" localSheetId="4">#REF!</definedName>
    <definedName name="Vidahoras" localSheetId="9">#REF!</definedName>
    <definedName name="Vidahoras" localSheetId="2">#REF!</definedName>
    <definedName name="Vidahoras" localSheetId="1">#REF!</definedName>
    <definedName name="Vidahoras" localSheetId="12">#REF!</definedName>
    <definedName name="Vidahoras" localSheetId="17">#REF!</definedName>
    <definedName name="Vidahoras">#REF!</definedName>
    <definedName name="VOL_ACUM" localSheetId="15">#REF!</definedName>
    <definedName name="VOL_ACUM" localSheetId="4">#REF!</definedName>
    <definedName name="VOL_ACUM" localSheetId="9">#REF!</definedName>
    <definedName name="VOL_ACUM" localSheetId="0">#REF!</definedName>
    <definedName name="VOL_ACUM" localSheetId="7">#REF!</definedName>
    <definedName name="VOL_ACUM" localSheetId="2">#REF!</definedName>
    <definedName name="VOL_ACUM" localSheetId="1">#REF!</definedName>
    <definedName name="VOL_ACUM" localSheetId="12">#REF!</definedName>
    <definedName name="VOL_ACUM" localSheetId="11">#REF!</definedName>
    <definedName name="VOL_ACUM" localSheetId="17">#REF!</definedName>
    <definedName name="VOL_ACUM">#REF!</definedName>
    <definedName name="VOLUME" localSheetId="15">#REF!</definedName>
    <definedName name="VOLUME" localSheetId="4">#REF!</definedName>
    <definedName name="VOLUME" localSheetId="9">#REF!</definedName>
    <definedName name="VOLUME" localSheetId="0">#REF!</definedName>
    <definedName name="VOLUME" localSheetId="7">#REF!</definedName>
    <definedName name="VOLUME" localSheetId="2">#REF!</definedName>
    <definedName name="VOLUME" localSheetId="1">#REF!</definedName>
    <definedName name="VOLUME" localSheetId="12">#REF!</definedName>
    <definedName name="VOLUME" localSheetId="11">#REF!</definedName>
    <definedName name="VOLUME" localSheetId="17">#REF!</definedName>
    <definedName name="VOLUME">#REF!</definedName>
    <definedName name="VPA" localSheetId="15">#REF!</definedName>
    <definedName name="VPA" localSheetId="4">#REF!</definedName>
    <definedName name="VPA" localSheetId="9">#REF!</definedName>
    <definedName name="VPA" localSheetId="7">#REF!</definedName>
    <definedName name="VPA" localSheetId="2">#REF!</definedName>
    <definedName name="VPA" localSheetId="1">#REF!</definedName>
    <definedName name="VPA" localSheetId="13">#REF!</definedName>
    <definedName name="VPA" localSheetId="12">#REF!</definedName>
    <definedName name="VPA" localSheetId="11">#REF!</definedName>
    <definedName name="VPA" localSheetId="17">#REF!</definedName>
    <definedName name="VPA">#REF!</definedName>
    <definedName name="wdgadfgdsz" localSheetId="15">#REF!</definedName>
    <definedName name="wdgadfgdsz" localSheetId="4">#REF!</definedName>
    <definedName name="wdgadfgdsz" localSheetId="9">#REF!</definedName>
    <definedName name="wdgadfgdsz" localSheetId="0">#REF!</definedName>
    <definedName name="wdgadfgdsz" localSheetId="7">#REF!</definedName>
    <definedName name="wdgadfgdsz" localSheetId="2">#REF!</definedName>
    <definedName name="wdgadfgdsz" localSheetId="1">#REF!</definedName>
    <definedName name="wdgadfgdsz" localSheetId="12">#REF!</definedName>
    <definedName name="wdgadfgdsz" localSheetId="11">#REF!</definedName>
    <definedName name="wdgadfgdsz" localSheetId="17">#REF!</definedName>
    <definedName name="wdgadfgdsz">#REF!</definedName>
    <definedName name="wdwqdq" localSheetId="17" hidden="1">#REF!</definedName>
    <definedName name="wdwqdq" hidden="1">#REF!</definedName>
    <definedName name="WEWRWR" localSheetId="15">'CALÇADA E ACESS. - JDML'!WEWRWR</definedName>
    <definedName name="WEWRWR" localSheetId="4">'DEMOLIÇÃO - JDML'!WEWRWR</definedName>
    <definedName name="WEWRWR" localSheetId="9">'DISP. DRENAGEM - JDML'!WEWRWR</definedName>
    <definedName name="WEWRWR" localSheetId="0">DMT!WEWRWR</definedName>
    <definedName name="WEWRWR" localSheetId="8">#N/A</definedName>
    <definedName name="WEWRWR" localSheetId="7">'DRENAGEM - JDML'!WEWRWR</definedName>
    <definedName name="WEWRWR" localSheetId="6">#N/A</definedName>
    <definedName name="WEWRWR" localSheetId="2">GRELHA!WEWRWR</definedName>
    <definedName name="WEWRWR" localSheetId="1">'MAT BET'!WEWRWR</definedName>
    <definedName name="WEWRWR" localSheetId="13">'PAVIMENTAÇÃO - JDML'!WEWRWR</definedName>
    <definedName name="WEWRWR" localSheetId="3">'PRELIMINARES - JDML+JDA-E2'!WEWRWR</definedName>
    <definedName name="WEWRWR" localSheetId="12">'RECAPEAMENTO - JDML'!WEWRWR</definedName>
    <definedName name="WEWRWR" localSheetId="11">'REMENDO - JDML'!WEWRWR</definedName>
    <definedName name="WEWRWR" localSheetId="17">'SINALIZAÇÃO - JDML'!WEWRWR</definedName>
    <definedName name="WEWRWR">[0]!WEWRWR</definedName>
    <definedName name="WQW" localSheetId="2">#REF!</definedName>
    <definedName name="WQW" localSheetId="1">#REF!</definedName>
    <definedName name="WQW" localSheetId="17">#REF!</definedName>
    <definedName name="WQW">#REF!</definedName>
    <definedName name="wrkifoerngperg" localSheetId="2">#REF!</definedName>
    <definedName name="wrkifoerngperg" localSheetId="1">#REF!</definedName>
    <definedName name="wrkifoerngperg" localSheetId="17">#REF!</definedName>
    <definedName name="wrkifoerngperg">#REF!</definedName>
    <definedName name="wrn.GERAL." localSheetId="15" hidden="1">{#N/A,#N/A,FALSE,"ET-CAPA";#N/A,#N/A,FALSE,"ET-PAG1";#N/A,#N/A,FALSE,"ET-PAG2";#N/A,#N/A,FALSE,"ET-PAG3";#N/A,#N/A,FALSE,"ET-PAG4";#N/A,#N/A,FALSE,"ET-PAG5"}</definedName>
    <definedName name="wrn.GERAL." localSheetId="8" hidden="1">{#N/A,#N/A,FALSE,"ET-CAPA";#N/A,#N/A,FALSE,"ET-PAG1";#N/A,#N/A,FALSE,"ET-PAG2";#N/A,#N/A,FALSE,"ET-PAG3";#N/A,#N/A,FALSE,"ET-PAG4";#N/A,#N/A,FALSE,"ET-PAG5"}</definedName>
    <definedName name="wrn.GERAL." localSheetId="6" hidden="1">{#N/A,#N/A,FALSE,"ET-CAPA";#N/A,#N/A,FALSE,"ET-PAG1";#N/A,#N/A,FALSE,"ET-PAG2";#N/A,#N/A,FALSE,"ET-PAG3";#N/A,#N/A,FALSE,"ET-PAG4";#N/A,#N/A,FALSE,"ET-PAG5"}</definedName>
    <definedName name="wrn.GERAL." localSheetId="2" hidden="1">{#N/A,#N/A,FALSE,"ET-CAPA";#N/A,#N/A,FALSE,"ET-PAG1";#N/A,#N/A,FALSE,"ET-PAG2";#N/A,#N/A,FALSE,"ET-PAG3";#N/A,#N/A,FALSE,"ET-PAG4";#N/A,#N/A,FALSE,"ET-PAG5"}</definedName>
    <definedName name="wrn.GERAL." localSheetId="13" hidden="1">{#N/A,#N/A,FALSE,"ET-CAPA";#N/A,#N/A,FALSE,"ET-PAG1";#N/A,#N/A,FALSE,"ET-PAG2";#N/A,#N/A,FALSE,"ET-PAG3";#N/A,#N/A,FALSE,"ET-PAG4";#N/A,#N/A,FALSE,"ET-PAG5"}</definedName>
    <definedName name="wrn.GERAL." localSheetId="12" hidden="1">{#N/A,#N/A,FALSE,"ET-CAPA";#N/A,#N/A,FALSE,"ET-PAG1";#N/A,#N/A,FALSE,"ET-PAG2";#N/A,#N/A,FALSE,"ET-PAG3";#N/A,#N/A,FALSE,"ET-PAG4";#N/A,#N/A,FALSE,"ET-PAG5"}</definedName>
    <definedName name="wrn.GERAL." localSheetId="17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mo2." localSheetId="15" hidden="1">{#N/A,#N/A,FALSE,"MO (2)"}</definedName>
    <definedName name="wrn.mo2." localSheetId="8" hidden="1">{#N/A,#N/A,FALSE,"MO (2)"}</definedName>
    <definedName name="wrn.mo2." localSheetId="6" hidden="1">{#N/A,#N/A,FALSE,"MO (2)"}</definedName>
    <definedName name="wrn.mo2." localSheetId="2" hidden="1">{#N/A,#N/A,FALSE,"MO (2)"}</definedName>
    <definedName name="wrn.mo2." localSheetId="13" hidden="1">{#N/A,#N/A,FALSE,"MO (2)"}</definedName>
    <definedName name="wrn.mo2." localSheetId="12" hidden="1">{#N/A,#N/A,FALSE,"MO (2)"}</definedName>
    <definedName name="wrn.mo2." localSheetId="17" hidden="1">{#N/A,#N/A,FALSE,"MO (2)"}</definedName>
    <definedName name="wrn.mo2." hidden="1">{#N/A,#N/A,FALSE,"MO (2)"}</definedName>
    <definedName name="wrn.PENDENCIAS.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8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6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7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reco." localSheetId="16" hidden="1">{#N/A,#N/A,FALSE,"Pla_Preço";#N/A,#N/A,FALSE,"Crono"}</definedName>
    <definedName name="wrn.preco." localSheetId="15" hidden="1">{#N/A,#N/A,FALSE,"Pla_Preço";#N/A,#N/A,FALSE,"Crono"}</definedName>
    <definedName name="wrn.preco." localSheetId="4" hidden="1">{#N/A,#N/A,FALSE,"Pla_Preço";#N/A,#N/A,FALSE,"Crono"}</definedName>
    <definedName name="wrn.preco." localSheetId="9" hidden="1">{#N/A,#N/A,FALSE,"Pla_Preço";#N/A,#N/A,FALSE,"Crono"}</definedName>
    <definedName name="wrn.preco." localSheetId="0" hidden="1">{#N/A,#N/A,FALSE,"Pla_Preço";#N/A,#N/A,FALSE,"Crono"}</definedName>
    <definedName name="wrn.preco." localSheetId="8" hidden="1">{#N/A,#N/A,FALSE,"Pla_Preço";#N/A,#N/A,FALSE,"Crono"}</definedName>
    <definedName name="wrn.preco." localSheetId="7" hidden="1">{#N/A,#N/A,FALSE,"Pla_Preço";#N/A,#N/A,FALSE,"Crono"}</definedName>
    <definedName name="wrn.preco." localSheetId="6" hidden="1">{#N/A,#N/A,FALSE,"Pla_Preço";#N/A,#N/A,FALSE,"Crono"}</definedName>
    <definedName name="wrn.preco." localSheetId="2" hidden="1">{#N/A,#N/A,FALSE,"Pla_Preço";#N/A,#N/A,FALSE,"Crono"}</definedName>
    <definedName name="wrn.preco." localSheetId="1" hidden="1">{#N/A,#N/A,FALSE,"Pla_Preço";#N/A,#N/A,FALSE,"Crono"}</definedName>
    <definedName name="wrn.preco." localSheetId="13" hidden="1">{#N/A,#N/A,FALSE,"Pla_Preço";#N/A,#N/A,FALSE,"Crono"}</definedName>
    <definedName name="wrn.preco." localSheetId="3" hidden="1">{#N/A,#N/A,FALSE,"Pla_Preço";#N/A,#N/A,FALSE,"Crono"}</definedName>
    <definedName name="wrn.preco." localSheetId="12" hidden="1">{#N/A,#N/A,FALSE,"Pla_Preço";#N/A,#N/A,FALSE,"Crono"}</definedName>
    <definedName name="wrn.preco." localSheetId="11" hidden="1">{#N/A,#N/A,FALSE,"Pla_Preço";#N/A,#N/A,FALSE,"Crono"}</definedName>
    <definedName name="wrn.preco." localSheetId="18" hidden="1">{#N/A,#N/A,FALSE,"Pla_Preço";#N/A,#N/A,FALSE,"Crono"}</definedName>
    <definedName name="wrn.preco." localSheetId="17" hidden="1">{#N/A,#N/A,FALSE,"Pla_Preço";#N/A,#N/A,FALSE,"Crono"}</definedName>
    <definedName name="wrn.preco." hidden="1">{#N/A,#N/A,FALSE,"Pla_Preço";#N/A,#N/A,FALSE,"Crono"}</definedName>
    <definedName name="wrn.Quadros._.relatório." localSheetId="15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8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6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13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1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localSheetId="17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SFDGSJHKJSçghsK" localSheetId="2">#REF!</definedName>
    <definedName name="WSFDGSJHKJSçghsK" localSheetId="1">#REF!</definedName>
    <definedName name="WSFDGSJHKJSçghsK" localSheetId="17">#REF!</definedName>
    <definedName name="WSFDGSJHKJSçghsK">#REF!</definedName>
    <definedName name="x" localSheetId="4">#REF!</definedName>
    <definedName name="x" localSheetId="9">#REF!</definedName>
    <definedName name="x" localSheetId="7">#REF!</definedName>
    <definedName name="x" localSheetId="2">#REF!</definedName>
    <definedName name="x" localSheetId="1">#REF!</definedName>
    <definedName name="x" localSheetId="17">#REF!</definedName>
    <definedName name="x">#REF!</definedName>
    <definedName name="xczvzxc" localSheetId="2">#REF!</definedName>
    <definedName name="xczvzxc" localSheetId="1">#REF!</definedName>
    <definedName name="xczvzxc" localSheetId="17">#REF!</definedName>
    <definedName name="xczvzxc">#REF!</definedName>
    <definedName name="XXX" localSheetId="15">'CALÇADA E ACESS. - JDML'!XXX</definedName>
    <definedName name="XXX" localSheetId="4">'DEMOLIÇÃO - JDML'!XXX</definedName>
    <definedName name="XXX" localSheetId="9">'DISP. DRENAGEM - JDML'!XXX</definedName>
    <definedName name="XXX" localSheetId="0">DMT!XXX</definedName>
    <definedName name="XXX" localSheetId="8">#N/A</definedName>
    <definedName name="XXX" localSheetId="7">'DRENAGEM - JDML'!XXX</definedName>
    <definedName name="XXX" localSheetId="6">#N/A</definedName>
    <definedName name="XXX" localSheetId="2">GRELHA!XXX</definedName>
    <definedName name="XXX" localSheetId="1">'MAT BET'!XXX</definedName>
    <definedName name="XXX" localSheetId="13">'PAVIMENTAÇÃO - JDML'!XXX</definedName>
    <definedName name="XXX" localSheetId="3">'PRELIMINARES - JDML+JDA-E2'!XXX</definedName>
    <definedName name="XXX" localSheetId="12">'RECAPEAMENTO - JDML'!XXX</definedName>
    <definedName name="XXX" localSheetId="11">'REMENDO - JDML'!XXX</definedName>
    <definedName name="XXX" localSheetId="17">'SINALIZAÇÃO - JDML'!XXX</definedName>
    <definedName name="XXX">[0]!XXX</definedName>
    <definedName name="xxxx" localSheetId="15">#REF!</definedName>
    <definedName name="xxxx" localSheetId="4">#REF!</definedName>
    <definedName name="xxxx" localSheetId="9">#REF!</definedName>
    <definedName name="xxxx" localSheetId="7">#REF!</definedName>
    <definedName name="xxxx" localSheetId="2">#REF!</definedName>
    <definedName name="xxxx" localSheetId="1">#REF!</definedName>
    <definedName name="xxxx" localSheetId="12">#REF!</definedName>
    <definedName name="xxxx" localSheetId="11">#REF!</definedName>
    <definedName name="xxxx" localSheetId="17">#REF!</definedName>
    <definedName name="xxxx">#REF!</definedName>
    <definedName name="xxxxxxx" localSheetId="17">#REF!</definedName>
    <definedName name="xxxxxxx">#REF!</definedName>
    <definedName name="yngrid" localSheetId="2">#REF!</definedName>
    <definedName name="yngrid" localSheetId="1">#REF!</definedName>
    <definedName name="yngrid" localSheetId="17">#REF!</definedName>
    <definedName name="yngrid">#REF!</definedName>
    <definedName name="yngridd" localSheetId="2">#REF!</definedName>
    <definedName name="yngridd" localSheetId="1">#REF!</definedName>
    <definedName name="yngridd" localSheetId="17">#REF!</definedName>
    <definedName name="yngridd">#REF!</definedName>
    <definedName name="yoli" localSheetId="2">#REF!</definedName>
    <definedName name="yoli" localSheetId="1">#REF!</definedName>
    <definedName name="yoli" localSheetId="17">#REF!</definedName>
    <definedName name="yoli">#REF!</definedName>
    <definedName name="yULIAN" localSheetId="2">#REF!</definedName>
    <definedName name="yULIAN" localSheetId="1">#REF!</definedName>
    <definedName name="yULIAN" localSheetId="17">#REF!</definedName>
    <definedName name="yULIAN">#REF!</definedName>
    <definedName name="Z_022B7420_7F94_427F_B370_84030F9B3342_.wvu.FilterData" localSheetId="17" hidden="1">#REF!</definedName>
    <definedName name="Z_022B7420_7F94_427F_B370_84030F9B3342_.wvu.FilterData" hidden="1">#REF!</definedName>
    <definedName name="Z_04BC043C_175B_412D_8093_6F29CD74FBAE_.wvu.FilterData" localSheetId="17" hidden="1">#REF!</definedName>
    <definedName name="Z_04BC043C_175B_412D_8093_6F29CD74FBAE_.wvu.FilterData" hidden="1">#REF!</definedName>
    <definedName name="Z_058B9256_CB4D_4C39_834D_D693FEEB491F_.wvu.FilterData" localSheetId="17" hidden="1">#REF!</definedName>
    <definedName name="Z_058B9256_CB4D_4C39_834D_D693FEEB491F_.wvu.FilterData" hidden="1">#REF!</definedName>
    <definedName name="Z_05D1A71D_3B7B_4FB7_8DF3_B8E29CA3927A_.wvu.FilterData" localSheetId="17" hidden="1">#REF!</definedName>
    <definedName name="Z_05D1A71D_3B7B_4FB7_8DF3_B8E29CA3927A_.wvu.FilterData" hidden="1">#REF!</definedName>
    <definedName name="Z_07C2CF55_E6DF_411A_AB00_7E155615468C_.wvu.FilterData" localSheetId="17" hidden="1">#REF!</definedName>
    <definedName name="Z_07C2CF55_E6DF_411A_AB00_7E155615468C_.wvu.FilterData" hidden="1">#REF!</definedName>
    <definedName name="Z_0B1003A7_69DB_4D5B_966D_57B9E8AF76FB_.wvu.FilterData" localSheetId="17" hidden="1">#REF!</definedName>
    <definedName name="Z_0B1003A7_69DB_4D5B_966D_57B9E8AF76FB_.wvu.FilterData" hidden="1">#REF!</definedName>
    <definedName name="Z_0C3EE359_64F6_4049_9576_8EACA8563EA4_.wvu.FilterData" localSheetId="17" hidden="1">#REF!</definedName>
    <definedName name="Z_0C3EE359_64F6_4049_9576_8EACA8563EA4_.wvu.FilterData" hidden="1">#REF!</definedName>
    <definedName name="Z_0D05AC4E_32D3_4985_8208_9776E00AC749_.wvu.FilterData" localSheetId="17" hidden="1">#REF!</definedName>
    <definedName name="Z_0D05AC4E_32D3_4985_8208_9776E00AC749_.wvu.FilterData" hidden="1">#REF!</definedName>
    <definedName name="Z_0DC459DE_F68C_4E33_8D1E_F1663ABAC944_.wvu.FilterData" localSheetId="17" hidden="1">#REF!</definedName>
    <definedName name="Z_0DC459DE_F68C_4E33_8D1E_F1663ABAC944_.wvu.FilterData" hidden="1">#REF!</definedName>
    <definedName name="Z_0FACBA89_1203_4ED8_87E5_EC1D45B051B7_.wvu.FilterData" localSheetId="17" hidden="1">#REF!</definedName>
    <definedName name="Z_0FACBA89_1203_4ED8_87E5_EC1D45B051B7_.wvu.FilterData" hidden="1">#REF!</definedName>
    <definedName name="Z_0FEA3536_5108_4591_BECF_C3181387F85F_.wvu.FilterData" localSheetId="17" hidden="1">#REF!</definedName>
    <definedName name="Z_0FEA3536_5108_4591_BECF_C3181387F85F_.wvu.FilterData" hidden="1">#REF!</definedName>
    <definedName name="Z_0FEFDB42_ECBC_4500_A6C8_FEE3D368790B_.wvu.FilterData" localSheetId="17" hidden="1">#REF!</definedName>
    <definedName name="Z_0FEFDB42_ECBC_4500_A6C8_FEE3D368790B_.wvu.FilterData" hidden="1">#REF!</definedName>
    <definedName name="Z_110A0651_47C7_408E_B3BF_0C80D30B95FC_.wvu.FilterData" localSheetId="17" hidden="1">#REF!</definedName>
    <definedName name="Z_110A0651_47C7_408E_B3BF_0C80D30B95FC_.wvu.FilterData" hidden="1">#REF!</definedName>
    <definedName name="Z_128E64DD_BE84_40EE_A6D2_C9B0EB25CBBD_.wvu.FilterData" localSheetId="17" hidden="1">#REF!</definedName>
    <definedName name="Z_128E64DD_BE84_40EE_A6D2_C9B0EB25CBBD_.wvu.FilterData" hidden="1">#REF!</definedName>
    <definedName name="Z_12F2973E_0018_407B_98AD_CD9C5D1F65FA_.wvu.FilterData" localSheetId="17" hidden="1">#REF!</definedName>
    <definedName name="Z_12F2973E_0018_407B_98AD_CD9C5D1F65FA_.wvu.FilterData" hidden="1">#REF!</definedName>
    <definedName name="Z_137DAE61_8A8D_4219_A4CC_0EEC18A94882_.wvu.FilterData" localSheetId="17" hidden="1">#REF!</definedName>
    <definedName name="Z_137DAE61_8A8D_4219_A4CC_0EEC18A94882_.wvu.FilterData" hidden="1">#REF!</definedName>
    <definedName name="Z_13E06FB5_D019_406D_B278_1B53AD2F6386_.wvu.FilterData" localSheetId="17" hidden="1">#REF!</definedName>
    <definedName name="Z_13E06FB5_D019_406D_B278_1B53AD2F6386_.wvu.FilterData" hidden="1">#REF!</definedName>
    <definedName name="Z_14D375AC_5615_46DE_8EE3_95915B2A8B54_.wvu.FilterData" localSheetId="17" hidden="1">#REF!</definedName>
    <definedName name="Z_14D375AC_5615_46DE_8EE3_95915B2A8B54_.wvu.FilterData" hidden="1">#REF!</definedName>
    <definedName name="Z_15B5DC78_B02F_4AC6_8572_015040A55619_.wvu.FilterData" localSheetId="17" hidden="1">#REF!</definedName>
    <definedName name="Z_15B5DC78_B02F_4AC6_8572_015040A55619_.wvu.FilterData" hidden="1">#REF!</definedName>
    <definedName name="Z_166D6F0F_4D44_46E7_8C36_48FD4848B5AA_.wvu.FilterData" localSheetId="17" hidden="1">#REF!</definedName>
    <definedName name="Z_166D6F0F_4D44_46E7_8C36_48FD4848B5AA_.wvu.FilterData" hidden="1">#REF!</definedName>
    <definedName name="Z_16FAB836_2255_4D4C_90E4_6B46255F3759_.wvu.FilterData" localSheetId="17" hidden="1">#REF!</definedName>
    <definedName name="Z_16FAB836_2255_4D4C_90E4_6B46255F3759_.wvu.FilterData" hidden="1">#REF!</definedName>
    <definedName name="Z_198D391C_95CB_49F5_8924_5FEA3CE5C98A_.wvu.FilterData" localSheetId="17" hidden="1">#REF!</definedName>
    <definedName name="Z_198D391C_95CB_49F5_8924_5FEA3CE5C98A_.wvu.FilterData" hidden="1">#REF!</definedName>
    <definedName name="Z_1D9C37CC_3E33_4D4D_B7CD_819F75C83D65_.wvu.FilterData" localSheetId="17" hidden="1">#REF!</definedName>
    <definedName name="Z_1D9C37CC_3E33_4D4D_B7CD_819F75C83D65_.wvu.FilterData" hidden="1">#REF!</definedName>
    <definedName name="Z_1DF9838C_880D_4C4E_BFFE_89B5894EC40F_.wvu.FilterData" localSheetId="17" hidden="1">#REF!</definedName>
    <definedName name="Z_1DF9838C_880D_4C4E_BFFE_89B5894EC40F_.wvu.FilterData" hidden="1">#REF!</definedName>
    <definedName name="Z_1EF42BFC_874B_4E01_B67D_1607E823ACD0_.wvu.FilterData" localSheetId="17" hidden="1">#REF!</definedName>
    <definedName name="Z_1EF42BFC_874B_4E01_B67D_1607E823ACD0_.wvu.FilterData" hidden="1">#REF!</definedName>
    <definedName name="Z_1F94C6E7_3CCA_4599_AF6F_4D6291B2AD93_.wvu.FilterData" localSheetId="17" hidden="1">#REF!</definedName>
    <definedName name="Z_1F94C6E7_3CCA_4599_AF6F_4D6291B2AD93_.wvu.FilterData" hidden="1">#REF!</definedName>
    <definedName name="Z_20A9AA17_0DEB_4190_8DAD_FC60D0D33A52_.wvu.FilterData" localSheetId="17" hidden="1">#REF!</definedName>
    <definedName name="Z_20A9AA17_0DEB_4190_8DAD_FC60D0D33A52_.wvu.FilterData" hidden="1">#REF!</definedName>
    <definedName name="Z_2103F656_ECB2_4F99_BE9B_56F4D7A5CEE2_.wvu.FilterData" localSheetId="17" hidden="1">#REF!</definedName>
    <definedName name="Z_2103F656_ECB2_4F99_BE9B_56F4D7A5CEE2_.wvu.FilterData" hidden="1">#REF!</definedName>
    <definedName name="Z_2158A2BC_8DB5_455D_AFDE_914B22949288_.wvu.FilterData" localSheetId="17" hidden="1">#REF!</definedName>
    <definedName name="Z_2158A2BC_8DB5_455D_AFDE_914B22949288_.wvu.FilterData" hidden="1">#REF!</definedName>
    <definedName name="Z_21A967FF_561E_495F_AEB9_4DD3BEDA53BC_.wvu.FilterData" localSheetId="17" hidden="1">#REF!</definedName>
    <definedName name="Z_21A967FF_561E_495F_AEB9_4DD3BEDA53BC_.wvu.FilterData" hidden="1">#REF!</definedName>
    <definedName name="Z_227E7522_DC52_4EA7_A11A_0741FF23CC42_.wvu.FilterData" localSheetId="17" hidden="1">#REF!</definedName>
    <definedName name="Z_227E7522_DC52_4EA7_A11A_0741FF23CC42_.wvu.FilterData" hidden="1">#REF!</definedName>
    <definedName name="Z_23BA0C23_280B_4568_A53C_1C6D2E85772A_.wvu.FilterData" localSheetId="17" hidden="1">#REF!</definedName>
    <definedName name="Z_23BA0C23_280B_4568_A53C_1C6D2E85772A_.wvu.FilterData" hidden="1">#REF!</definedName>
    <definedName name="Z_244346C6_3866_4160_9E2E_C77913F25398_.wvu.FilterData" localSheetId="17" hidden="1">#REF!</definedName>
    <definedName name="Z_244346C6_3866_4160_9E2E_C77913F25398_.wvu.FilterData" hidden="1">#REF!</definedName>
    <definedName name="Z_25117F67_F0EE_43EF_8FF9_79F533CE10B0_.wvu.FilterData" localSheetId="17" hidden="1">#REF!</definedName>
    <definedName name="Z_25117F67_F0EE_43EF_8FF9_79F533CE10B0_.wvu.FilterData" hidden="1">#REF!</definedName>
    <definedName name="Z_259E2DDE_5459_4510_B7A2_66F49964C56E_.wvu.FilterData" localSheetId="17" hidden="1">#REF!</definedName>
    <definedName name="Z_259E2DDE_5459_4510_B7A2_66F49964C56E_.wvu.FilterData" hidden="1">#REF!</definedName>
    <definedName name="Z_25C7DFCF_BE54_4A41_B957_DE39B9B2A5B5_.wvu.FilterData" localSheetId="17" hidden="1">#REF!</definedName>
    <definedName name="Z_25C7DFCF_BE54_4A41_B957_DE39B9B2A5B5_.wvu.FilterData" hidden="1">#REF!</definedName>
    <definedName name="Z_272E0E4D_901D_11D7_B59C_0050DAB35C7B_.wvu.FilterData" localSheetId="17" hidden="1">#REF!</definedName>
    <definedName name="Z_272E0E4D_901D_11D7_B59C_0050DAB35C7B_.wvu.FilterData" hidden="1">#REF!</definedName>
    <definedName name="Z_27D9353E_5A5F_49BF_8724_FA312A4073FF_.wvu.FilterData" localSheetId="17" hidden="1">#REF!</definedName>
    <definedName name="Z_27D9353E_5A5F_49BF_8724_FA312A4073FF_.wvu.FilterData" hidden="1">#REF!</definedName>
    <definedName name="Z_299BE965_B904_49FA_A79D_B9538F94936F_.wvu.FilterData" localSheetId="17" hidden="1">#REF!</definedName>
    <definedName name="Z_299BE965_B904_49FA_A79D_B9538F94936F_.wvu.FilterData" hidden="1">#REF!</definedName>
    <definedName name="Z_29D37CE9_76D1_4D09_99A0_55ABA6929929_.wvu.FilterData" localSheetId="17" hidden="1">#REF!</definedName>
    <definedName name="Z_29D37CE9_76D1_4D09_99A0_55ABA6929929_.wvu.FilterData" hidden="1">#REF!</definedName>
    <definedName name="Z_2C05BC27_731C_41F4_980F_CD81E4A7A662_.wvu.FilterData" localSheetId="17" hidden="1">#REF!</definedName>
    <definedName name="Z_2C05BC27_731C_41F4_980F_CD81E4A7A662_.wvu.FilterData" hidden="1">#REF!</definedName>
    <definedName name="Z_2C0BDCBF_705B_4E5A_9659_05D99EC56641_.wvu.FilterData" localSheetId="17" hidden="1">#REF!</definedName>
    <definedName name="Z_2C0BDCBF_705B_4E5A_9659_05D99EC56641_.wvu.FilterData" hidden="1">#REF!</definedName>
    <definedName name="Z_2CD580B5_D99D_45ED_AC1E_45F8CBBBB9F1_.wvu.FilterData" localSheetId="17" hidden="1">#REF!</definedName>
    <definedName name="Z_2CD580B5_D99D_45ED_AC1E_45F8CBBBB9F1_.wvu.FilterData" hidden="1">#REF!</definedName>
    <definedName name="Z_2D98D706_A306_4353_8B3D_DA92F9EAEC9A_.wvu.FilterData" localSheetId="17" hidden="1">#REF!</definedName>
    <definedName name="Z_2D98D706_A306_4353_8B3D_DA92F9EAEC9A_.wvu.FilterData" hidden="1">#REF!</definedName>
    <definedName name="Z_2F8736FC_F07E_49E8_9C13_8E0A0F5EFE5F_.wvu.FilterData" localSheetId="17" hidden="1">#REF!</definedName>
    <definedName name="Z_2F8736FC_F07E_49E8_9C13_8E0A0F5EFE5F_.wvu.FilterData" hidden="1">#REF!</definedName>
    <definedName name="Z_304C2F7A_D3A6_4DBA_A568_C3E56D7C6E2F_.wvu.FilterData" localSheetId="17" hidden="1">#REF!</definedName>
    <definedName name="Z_304C2F7A_D3A6_4DBA_A568_C3E56D7C6E2F_.wvu.FilterData" hidden="1">#REF!</definedName>
    <definedName name="Z_30E0ACE8_B29A_44E9_B542_E8C1CA3FD802_.wvu.FilterData" localSheetId="17" hidden="1">#REF!</definedName>
    <definedName name="Z_30E0ACE8_B29A_44E9_B542_E8C1CA3FD802_.wvu.FilterData" hidden="1">#REF!</definedName>
    <definedName name="Z_31A27EA2_D574_43B8_A671_7419A12151C9_.wvu.FilterData" localSheetId="17" hidden="1">#REF!</definedName>
    <definedName name="Z_31A27EA2_D574_43B8_A671_7419A12151C9_.wvu.FilterData" hidden="1">#REF!</definedName>
    <definedName name="Z_32D1B352_62AB_4105_8DFC_EAA2DF743365_.wvu.FilterData" localSheetId="17" hidden="1">#REF!</definedName>
    <definedName name="Z_32D1B352_62AB_4105_8DFC_EAA2DF743365_.wvu.FilterData" hidden="1">#REF!</definedName>
    <definedName name="Z_330DF436_5BED_40AF_AC51_73D268BD9DF4_.wvu.FilterData" localSheetId="17" hidden="1">#REF!</definedName>
    <definedName name="Z_330DF436_5BED_40AF_AC51_73D268BD9DF4_.wvu.FilterData" hidden="1">#REF!</definedName>
    <definedName name="Z_33B8EF57_2FB1_4600_9590_B0A2F2FE409B_.wvu.FilterData" localSheetId="17" hidden="1">#REF!</definedName>
    <definedName name="Z_33B8EF57_2FB1_4600_9590_B0A2F2FE409B_.wvu.FilterData" hidden="1">#REF!</definedName>
    <definedName name="Z_3404588C_6CE7_4C97_A62C_D19D9EE290D3_.wvu.FilterData" localSheetId="17" hidden="1">#REF!</definedName>
    <definedName name="Z_3404588C_6CE7_4C97_A62C_D19D9EE290D3_.wvu.FilterData" hidden="1">#REF!</definedName>
    <definedName name="Z_34E71878_8D1A_4343_91A1_3FE085136D2B_.wvu.FilterData" localSheetId="17" hidden="1">#REF!</definedName>
    <definedName name="Z_34E71878_8D1A_4343_91A1_3FE085136D2B_.wvu.FilterData" hidden="1">#REF!</definedName>
    <definedName name="Z_37611AA0_E86A_42C8_8705_108B25E060A1_.wvu.FilterData" localSheetId="17" hidden="1">#REF!</definedName>
    <definedName name="Z_37611AA0_E86A_42C8_8705_108B25E060A1_.wvu.FilterData" hidden="1">#REF!</definedName>
    <definedName name="Z_38FE6CED_4C19_4332_9788_ACC902B20A46_.wvu.FilterData" localSheetId="17" hidden="1">#REF!</definedName>
    <definedName name="Z_38FE6CED_4C19_4332_9788_ACC902B20A46_.wvu.FilterData" hidden="1">#REF!</definedName>
    <definedName name="Z_394E75CB_4F7F_4C88_A08F_29E48E587341_.wvu.FilterData" localSheetId="17" hidden="1">#REF!</definedName>
    <definedName name="Z_394E75CB_4F7F_4C88_A08F_29E48E587341_.wvu.FilterData" hidden="1">#REF!</definedName>
    <definedName name="Z_3C200595_20A3_4A0C_B071_705F4AD5DAD3_.wvu.FilterData" localSheetId="17" hidden="1">#REF!</definedName>
    <definedName name="Z_3C200595_20A3_4A0C_B071_705F4AD5DAD3_.wvu.FilterData" hidden="1">#REF!</definedName>
    <definedName name="Z_3E93FF4A_0B7F_475C_A63C_54FBDB9DB4C5_.wvu.FilterData" localSheetId="17" hidden="1">#REF!</definedName>
    <definedName name="Z_3E93FF4A_0B7F_475C_A63C_54FBDB9DB4C5_.wvu.FilterData" hidden="1">#REF!</definedName>
    <definedName name="Z_3FF05DC4_CA9E_470D_A193_91785ACE00EF_.wvu.FilterData" localSheetId="17" hidden="1">#REF!</definedName>
    <definedName name="Z_3FF05DC4_CA9E_470D_A193_91785ACE00EF_.wvu.FilterData" hidden="1">#REF!</definedName>
    <definedName name="Z_43791B95_57D7_42F4_8815_D1B7E488543E_.wvu.FilterData" localSheetId="17" hidden="1">#REF!</definedName>
    <definedName name="Z_43791B95_57D7_42F4_8815_D1B7E488543E_.wvu.FilterData" hidden="1">#REF!</definedName>
    <definedName name="Z_445AA90F_6D9B_40F5_8E1D_CE1EF57CF450_.wvu.FilterData" localSheetId="17" hidden="1">#REF!</definedName>
    <definedName name="Z_445AA90F_6D9B_40F5_8E1D_CE1EF57CF450_.wvu.FilterData" hidden="1">#REF!</definedName>
    <definedName name="Z_454E0C40_F84F_42A3_A371_6F23C1F38595_.wvu.FilterData" localSheetId="17" hidden="1">#REF!</definedName>
    <definedName name="Z_454E0C40_F84F_42A3_A371_6F23C1F38595_.wvu.FilterData" hidden="1">#REF!</definedName>
    <definedName name="Z_4608FCB3_3552_4D58_B6CE_B8F34D78221E_.wvu.FilterData" localSheetId="17" hidden="1">#REF!</definedName>
    <definedName name="Z_4608FCB3_3552_4D58_B6CE_B8F34D78221E_.wvu.FilterData" hidden="1">#REF!</definedName>
    <definedName name="Z_46E47F7C_9185_4E39_BED5_B4A69FF64CC1_.wvu.FilterData" localSheetId="17" hidden="1">#REF!</definedName>
    <definedName name="Z_46E47F7C_9185_4E39_BED5_B4A69FF64CC1_.wvu.FilterData" hidden="1">#REF!</definedName>
    <definedName name="Z_48202D5D_77CB_41DE_8C59_9325C98D7C97_.wvu.FilterData" localSheetId="17" hidden="1">#REF!</definedName>
    <definedName name="Z_48202D5D_77CB_41DE_8C59_9325C98D7C97_.wvu.FilterData" hidden="1">#REF!</definedName>
    <definedName name="Z_48824DFE_B714_4D0B_9E95_F01C5BAD5D1F_.wvu.FilterData" localSheetId="17" hidden="1">#REF!</definedName>
    <definedName name="Z_48824DFE_B714_4D0B_9E95_F01C5BAD5D1F_.wvu.FilterData" hidden="1">#REF!</definedName>
    <definedName name="Z_4C45D885_33EE_4DA9_BF96_6B10CFBA5596_.wvu.FilterData" localSheetId="17" hidden="1">#REF!</definedName>
    <definedName name="Z_4C45D885_33EE_4DA9_BF96_6B10CFBA5596_.wvu.FilterData" hidden="1">#REF!</definedName>
    <definedName name="Z_4D344757_9064_4D2F_A3A5_69132D23B7B9_.wvu.FilterData" localSheetId="17" hidden="1">#REF!</definedName>
    <definedName name="Z_4D344757_9064_4D2F_A3A5_69132D23B7B9_.wvu.FilterData" hidden="1">#REF!</definedName>
    <definedName name="Z_4E773EE1_0A5B_43A9_9C28_FFB0A27D19C3_.wvu.FilterData" localSheetId="17" hidden="1">#REF!</definedName>
    <definedName name="Z_4E773EE1_0A5B_43A9_9C28_FFB0A27D19C3_.wvu.FilterData" hidden="1">#REF!</definedName>
    <definedName name="Z_5122F04C_91B2_4031_BAE2_43203D520992_.wvu.FilterData" localSheetId="17" hidden="1">#REF!</definedName>
    <definedName name="Z_5122F04C_91B2_4031_BAE2_43203D520992_.wvu.FilterData" hidden="1">#REF!</definedName>
    <definedName name="Z_52B8D0B0_5872_4367_8D38_9AA5A4B975B3_.wvu.FilterData" localSheetId="17" hidden="1">#REF!</definedName>
    <definedName name="Z_52B8D0B0_5872_4367_8D38_9AA5A4B975B3_.wvu.FilterData" hidden="1">#REF!</definedName>
    <definedName name="Z_532423B2_94C7_44C1_9A2A_9712DAE92CE9_.wvu.FilterData" localSheetId="17" hidden="1">#REF!</definedName>
    <definedName name="Z_532423B2_94C7_44C1_9A2A_9712DAE92CE9_.wvu.FilterData" hidden="1">#REF!</definedName>
    <definedName name="Z_53F31130_5EA7_42BA_93EB_88A7CB743782_.wvu.FilterData" localSheetId="17" hidden="1">#REF!</definedName>
    <definedName name="Z_53F31130_5EA7_42BA_93EB_88A7CB743782_.wvu.FilterData" hidden="1">#REF!</definedName>
    <definedName name="Z_55213581_1831_4A94_AB4D_23E4F8BC8085_.wvu.FilterData" localSheetId="17" hidden="1">#REF!</definedName>
    <definedName name="Z_55213581_1831_4A94_AB4D_23E4F8BC8085_.wvu.FilterData" hidden="1">#REF!</definedName>
    <definedName name="Z_552B9204_1C85_45BC_B148_AF3E206BDAA2_.wvu.FilterData" localSheetId="17" hidden="1">#REF!</definedName>
    <definedName name="Z_552B9204_1C85_45BC_B148_AF3E206BDAA2_.wvu.FilterData" hidden="1">#REF!</definedName>
    <definedName name="Z_566671FC_5910_47FD_B961_1065A17D262D_.wvu.FilterData" localSheetId="17" hidden="1">#REF!</definedName>
    <definedName name="Z_566671FC_5910_47FD_B961_1065A17D262D_.wvu.FilterData" hidden="1">#REF!</definedName>
    <definedName name="Z_569D17FA_30FE_42CA_8D65_E126C1C01EC2_.wvu.FilterData" localSheetId="17" hidden="1">#REF!</definedName>
    <definedName name="Z_569D17FA_30FE_42CA_8D65_E126C1C01EC2_.wvu.FilterData" hidden="1">#REF!</definedName>
    <definedName name="Z_573E904E_5C2F_4CA2_AFCF_918B916322E4_.wvu.FilterData" localSheetId="17" hidden="1">#REF!</definedName>
    <definedName name="Z_573E904E_5C2F_4CA2_AFCF_918B916322E4_.wvu.FilterData" hidden="1">#REF!</definedName>
    <definedName name="Z_58DA6172_DC47_4A5F_B420_207BB6987764_.wvu.FilterData" localSheetId="17" hidden="1">#REF!</definedName>
    <definedName name="Z_58DA6172_DC47_4A5F_B420_207BB6987764_.wvu.FilterData" hidden="1">#REF!</definedName>
    <definedName name="Z_58FCB891_F6F4_46F2_BF6B_861E585C9231_.wvu.FilterData" localSheetId="17" hidden="1">#REF!</definedName>
    <definedName name="Z_58FCB891_F6F4_46F2_BF6B_861E585C9231_.wvu.FilterData" hidden="1">#REF!</definedName>
    <definedName name="Z_59A87EBA_E018_40E8_A580_AB2176E95D7E_.wvu.FilterData" localSheetId="17" hidden="1">#REF!</definedName>
    <definedName name="Z_59A87EBA_E018_40E8_A580_AB2176E95D7E_.wvu.FilterData" hidden="1">#REF!</definedName>
    <definedName name="Z_5A3E740D_87C0_4F85_AB6D_B402AD860D04_.wvu.FilterData" localSheetId="17" hidden="1">#REF!</definedName>
    <definedName name="Z_5A3E740D_87C0_4F85_AB6D_B402AD860D04_.wvu.FilterData" hidden="1">#REF!</definedName>
    <definedName name="Z_5B42E6B5_40AA_4D3F_B932_EF1583491CDE_.wvu.FilterData" localSheetId="17" hidden="1">#REF!</definedName>
    <definedName name="Z_5B42E6B5_40AA_4D3F_B932_EF1583491CDE_.wvu.FilterData" hidden="1">#REF!</definedName>
    <definedName name="Z_5B7B4951_7310_4C66_B906_4D046076272E_.wvu.FilterData" localSheetId="17" hidden="1">#REF!</definedName>
    <definedName name="Z_5B7B4951_7310_4C66_B906_4D046076272E_.wvu.FilterData" hidden="1">#REF!</definedName>
    <definedName name="Z_5D41F4B9_83DF_4509_9C07_453BA5A62846_.wvu.FilterData" localSheetId="17" hidden="1">#REF!</definedName>
    <definedName name="Z_5D41F4B9_83DF_4509_9C07_453BA5A62846_.wvu.FilterData" hidden="1">#REF!</definedName>
    <definedName name="Z_5DB05E9F_8F3B_4886_A6CB_2CC53331BA7A_.wvu.FilterData" localSheetId="17" hidden="1">#REF!</definedName>
    <definedName name="Z_5DB05E9F_8F3B_4886_A6CB_2CC53331BA7A_.wvu.FilterData" hidden="1">#REF!</definedName>
    <definedName name="Z_5F096896_2CB8_4B96_A0FE_9AB50EEEEFAB_.wvu.FilterData" localSheetId="17" hidden="1">#REF!</definedName>
    <definedName name="Z_5F096896_2CB8_4B96_A0FE_9AB50EEEEFAB_.wvu.FilterData" hidden="1">#REF!</definedName>
    <definedName name="Z_60DF8B29_1C1F_4B50_BDA8_B8E0C7DD04C3_.wvu.Cols" localSheetId="15" hidden="1">#REF!,#REF!</definedName>
    <definedName name="Z_60DF8B29_1C1F_4B50_BDA8_B8E0C7DD04C3_.wvu.Cols" localSheetId="13" hidden="1">#REF!,#REF!</definedName>
    <definedName name="Z_60DF8B29_1C1F_4B50_BDA8_B8E0C7DD04C3_.wvu.Cols" localSheetId="17" hidden="1">#REF!,#REF!</definedName>
    <definedName name="Z_60DF8B29_1C1F_4B50_BDA8_B8E0C7DD04C3_.wvu.Cols" hidden="1">#REF!,#REF!</definedName>
    <definedName name="Z_60DF8B29_1C1F_4B50_BDA8_B8E0C7DD04C3_.wvu.FilterData" localSheetId="15" hidden="1">#REF!</definedName>
    <definedName name="Z_60DF8B29_1C1F_4B50_BDA8_B8E0C7DD04C3_.wvu.FilterData" localSheetId="2" hidden="1">#REF!</definedName>
    <definedName name="Z_60DF8B29_1C1F_4B50_BDA8_B8E0C7DD04C3_.wvu.FilterData" localSheetId="17" hidden="1">#REF!</definedName>
    <definedName name="Z_60DF8B29_1C1F_4B50_BDA8_B8E0C7DD04C3_.wvu.FilterData" hidden="1">#REF!</definedName>
    <definedName name="Z_615F4A4D_D5AB_4A04_81F5_F436484247A5_.wvu.FilterData" localSheetId="17" hidden="1">#REF!</definedName>
    <definedName name="Z_615F4A4D_D5AB_4A04_81F5_F436484247A5_.wvu.FilterData" hidden="1">#REF!</definedName>
    <definedName name="Z_616443B5_6F0D_4082_9223_F71B54305366_.wvu.FilterData" localSheetId="17" hidden="1">#REF!</definedName>
    <definedName name="Z_616443B5_6F0D_4082_9223_F71B54305366_.wvu.FilterData" hidden="1">#REF!</definedName>
    <definedName name="Z_631F0312_B404_409F_AF2B_39FB2D25040B_.wvu.FilterData" localSheetId="17" hidden="1">#REF!</definedName>
    <definedName name="Z_631F0312_B404_409F_AF2B_39FB2D25040B_.wvu.FilterData" hidden="1">#REF!</definedName>
    <definedName name="Z_632CF316_8294_4588_87E1_2B69E184A62B_.wvu.FilterData" localSheetId="17" hidden="1">#REF!</definedName>
    <definedName name="Z_632CF316_8294_4588_87E1_2B69E184A62B_.wvu.FilterData" hidden="1">#REF!</definedName>
    <definedName name="Z_66D1BA5F_F4AE_443C_8583_CE89D6674A73_.wvu.FilterData" localSheetId="17" hidden="1">#REF!</definedName>
    <definedName name="Z_66D1BA5F_F4AE_443C_8583_CE89D6674A73_.wvu.FilterData" hidden="1">#REF!</definedName>
    <definedName name="Z_66DD4806_8039_438A_B1CE_46CC5B464050_.wvu.FilterData" localSheetId="17" hidden="1">#REF!</definedName>
    <definedName name="Z_66DD4806_8039_438A_B1CE_46CC5B464050_.wvu.FilterData" hidden="1">#REF!</definedName>
    <definedName name="Z_67B65FDF_FF67_490E_B8E5_92DC66C9FC9D_.wvu.FilterData" localSheetId="17" hidden="1">#REF!</definedName>
    <definedName name="Z_67B65FDF_FF67_490E_B8E5_92DC66C9FC9D_.wvu.FilterData" hidden="1">#REF!</definedName>
    <definedName name="Z_68B709DF_9429_4090_9106_386C5F16C4D7_.wvu.FilterData" localSheetId="17" hidden="1">#REF!</definedName>
    <definedName name="Z_68B709DF_9429_4090_9106_386C5F16C4D7_.wvu.FilterData" hidden="1">#REF!</definedName>
    <definedName name="Z_690BC25F_5AA3_4B4B_9507_8C197E768E98_.wvu.FilterData" localSheetId="17" hidden="1">#REF!</definedName>
    <definedName name="Z_690BC25F_5AA3_4B4B_9507_8C197E768E98_.wvu.FilterData" hidden="1">#REF!</definedName>
    <definedName name="Z_6A66B8A7_491B_4A29_94A1_39F4FDA32C48_.wvu.FilterData" localSheetId="17" hidden="1">#REF!</definedName>
    <definedName name="Z_6A66B8A7_491B_4A29_94A1_39F4FDA32C48_.wvu.FilterData" hidden="1">#REF!</definedName>
    <definedName name="Z_6A6F36C8_24A1_4147_9C63_27B7978935DD_.wvu.FilterData" localSheetId="17" hidden="1">#REF!</definedName>
    <definedName name="Z_6A6F36C8_24A1_4147_9C63_27B7978935DD_.wvu.FilterData" hidden="1">#REF!</definedName>
    <definedName name="Z_6C2050D3_ABE5_4B48_B2A7_DDDD21669987_.wvu.FilterData" localSheetId="17" hidden="1">#REF!</definedName>
    <definedName name="Z_6C2050D3_ABE5_4B48_B2A7_DDDD21669987_.wvu.FilterData" hidden="1">#REF!</definedName>
    <definedName name="Z_6CD84A0B_C00D_4BC8_A655_6383CCA4B296_.wvu.FilterData" localSheetId="17" hidden="1">#REF!</definedName>
    <definedName name="Z_6CD84A0B_C00D_4BC8_A655_6383CCA4B296_.wvu.FilterData" hidden="1">#REF!</definedName>
    <definedName name="Z_6D5E5F42_E924_48A0_A50F_5BB481AFD1D5_.wvu.FilterData" localSheetId="17" hidden="1">#REF!</definedName>
    <definedName name="Z_6D5E5F42_E924_48A0_A50F_5BB481AFD1D5_.wvu.FilterData" hidden="1">#REF!</definedName>
    <definedName name="Z_6D789842_F56B_40C4_8907_F36C02855F76_.wvu.FilterData" localSheetId="17" hidden="1">#REF!</definedName>
    <definedName name="Z_6D789842_F56B_40C4_8907_F36C02855F76_.wvu.FilterData" hidden="1">#REF!</definedName>
    <definedName name="Z_6E345713_0818_471C_B54B_D890B987A0BC_.wvu.FilterData" localSheetId="17" hidden="1">#REF!</definedName>
    <definedName name="Z_6E345713_0818_471C_B54B_D890B987A0BC_.wvu.FilterData" hidden="1">#REF!</definedName>
    <definedName name="Z_701DEAE4_9CF1_491A_A54B_A6AE3235639D_.wvu.FilterData" localSheetId="17" hidden="1">#REF!</definedName>
    <definedName name="Z_701DEAE4_9CF1_491A_A54B_A6AE3235639D_.wvu.FilterData" hidden="1">#REF!</definedName>
    <definedName name="Z_7319B1DA_C8AE_4D1D_AB4C_B14141921483_.wvu.FilterData" localSheetId="17" hidden="1">#REF!</definedName>
    <definedName name="Z_7319B1DA_C8AE_4D1D_AB4C_B14141921483_.wvu.FilterData" hidden="1">#REF!</definedName>
    <definedName name="Z_75A1B66F_9EE1_4406_8264_C9BF12113183_.wvu.FilterData" localSheetId="17" hidden="1">#REF!</definedName>
    <definedName name="Z_75A1B66F_9EE1_4406_8264_C9BF12113183_.wvu.FilterData" hidden="1">#REF!</definedName>
    <definedName name="Z_7651BD63_D75B_41A5_B133_06AE6A84AE8F_.wvu.FilterData" localSheetId="17" hidden="1">#REF!</definedName>
    <definedName name="Z_7651BD63_D75B_41A5_B133_06AE6A84AE8F_.wvu.FilterData" hidden="1">#REF!</definedName>
    <definedName name="Z_767B7DB4_B657_4E6E_831B_84CA933FFCBE_.wvu.FilterData" localSheetId="17" hidden="1">#REF!</definedName>
    <definedName name="Z_767B7DB4_B657_4E6E_831B_84CA933FFCBE_.wvu.FilterData" hidden="1">#REF!</definedName>
    <definedName name="Z_76FA93EF_40A9_4929_9B4A_2213742C1620_.wvu.FilterData" localSheetId="17" hidden="1">#REF!</definedName>
    <definedName name="Z_76FA93EF_40A9_4929_9B4A_2213742C1620_.wvu.FilterData" hidden="1">#REF!</definedName>
    <definedName name="Z_78A33412_D032_45F7_9C2D_D4A31DB937D9_.wvu.FilterData" localSheetId="17" hidden="1">#REF!</definedName>
    <definedName name="Z_78A33412_D032_45F7_9C2D_D4A31DB937D9_.wvu.FilterData" hidden="1">#REF!</definedName>
    <definedName name="Z_796E4E5E_16C3_474D_B1D5_F6D39CD34051_.wvu.FilterData" localSheetId="17" hidden="1">#REF!</definedName>
    <definedName name="Z_796E4E5E_16C3_474D_B1D5_F6D39CD34051_.wvu.FilterData" hidden="1">#REF!</definedName>
    <definedName name="Z_7BFA9C41_C881_48A8_90C2_F93F8E16E599_.wvu.FilterData" localSheetId="17" hidden="1">#REF!</definedName>
    <definedName name="Z_7BFA9C41_C881_48A8_90C2_F93F8E16E599_.wvu.FilterData" hidden="1">#REF!</definedName>
    <definedName name="Z_7BFBCE1E_B6C5_4BAC_AD95_2B50D2ED28AB_.wvu.FilterData" localSheetId="17" hidden="1">#REF!</definedName>
    <definedName name="Z_7BFBCE1E_B6C5_4BAC_AD95_2B50D2ED28AB_.wvu.FilterData" hidden="1">#REF!</definedName>
    <definedName name="Z_7C6FEBF3_4382_4282_BBB0_E0269BEE42DE_.wvu.FilterData" localSheetId="17" hidden="1">#REF!</definedName>
    <definedName name="Z_7C6FEBF3_4382_4282_BBB0_E0269BEE42DE_.wvu.FilterData" hidden="1">#REF!</definedName>
    <definedName name="Z_7D057642_92FA_4DD6_84C5_B10B17893E1F_.wvu.FilterData" localSheetId="17" hidden="1">#REF!</definedName>
    <definedName name="Z_7D057642_92FA_4DD6_84C5_B10B17893E1F_.wvu.FilterData" hidden="1">#REF!</definedName>
    <definedName name="Z_7ED5F3D1_B838_492E_9467_7E7CE6B348ED_.wvu.FilterData" localSheetId="17" hidden="1">#REF!</definedName>
    <definedName name="Z_7ED5F3D1_B838_492E_9467_7E7CE6B348ED_.wvu.FilterData" hidden="1">#REF!</definedName>
    <definedName name="Z_8090FD3B_94DF_4ACF_9708_D5B9ADEFD29C_.wvu.FilterData" localSheetId="17" hidden="1">#REF!</definedName>
    <definedName name="Z_8090FD3B_94DF_4ACF_9708_D5B9ADEFD29C_.wvu.FilterData" hidden="1">#REF!</definedName>
    <definedName name="Z_8149A5A7_8307_4FA6_B457_A66B8A6DFABD_.wvu.FilterData" localSheetId="17" hidden="1">#REF!</definedName>
    <definedName name="Z_8149A5A7_8307_4FA6_B457_A66B8A6DFABD_.wvu.FilterData" hidden="1">#REF!</definedName>
    <definedName name="Z_819A0FD3_B678_47E8_9DFB_641B3990B590_.wvu.FilterData" localSheetId="17" hidden="1">#REF!</definedName>
    <definedName name="Z_819A0FD3_B678_47E8_9DFB_641B3990B590_.wvu.FilterData" hidden="1">#REF!</definedName>
    <definedName name="Z_82999604_BD48_4054_BDCB_CB8B074A34A3_.wvu.FilterData" localSheetId="17" hidden="1">#REF!</definedName>
    <definedName name="Z_82999604_BD48_4054_BDCB_CB8B074A34A3_.wvu.FilterData" hidden="1">#REF!</definedName>
    <definedName name="Z_8473B3F0_0740_4E9F_9BAE_9113E5077DE8_.wvu.FilterData" localSheetId="17" hidden="1">#REF!</definedName>
    <definedName name="Z_8473B3F0_0740_4E9F_9BAE_9113E5077DE8_.wvu.FilterData" hidden="1">#REF!</definedName>
    <definedName name="Z_85A83A94_71B4_44C8_8B5A_68CAA2461241_.wvu.FilterData" localSheetId="17" hidden="1">#REF!</definedName>
    <definedName name="Z_85A83A94_71B4_44C8_8B5A_68CAA2461241_.wvu.FilterData" hidden="1">#REF!</definedName>
    <definedName name="Z_86E0C273_91AF_11D7_9C1E_0004231B06E7_.wvu.FilterData" localSheetId="17" hidden="1">#REF!</definedName>
    <definedName name="Z_86E0C273_91AF_11D7_9C1E_0004231B06E7_.wvu.FilterData" hidden="1">#REF!</definedName>
    <definedName name="Z_87F04A72_68BF_497D_8569_47D1A3B89590_.wvu.FilterData" localSheetId="17" hidden="1">#REF!</definedName>
    <definedName name="Z_87F04A72_68BF_497D_8569_47D1A3B89590_.wvu.FilterData" hidden="1">#REF!</definedName>
    <definedName name="Z_893CBEFD_F317_41F0_BA87_CC1860E1F73B_.wvu.FilterData" localSheetId="17" hidden="1">#REF!</definedName>
    <definedName name="Z_893CBEFD_F317_41F0_BA87_CC1860E1F73B_.wvu.FilterData" hidden="1">#REF!</definedName>
    <definedName name="Z_89D83FA2_2F4F_4275_9074_3A6247C2CDA6_.wvu.FilterData" localSheetId="17" hidden="1">#REF!</definedName>
    <definedName name="Z_89D83FA2_2F4F_4275_9074_3A6247C2CDA6_.wvu.FilterData" hidden="1">#REF!</definedName>
    <definedName name="Z_8B2E8E84_1A68_4B75_A867_04E8EAC8E685_.wvu.FilterData" localSheetId="17" hidden="1">#REF!</definedName>
    <definedName name="Z_8B2E8E84_1A68_4B75_A867_04E8EAC8E685_.wvu.FilterData" hidden="1">#REF!</definedName>
    <definedName name="Z_8B5FADF8_BAFC_44E0_9D1D_DE21657D83CA_.wvu.FilterData" localSheetId="17" hidden="1">#REF!</definedName>
    <definedName name="Z_8B5FADF8_BAFC_44E0_9D1D_DE21657D83CA_.wvu.FilterData" hidden="1">#REF!</definedName>
    <definedName name="Z_8CBA7976_3F45_4926_8F5C_251343B1DCDB_.wvu.FilterData" localSheetId="17" hidden="1">#REF!</definedName>
    <definedName name="Z_8CBA7976_3F45_4926_8F5C_251343B1DCDB_.wvu.FilterData" hidden="1">#REF!</definedName>
    <definedName name="Z_8D213052_8AFD_4E06_B410_DCB431062572_.wvu.FilterData" localSheetId="17" hidden="1">#REF!</definedName>
    <definedName name="Z_8D213052_8AFD_4E06_B410_DCB431062572_.wvu.FilterData" hidden="1">#REF!</definedName>
    <definedName name="Z_8EA755F4_0515_4AA0_970C_55F473C7FD9B_.wvu.FilterData" localSheetId="17" hidden="1">#REF!</definedName>
    <definedName name="Z_8EA755F4_0515_4AA0_970C_55F473C7FD9B_.wvu.FilterData" hidden="1">#REF!</definedName>
    <definedName name="Z_8F33F4E3_A14E_4DD4_ADD4_B19023A45B10_.wvu.FilterData" localSheetId="17" hidden="1">#REF!</definedName>
    <definedName name="Z_8F33F4E3_A14E_4DD4_ADD4_B19023A45B10_.wvu.FilterData" hidden="1">#REF!</definedName>
    <definedName name="Z_901BF8EA_CA8A_411C_8FD3_BCB793FCF48A_.wvu.FilterData" localSheetId="17" hidden="1">#REF!</definedName>
    <definedName name="Z_901BF8EA_CA8A_411C_8FD3_BCB793FCF48A_.wvu.FilterData" hidden="1">#REF!</definedName>
    <definedName name="Z_91488B6D_F045_4050_BA1B_41C2E3B3B10A_.wvu.FilterData" localSheetId="17" hidden="1">#REF!</definedName>
    <definedName name="Z_91488B6D_F045_4050_BA1B_41C2E3B3B10A_.wvu.FilterData" hidden="1">#REF!</definedName>
    <definedName name="Z_92919032_3A1D_4E0A_A8D8_FD23494D13A8_.wvu.FilterData" localSheetId="17" hidden="1">#REF!</definedName>
    <definedName name="Z_92919032_3A1D_4E0A_A8D8_FD23494D13A8_.wvu.FilterData" hidden="1">#REF!</definedName>
    <definedName name="Z_9587B38A_B060_410B_8598_4B23623A371C_.wvu.FilterData" localSheetId="17" hidden="1">#REF!</definedName>
    <definedName name="Z_9587B38A_B060_410B_8598_4B23623A371C_.wvu.FilterData" hidden="1">#REF!</definedName>
    <definedName name="Z_96EB0306_BB94_45E8_9D0D_4C07A6623010_.wvu.FilterData" localSheetId="17" hidden="1">#REF!</definedName>
    <definedName name="Z_96EB0306_BB94_45E8_9D0D_4C07A6623010_.wvu.FilterData" hidden="1">#REF!</definedName>
    <definedName name="Z_97666733_8666_4F9D_9588_AF9B6CF9224C_.wvu.FilterData" localSheetId="17" hidden="1">#REF!</definedName>
    <definedName name="Z_97666733_8666_4F9D_9588_AF9B6CF9224C_.wvu.FilterData" hidden="1">#REF!</definedName>
    <definedName name="Z_98599B4F_1D05_4040_9183_E1D7A1DDEB9C_.wvu.FilterData" localSheetId="17" hidden="1">#REF!</definedName>
    <definedName name="Z_98599B4F_1D05_4040_9183_E1D7A1DDEB9C_.wvu.FilterData" hidden="1">#REF!</definedName>
    <definedName name="Z_98C8BF36_C172_45C3_8EFB_521E6ACCA0D3_.wvu.FilterData" localSheetId="17" hidden="1">#REF!</definedName>
    <definedName name="Z_98C8BF36_C172_45C3_8EFB_521E6ACCA0D3_.wvu.FilterData" hidden="1">#REF!</definedName>
    <definedName name="Z_9A372634_7C2D_4502_BF44_0C63FD1FB6D2_.wvu.FilterData" localSheetId="17" hidden="1">#REF!</definedName>
    <definedName name="Z_9A372634_7C2D_4502_BF44_0C63FD1FB6D2_.wvu.FilterData" hidden="1">#REF!</definedName>
    <definedName name="Z_9A5CC0D4_28E7_4461_BE2E_802002496535_.wvu.FilterData" localSheetId="17" hidden="1">#REF!</definedName>
    <definedName name="Z_9A5CC0D4_28E7_4461_BE2E_802002496535_.wvu.FilterData" hidden="1">#REF!</definedName>
    <definedName name="Z_9C86BF25_210A_4B5C_9F2A_856CA801294A_.wvu.FilterData" localSheetId="17" hidden="1">#REF!</definedName>
    <definedName name="Z_9C86BF25_210A_4B5C_9F2A_856CA801294A_.wvu.FilterData" hidden="1">#REF!</definedName>
    <definedName name="Z_9C8AF864_7E20_415C_848E_C2849E8CBF0C_.wvu.FilterData" localSheetId="17" hidden="1">#REF!</definedName>
    <definedName name="Z_9C8AF864_7E20_415C_848E_C2849E8CBF0C_.wvu.FilterData" hidden="1">#REF!</definedName>
    <definedName name="Z_9E7B61E2_2701_4257_A261_86548A6D7D7C_.wvu.FilterData" localSheetId="17" hidden="1">#REF!</definedName>
    <definedName name="Z_9E7B61E2_2701_4257_A261_86548A6D7D7C_.wvu.FilterData" hidden="1">#REF!</definedName>
    <definedName name="Z_A0276843_5A14_4A7A_AD1C_583475FE9ED2_.wvu.FilterData" localSheetId="17" hidden="1">#REF!</definedName>
    <definedName name="Z_A0276843_5A14_4A7A_AD1C_583475FE9ED2_.wvu.FilterData" hidden="1">#REF!</definedName>
    <definedName name="Z_A2CB926C_E33A_4E38_9626_682814771DB1_.wvu.FilterData" localSheetId="17" hidden="1">#REF!</definedName>
    <definedName name="Z_A2CB926C_E33A_4E38_9626_682814771DB1_.wvu.FilterData" hidden="1">#REF!</definedName>
    <definedName name="Z_A320C8A7_8D87_4204_85D4_AE25493D1363_.wvu.FilterData" localSheetId="17" hidden="1">#REF!</definedName>
    <definedName name="Z_A320C8A7_8D87_4204_85D4_AE25493D1363_.wvu.FilterData" hidden="1">#REF!</definedName>
    <definedName name="Z_A5F4C2AC_640B_40D9_88C9_69B3215DBE96_.wvu.FilterData" localSheetId="17" hidden="1">#REF!</definedName>
    <definedName name="Z_A5F4C2AC_640B_40D9_88C9_69B3215DBE96_.wvu.FilterData" hidden="1">#REF!</definedName>
    <definedName name="Z_A686C168_1672_48B1_ADFD_481A1276CC81_.wvu.FilterData" localSheetId="17" hidden="1">#REF!</definedName>
    <definedName name="Z_A686C168_1672_48B1_ADFD_481A1276CC81_.wvu.FilterData" hidden="1">#REF!</definedName>
    <definedName name="Z_A933351F_4BD3_4901_98D5_53D192BD61DC_.wvu.FilterData" localSheetId="17" hidden="1">#REF!</definedName>
    <definedName name="Z_A933351F_4BD3_4901_98D5_53D192BD61DC_.wvu.FilterData" hidden="1">#REF!</definedName>
    <definedName name="Z_AA0BD2F5_1513_40DB_B224_CC27CA57E181_.wvu.FilterData" localSheetId="17" hidden="1">#REF!</definedName>
    <definedName name="Z_AA0BD2F5_1513_40DB_B224_CC27CA57E181_.wvu.FilterData" hidden="1">#REF!</definedName>
    <definedName name="Z_AA329A38_94E6_4014_8D54_EFB48C7FA433_.wvu.FilterData" localSheetId="17" hidden="1">#REF!</definedName>
    <definedName name="Z_AA329A38_94E6_4014_8D54_EFB48C7FA433_.wvu.FilterData" hidden="1">#REF!</definedName>
    <definedName name="Z_AC5679A6_5A24_441C_BBA3_F0C9D8E8E441_.wvu.FilterData" localSheetId="17" hidden="1">#REF!</definedName>
    <definedName name="Z_AC5679A6_5A24_441C_BBA3_F0C9D8E8E441_.wvu.FilterData" hidden="1">#REF!</definedName>
    <definedName name="Z_ACE528A7_3516_429C_8E77_FA07F86ED2D8_.wvu.Cols" localSheetId="17" hidden="1">#REF!</definedName>
    <definedName name="Z_ACE528A7_3516_429C_8E77_FA07F86ED2D8_.wvu.Cols" hidden="1">#REF!</definedName>
    <definedName name="Z_AE302359_F16A_4874_8921_3865B0ECD878_.wvu.FilterData" localSheetId="17" hidden="1">#REF!</definedName>
    <definedName name="Z_AE302359_F16A_4874_8921_3865B0ECD878_.wvu.FilterData" hidden="1">#REF!</definedName>
    <definedName name="Z_AF0BF736_181F_4A59_8FB9_D3BCA8E591F7_.wvu.FilterData" localSheetId="17" hidden="1">#REF!</definedName>
    <definedName name="Z_AF0BF736_181F_4A59_8FB9_D3BCA8E591F7_.wvu.FilterData" hidden="1">#REF!</definedName>
    <definedName name="Z_AF12B415_1D2E_4088_9C86_BB0173951217_.wvu.FilterData" localSheetId="17" hidden="1">#REF!</definedName>
    <definedName name="Z_AF12B415_1D2E_4088_9C86_BB0173951217_.wvu.FilterData" hidden="1">#REF!</definedName>
    <definedName name="Z_AF537E87_E5DE_4792_8C82_FFA1FC35463A_.wvu.FilterData" localSheetId="17" hidden="1">#REF!</definedName>
    <definedName name="Z_AF537E87_E5DE_4792_8C82_FFA1FC35463A_.wvu.FilterData" hidden="1">#REF!</definedName>
    <definedName name="Z_B1269BAB_A618_45E5_8379_9ECE98405A14_.wvu.FilterData" localSheetId="17" hidden="1">#REF!</definedName>
    <definedName name="Z_B1269BAB_A618_45E5_8379_9ECE98405A14_.wvu.FilterData" hidden="1">#REF!</definedName>
    <definedName name="Z_B20EEB3D_E9E6_496E_8678_B417DDC74718_.wvu.FilterData" localSheetId="17" hidden="1">#REF!</definedName>
    <definedName name="Z_B20EEB3D_E9E6_496E_8678_B417DDC74718_.wvu.FilterData" hidden="1">#REF!</definedName>
    <definedName name="Z_B4864B96_AD18_4114_8AFA_A8BAA8915737_.wvu.FilterData" localSheetId="17" hidden="1">#REF!</definedName>
    <definedName name="Z_B4864B96_AD18_4114_8AFA_A8BAA8915737_.wvu.FilterData" hidden="1">#REF!</definedName>
    <definedName name="Z_B645C4A8_1830_42C7_9DBF_0F519499A6CE_.wvu.FilterData" localSheetId="17" hidden="1">#REF!</definedName>
    <definedName name="Z_B645C4A8_1830_42C7_9DBF_0F519499A6CE_.wvu.FilterData" hidden="1">#REF!</definedName>
    <definedName name="Z_B7475313_60A1_440E_A07B_6B97978B34F2_.wvu.FilterData" localSheetId="17" hidden="1">#REF!</definedName>
    <definedName name="Z_B7475313_60A1_440E_A07B_6B97978B34F2_.wvu.FilterData" hidden="1">#REF!</definedName>
    <definedName name="Z_B891B51F_1CA2_435F_A819_8A494B08D3EE_.wvu.FilterData" localSheetId="17" hidden="1">#REF!</definedName>
    <definedName name="Z_B891B51F_1CA2_435F_A819_8A494B08D3EE_.wvu.FilterData" hidden="1">#REF!</definedName>
    <definedName name="Z_B8CE2FA5_D3F2_48A0_8603_A3FBA2808CB4_.wvu.FilterData" localSheetId="17" hidden="1">#REF!</definedName>
    <definedName name="Z_B8CE2FA5_D3F2_48A0_8603_A3FBA2808CB4_.wvu.FilterData" hidden="1">#REF!</definedName>
    <definedName name="Z_B9837360_94DA_11D7_9C1E_0004231B06E7_.wvu.FilterData" localSheetId="17" hidden="1">#REF!</definedName>
    <definedName name="Z_B9837360_94DA_11D7_9C1E_0004231B06E7_.wvu.FilterData" hidden="1">#REF!</definedName>
    <definedName name="Z_BBE1AFA0_C6F6_4019_9D53_075DA4654337_.wvu.FilterData" localSheetId="17" hidden="1">#REF!</definedName>
    <definedName name="Z_BBE1AFA0_C6F6_4019_9D53_075DA4654337_.wvu.FilterData" hidden="1">#REF!</definedName>
    <definedName name="Z_BC0EED6A_3F15_49FF_A48F_B40AC74B528A_.wvu.FilterData" localSheetId="17" hidden="1">#REF!</definedName>
    <definedName name="Z_BC0EED6A_3F15_49FF_A48F_B40AC74B528A_.wvu.FilterData" hidden="1">#REF!</definedName>
    <definedName name="Z_BC4212E8_2D54_48E9_A2B4_66875F86EBEF_.wvu.FilterData" localSheetId="17" hidden="1">#REF!</definedName>
    <definedName name="Z_BC4212E8_2D54_48E9_A2B4_66875F86EBEF_.wvu.FilterData" hidden="1">#REF!</definedName>
    <definedName name="Z_BE48B5BF_102F_4FB8_8807_DA126440E01B_.wvu.FilterData" localSheetId="17" hidden="1">#REF!</definedName>
    <definedName name="Z_BE48B5BF_102F_4FB8_8807_DA126440E01B_.wvu.FilterData" hidden="1">#REF!</definedName>
    <definedName name="Z_BE949522_4A35_4352_9A91_0CE0E28D3461_.wvu.FilterData" localSheetId="17" hidden="1">#REF!</definedName>
    <definedName name="Z_BE949522_4A35_4352_9A91_0CE0E28D3461_.wvu.FilterData" hidden="1">#REF!</definedName>
    <definedName name="Z_C1310828_8567_4952_A9D3_7183F1221321_.wvu.FilterData" localSheetId="17" hidden="1">#REF!</definedName>
    <definedName name="Z_C1310828_8567_4952_A9D3_7183F1221321_.wvu.FilterData" hidden="1">#REF!</definedName>
    <definedName name="Z_C581774C_2FCD_4906_B930_CCB3F9F9A50B_.wvu.FilterData" localSheetId="17" hidden="1">#REF!</definedName>
    <definedName name="Z_C581774C_2FCD_4906_B930_CCB3F9F9A50B_.wvu.FilterData" hidden="1">#REF!</definedName>
    <definedName name="Z_C67C9A44_7556_4756_AC39_E00F137116ED_.wvu.FilterData" localSheetId="17" hidden="1">#REF!</definedName>
    <definedName name="Z_C67C9A44_7556_4756_AC39_E00F137116ED_.wvu.FilterData" hidden="1">#REF!</definedName>
    <definedName name="Z_C908089F_9A5A_11D7_9C1E_0004231B06E7_.wvu.FilterData" localSheetId="17" hidden="1">#REF!</definedName>
    <definedName name="Z_C908089F_9A5A_11D7_9C1E_0004231B06E7_.wvu.FilterData" hidden="1">#REF!</definedName>
    <definedName name="Z_C942EE3A_8DBF_41D7_ADAF_F43C01F31E23_.wvu.FilterData" localSheetId="17" hidden="1">#REF!</definedName>
    <definedName name="Z_C942EE3A_8DBF_41D7_ADAF_F43C01F31E23_.wvu.FilterData" hidden="1">#REF!</definedName>
    <definedName name="Z_CB8FB7EE_B771_11D7_9C1E_0004231B06E7_.wvu.FilterData" localSheetId="17" hidden="1">#REF!</definedName>
    <definedName name="Z_CB8FB7EE_B771_11D7_9C1E_0004231B06E7_.wvu.FilterData" hidden="1">#REF!</definedName>
    <definedName name="Z_CB8FB7F1_B771_11D7_9C1E_0004231B06E7_.wvu.FilterData" localSheetId="17" hidden="1">#REF!</definedName>
    <definedName name="Z_CB8FB7F1_B771_11D7_9C1E_0004231B06E7_.wvu.FilterData" hidden="1">#REF!</definedName>
    <definedName name="Z_CD48E0DF_E307_492A_9CFD_ADF6DE6ECCFB_.wvu.FilterData" localSheetId="17" hidden="1">#REF!</definedName>
    <definedName name="Z_CD48E0DF_E307_492A_9CFD_ADF6DE6ECCFB_.wvu.FilterData" hidden="1">#REF!</definedName>
    <definedName name="Z_CDAD3BC7_95B1_4949_91B3_EAB234D2A550_.wvu.FilterData" localSheetId="17" hidden="1">#REF!</definedName>
    <definedName name="Z_CDAD3BC7_95B1_4949_91B3_EAB234D2A550_.wvu.FilterData" hidden="1">#REF!</definedName>
    <definedName name="Z_CE1A6073_4007_44EE_88D3_3C79CF746C78_.wvu.FilterData" localSheetId="17" hidden="1">#REF!</definedName>
    <definedName name="Z_CE1A6073_4007_44EE_88D3_3C79CF746C78_.wvu.FilterData" hidden="1">#REF!</definedName>
    <definedName name="Z_D0500033_B90B_46E5_BD62_60D0DA033A55_.wvu.FilterData" localSheetId="17" hidden="1">#REF!</definedName>
    <definedName name="Z_D0500033_B90B_46E5_BD62_60D0DA033A55_.wvu.FilterData" hidden="1">#REF!</definedName>
    <definedName name="Z_D11C04A2_606C_4EF4_9AD3_4865E5EFAE70_.wvu.FilterData" localSheetId="17" hidden="1">#REF!</definedName>
    <definedName name="Z_D11C04A2_606C_4EF4_9AD3_4865E5EFAE70_.wvu.FilterData" hidden="1">#REF!</definedName>
    <definedName name="Z_D1371C66_ADFD_11D7_9C1E_0004231B06E7_.wvu.FilterData" localSheetId="17" hidden="1">#REF!</definedName>
    <definedName name="Z_D1371C66_ADFD_11D7_9C1E_0004231B06E7_.wvu.FilterData" hidden="1">#REF!</definedName>
    <definedName name="Z_D1371C82_ADFD_11D7_9C1E_0004231B06E7_.wvu.FilterData" localSheetId="17" hidden="1">#REF!</definedName>
    <definedName name="Z_D1371C82_ADFD_11D7_9C1E_0004231B06E7_.wvu.FilterData" hidden="1">#REF!</definedName>
    <definedName name="Z_D1371C98_ADFD_11D7_9C1E_0004231B06E7_.wvu.FilterData" localSheetId="17" hidden="1">#REF!</definedName>
    <definedName name="Z_D1371C98_ADFD_11D7_9C1E_0004231B06E7_.wvu.FilterData" hidden="1">#REF!</definedName>
    <definedName name="Z_D15727E9_9BC2_420E_AC98_E8E9B60BD754_.wvu.FilterData" localSheetId="17" hidden="1">#REF!</definedName>
    <definedName name="Z_D15727E9_9BC2_420E_AC98_E8E9B60BD754_.wvu.FilterData" hidden="1">#REF!</definedName>
    <definedName name="Z_D371D622_5497_46A4_826D_01F2F492E39D_.wvu.FilterData" localSheetId="17" hidden="1">#REF!</definedName>
    <definedName name="Z_D371D622_5497_46A4_826D_01F2F492E39D_.wvu.FilterData" hidden="1">#REF!</definedName>
    <definedName name="Z_D3FF2053_BD11_4CA8_9648_A06F387C0C79_.wvu.FilterData" localSheetId="17" hidden="1">#REF!</definedName>
    <definedName name="Z_D3FF2053_BD11_4CA8_9648_A06F387C0C79_.wvu.FilterData" hidden="1">#REF!</definedName>
    <definedName name="Z_D4D6DC3A_302F_4BF4_8221_EFB7EA05B30F_.wvu.FilterData" localSheetId="17" hidden="1">#REF!</definedName>
    <definedName name="Z_D4D6DC3A_302F_4BF4_8221_EFB7EA05B30F_.wvu.FilterData" hidden="1">#REF!</definedName>
    <definedName name="Z_D4FF4BA0_F9BE_4CEE_B334_FBD19DA86BF4_.wvu.FilterData" localSheetId="17" hidden="1">#REF!</definedName>
    <definedName name="Z_D4FF4BA0_F9BE_4CEE_B334_FBD19DA86BF4_.wvu.FilterData" hidden="1">#REF!</definedName>
    <definedName name="Z_D5810466_54E3_455B_B341_3E7B86FB72D3_.wvu.FilterData" localSheetId="17" hidden="1">#REF!</definedName>
    <definedName name="Z_D5810466_54E3_455B_B341_3E7B86FB72D3_.wvu.FilterData" hidden="1">#REF!</definedName>
    <definedName name="Z_D60B1DF7_D653_4F01_B5AD_6A66E578C24F_.wvu.FilterData" localSheetId="17" hidden="1">#REF!</definedName>
    <definedName name="Z_D60B1DF7_D653_4F01_B5AD_6A66E578C24F_.wvu.FilterData" hidden="1">#REF!</definedName>
    <definedName name="Z_D684BA0E_B94B_4BF7_8F27_4E3A1924425C_.wvu.FilterData" localSheetId="17" hidden="1">#REF!</definedName>
    <definedName name="Z_D684BA0E_B94B_4BF7_8F27_4E3A1924425C_.wvu.FilterData" hidden="1">#REF!</definedName>
    <definedName name="Z_D9443332_B48E_4E65_8F23_AC96FB75A5A9_.wvu.FilterData" localSheetId="17" hidden="1">#REF!</definedName>
    <definedName name="Z_D9443332_B48E_4E65_8F23_AC96FB75A5A9_.wvu.FilterData" hidden="1">#REF!</definedName>
    <definedName name="Z_DAA35AF8_874B_4671_A195_994D9700CFB0_.wvu.FilterData" localSheetId="17" hidden="1">#REF!</definedName>
    <definedName name="Z_DAA35AF8_874B_4671_A195_994D9700CFB0_.wvu.FilterData" hidden="1">#REF!</definedName>
    <definedName name="Z_DB31579F_8662_40C5_BB19_660F0F7B70E5_.wvu.FilterData" localSheetId="17" hidden="1">#REF!</definedName>
    <definedName name="Z_DB31579F_8662_40C5_BB19_660F0F7B70E5_.wvu.FilterData" hidden="1">#REF!</definedName>
    <definedName name="Z_DB349C77_BBCF_4BF0_8906_770DC9CEB279_.wvu.FilterData" localSheetId="17" hidden="1">#REF!</definedName>
    <definedName name="Z_DB349C77_BBCF_4BF0_8906_770DC9CEB279_.wvu.FilterData" hidden="1">#REF!</definedName>
    <definedName name="Z_DBA9A16F_C863_43D6_BEF6_4907AD7FF11A_.wvu.FilterData" localSheetId="17" hidden="1">#REF!</definedName>
    <definedName name="Z_DBA9A16F_C863_43D6_BEF6_4907AD7FF11A_.wvu.FilterData" hidden="1">#REF!</definedName>
    <definedName name="Z_DC39DC03_5BF1_41DE_A26D_8DA774859990_.wvu.FilterData" localSheetId="17" hidden="1">#REF!</definedName>
    <definedName name="Z_DC39DC03_5BF1_41DE_A26D_8DA774859990_.wvu.FilterData" hidden="1">#REF!</definedName>
    <definedName name="Z_DC4BE57B_E9B6_4823_AAB5_0B4AD0A1C9F8_.wvu.FilterData" localSheetId="17" hidden="1">#REF!</definedName>
    <definedName name="Z_DC4BE57B_E9B6_4823_AAB5_0B4AD0A1C9F8_.wvu.FilterData" hidden="1">#REF!</definedName>
    <definedName name="Z_DD40B456_B833_4D7B_A3C9_47AA2D6A0830_.wvu.FilterData" localSheetId="17" hidden="1">#REF!</definedName>
    <definedName name="Z_DD40B456_B833_4D7B_A3C9_47AA2D6A0830_.wvu.FilterData" hidden="1">#REF!</definedName>
    <definedName name="Z_DDC9046D_2716_4CA3_9471_7091058B3C12_.wvu.FilterData" localSheetId="17" hidden="1">#REF!</definedName>
    <definedName name="Z_DDC9046D_2716_4CA3_9471_7091058B3C12_.wvu.FilterData" hidden="1">#REF!</definedName>
    <definedName name="Z_DF3B204A_F509_4DA0_BCB7_F89536B5FEBF_.wvu.FilterData" localSheetId="17" hidden="1">#REF!</definedName>
    <definedName name="Z_DF3B204A_F509_4DA0_BCB7_F89536B5FEBF_.wvu.FilterData" hidden="1">#REF!</definedName>
    <definedName name="Z_E3FFE9E0_6C4F_4FB4_A56E_FBE96871B5C8_.wvu.Cols" localSheetId="15" hidden="1">#REF!,#REF!</definedName>
    <definedName name="Z_E3FFE9E0_6C4F_4FB4_A56E_FBE96871B5C8_.wvu.Cols" localSheetId="2" hidden="1">#REF!,#REF!</definedName>
    <definedName name="Z_E3FFE9E0_6C4F_4FB4_A56E_FBE96871B5C8_.wvu.Cols" localSheetId="17" hidden="1">#REF!,#REF!</definedName>
    <definedName name="Z_E3FFE9E0_6C4F_4FB4_A56E_FBE96871B5C8_.wvu.Cols" hidden="1">#REF!,#REF!</definedName>
    <definedName name="Z_E3FFE9E0_6C4F_4FB4_A56E_FBE96871B5C8_.wvu.FilterData" localSheetId="2" hidden="1">#REF!</definedName>
    <definedName name="Z_E3FFE9E0_6C4F_4FB4_A56E_FBE96871B5C8_.wvu.FilterData" localSheetId="17" hidden="1">#REF!</definedName>
    <definedName name="Z_E3FFE9E0_6C4F_4FB4_A56E_FBE96871B5C8_.wvu.FilterData" hidden="1">#REF!</definedName>
    <definedName name="Z_E42D429F_E4E8_41D2_9176_83C726BAF8E3_.wvu.FilterData" localSheetId="17" hidden="1">#REF!</definedName>
    <definedName name="Z_E42D429F_E4E8_41D2_9176_83C726BAF8E3_.wvu.FilterData" hidden="1">#REF!</definedName>
    <definedName name="Z_E491B72F_902A_11D7_9C1E_0004231B06E7_.wvu.FilterData" localSheetId="17" hidden="1">#REF!</definedName>
    <definedName name="Z_E491B72F_902A_11D7_9C1E_0004231B06E7_.wvu.FilterData" hidden="1">#REF!</definedName>
    <definedName name="Z_E491B77E_902A_11D7_9C1E_0004231B06E7_.wvu.FilterData" localSheetId="17" hidden="1">#REF!</definedName>
    <definedName name="Z_E491B77E_902A_11D7_9C1E_0004231B06E7_.wvu.FilterData" hidden="1">#REF!</definedName>
    <definedName name="Z_E4A534A8_CD89_4423_9F3F_8134353F3CAC_.wvu.FilterData" localSheetId="17" hidden="1">#REF!</definedName>
    <definedName name="Z_E4A534A8_CD89_4423_9F3F_8134353F3CAC_.wvu.FilterData" hidden="1">#REF!</definedName>
    <definedName name="Z_E4E1532E_DC25_47E7_8CAC_8E70342889F1_.wvu.FilterData" localSheetId="17" hidden="1">#REF!</definedName>
    <definedName name="Z_E4E1532E_DC25_47E7_8CAC_8E70342889F1_.wvu.FilterData" hidden="1">#REF!</definedName>
    <definedName name="Z_E74731A0_5CEF_4B97_AFDD_B1DCA3953478_.wvu.FilterData" localSheetId="17" hidden="1">#REF!</definedName>
    <definedName name="Z_E74731A0_5CEF_4B97_AFDD_B1DCA3953478_.wvu.FilterData" hidden="1">#REF!</definedName>
    <definedName name="Z_E7582842_0D7F_4174_A223_2AB1DD8C9047_.wvu.FilterData" localSheetId="17" hidden="1">#REF!</definedName>
    <definedName name="Z_E7582842_0D7F_4174_A223_2AB1DD8C9047_.wvu.FilterData" hidden="1">#REF!</definedName>
    <definedName name="Z_E7E3B215_0D2B_424B_B9A9_091ABF42A9B2_.wvu.FilterData" localSheetId="17" hidden="1">#REF!</definedName>
    <definedName name="Z_E7E3B215_0D2B_424B_B9A9_091ABF42A9B2_.wvu.FilterData" hidden="1">#REF!</definedName>
    <definedName name="Z_E833D806_B408_4951_8EA0_84873DD98CC6_.wvu.FilterData" localSheetId="17" hidden="1">#REF!</definedName>
    <definedName name="Z_E833D806_B408_4951_8EA0_84873DD98CC6_.wvu.FilterData" hidden="1">#REF!</definedName>
    <definedName name="Z_E84FA520_D8B7_472A_9913_1B62E15D532D_.wvu.FilterData" localSheetId="17" hidden="1">#REF!</definedName>
    <definedName name="Z_E84FA520_D8B7_472A_9913_1B62E15D532D_.wvu.FilterData" hidden="1">#REF!</definedName>
    <definedName name="Z_E856A7FB_F0DE_4CE8_85BE_FBD78193AF0B_.wvu.FilterData" localSheetId="17" hidden="1">#REF!</definedName>
    <definedName name="Z_E856A7FB_F0DE_4CE8_85BE_FBD78193AF0B_.wvu.FilterData" hidden="1">#REF!</definedName>
    <definedName name="Z_E8B81FC8_C17A_451A_B505_641DE5886245_.wvu.FilterData" localSheetId="17" hidden="1">#REF!</definedName>
    <definedName name="Z_E8B81FC8_C17A_451A_B505_641DE5886245_.wvu.FilterData" hidden="1">#REF!</definedName>
    <definedName name="Z_EA900FC6_5EC3_4E18_9ED9_37FAC8862A4C_.wvu.FilterData" localSheetId="17" hidden="1">#REF!</definedName>
    <definedName name="Z_EA900FC6_5EC3_4E18_9ED9_37FAC8862A4C_.wvu.FilterData" hidden="1">#REF!</definedName>
    <definedName name="Z_EC12F0CE_807C_4CF2_B52D_1E5945238C05_.wvu.FilterData" localSheetId="17" hidden="1">#REF!</definedName>
    <definedName name="Z_EC12F0CE_807C_4CF2_B52D_1E5945238C05_.wvu.FilterData" hidden="1">#REF!</definedName>
    <definedName name="Z_EC74CDC8_4C91_4C55_BE9F_24DF0A9793FF_.wvu.FilterData" localSheetId="17" hidden="1">#REF!</definedName>
    <definedName name="Z_EC74CDC8_4C91_4C55_BE9F_24DF0A9793FF_.wvu.FilterData" hidden="1">#REF!</definedName>
    <definedName name="Z_ED3E33DB_FBFA_4FDE_929F_AD12074101A3_.wvu.FilterData" localSheetId="17" hidden="1">#REF!</definedName>
    <definedName name="Z_ED3E33DB_FBFA_4FDE_929F_AD12074101A3_.wvu.FilterData" hidden="1">#REF!</definedName>
    <definedName name="Z_EE21DFC7_81AA_40DA_B313_9BC83DA41DD6_.wvu.FilterData" localSheetId="17" hidden="1">#REF!</definedName>
    <definedName name="Z_EE21DFC7_81AA_40DA_B313_9BC83DA41DD6_.wvu.FilterData" hidden="1">#REF!</definedName>
    <definedName name="Z_EE5311D7_3149_40F1_82F5_7EEC6ACB6C85_.wvu.FilterData" localSheetId="17" hidden="1">#REF!</definedName>
    <definedName name="Z_EE5311D7_3149_40F1_82F5_7EEC6ACB6C85_.wvu.FilterData" hidden="1">#REF!</definedName>
    <definedName name="Z_EEE8CD21_C3A5_4786_B8BE_B9E68F0A5347_.wvu.FilterData" localSheetId="17" hidden="1">#REF!</definedName>
    <definedName name="Z_EEE8CD21_C3A5_4786_B8BE_B9E68F0A5347_.wvu.FilterData" hidden="1">#REF!</definedName>
    <definedName name="Z_F0522591_4E2E_4AD6_B99B_B69551272A68_.wvu.FilterData" localSheetId="17" hidden="1">#REF!</definedName>
    <definedName name="Z_F0522591_4E2E_4AD6_B99B_B69551272A68_.wvu.FilterData" hidden="1">#REF!</definedName>
    <definedName name="Z_F1326E0B_5376_4D6E_9BC8_214AA525DE83_.wvu.FilterData" localSheetId="17" hidden="1">#REF!</definedName>
    <definedName name="Z_F1326E0B_5376_4D6E_9BC8_214AA525DE83_.wvu.FilterData" hidden="1">#REF!</definedName>
    <definedName name="Z_F300E2D5_C458_4E4B_AB71_FF06367EF684_.wvu.FilterData" localSheetId="17" hidden="1">#REF!</definedName>
    <definedName name="Z_F300E2D5_C458_4E4B_AB71_FF06367EF684_.wvu.FilterData" hidden="1">#REF!</definedName>
    <definedName name="Z_F3F443DB_8EE1_48F9_9BF4_EAF21EDD719F_.wvu.FilterData" localSheetId="17" hidden="1">#REF!</definedName>
    <definedName name="Z_F3F443DB_8EE1_48F9_9BF4_EAF21EDD719F_.wvu.FilterData" hidden="1">#REF!</definedName>
    <definedName name="Z_F6923408_DB58_4A59_8717_D0133A922204_.wvu.FilterData" localSheetId="17" hidden="1">#REF!</definedName>
    <definedName name="Z_F6923408_DB58_4A59_8717_D0133A922204_.wvu.FilterData" hidden="1">#REF!</definedName>
    <definedName name="Z_F9CB3A99_6D24_412C_93C4_575819594890_.wvu.FilterData" localSheetId="17" hidden="1">#REF!</definedName>
    <definedName name="Z_F9CB3A99_6D24_412C_93C4_575819594890_.wvu.FilterData" hidden="1">#REF!</definedName>
    <definedName name="Z_FA40CB26_17FE_4901_96A4_2176E8FA5EEE_.wvu.FilterData" localSheetId="17" hidden="1">#REF!</definedName>
    <definedName name="Z_FA40CB26_17FE_4901_96A4_2176E8FA5EEE_.wvu.FilterData" hidden="1">#REF!</definedName>
    <definedName name="Z_FC4D1412_4B52_4393_A184_1BAD70B9C231_.wvu.FilterData" localSheetId="17" hidden="1">#REF!</definedName>
    <definedName name="Z_FC4D1412_4B52_4393_A184_1BAD70B9C231_.wvu.FilterData" hidden="1">#REF!</definedName>
    <definedName name="Z_FD259A29_AD61_4284_9BC7_5C3B20DD002B_.wvu.FilterData" localSheetId="17" hidden="1">#REF!</definedName>
    <definedName name="Z_FD259A29_AD61_4284_9BC7_5C3B20DD002B_.wvu.FilterData" hidden="1">#REF!</definedName>
    <definedName name="Z_FDFF93A6_D487_497C_8FA1_B8636451E74C_.wvu.FilterData" localSheetId="17" hidden="1">#REF!</definedName>
    <definedName name="Z_FDFF93A6_D487_497C_8FA1_B8636451E74C_.wvu.FilterData" hidden="1">#REF!</definedName>
    <definedName name="Z_FE37516D_56E4_424C_8DE6_6B2719F76EF4_.wvu.FilterData" localSheetId="17" hidden="1">#REF!</definedName>
    <definedName name="Z_FE37516D_56E4_424C_8DE6_6B2719F76EF4_.wvu.FilterData" hidden="1">#REF!</definedName>
    <definedName name="Z_FEBB3479_FB57_4CDC_BCCD_5D8B83257FC7_.wvu.FilterData" localSheetId="17" hidden="1">#REF!</definedName>
    <definedName name="Z_FEBB3479_FB57_4CDC_BCCD_5D8B83257FC7_.wvu.FilterData" hidden="1">#REF!</definedName>
    <definedName name="zsfdbvzsfdbfzdb" localSheetId="17">#REF!</definedName>
    <definedName name="zsfdbvzsfdbfzdb">#REF!</definedName>
    <definedName name="zzz" localSheetId="15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8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6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13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1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localSheetId="17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zzz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42" i="112" l="1"/>
  <c r="AV41" i="112"/>
  <c r="AV40" i="112"/>
  <c r="AX32" i="112"/>
  <c r="AW32" i="112"/>
  <c r="AZ28" i="112"/>
  <c r="DG20" i="112"/>
  <c r="DF20" i="112"/>
  <c r="DE20" i="112"/>
  <c r="DD20" i="112"/>
  <c r="DC20" i="112"/>
  <c r="DB20" i="112"/>
  <c r="DA20" i="112"/>
  <c r="CZ20" i="112"/>
  <c r="CK20" i="112"/>
  <c r="CJ20" i="112"/>
  <c r="BV20" i="112"/>
  <c r="BH20" i="112"/>
  <c r="CH20" i="112" s="1"/>
  <c r="BF20" i="112"/>
  <c r="BG20" i="112" s="1"/>
  <c r="AX20" i="112"/>
  <c r="AV20" i="112"/>
  <c r="DE19" i="112"/>
  <c r="DD19" i="112"/>
  <c r="CH19" i="112"/>
  <c r="CG19" i="112"/>
  <c r="BB19" i="112"/>
  <c r="AY19" i="112"/>
  <c r="DB19" i="112" s="1"/>
  <c r="AX19" i="112"/>
  <c r="AW19" i="112"/>
  <c r="BH19" i="112" s="1"/>
  <c r="AV19" i="112"/>
  <c r="AU19" i="112"/>
  <c r="AT19" i="112"/>
  <c r="AN19" i="112"/>
  <c r="AR19" i="112" s="1"/>
  <c r="AK19" i="112"/>
  <c r="BA19" i="112" s="1"/>
  <c r="BF19" i="112" s="1"/>
  <c r="BE19" i="112" s="1"/>
  <c r="AI19" i="112"/>
  <c r="AM19" i="112" s="1"/>
  <c r="R19" i="112"/>
  <c r="S19" i="112" s="1"/>
  <c r="DB18" i="112"/>
  <c r="DA18" i="112"/>
  <c r="CZ18" i="112"/>
  <c r="CH18" i="112"/>
  <c r="CG18" i="112"/>
  <c r="BB18" i="112"/>
  <c r="BA18" i="112"/>
  <c r="BF18" i="112" s="1"/>
  <c r="AY18" i="112"/>
  <c r="AX18" i="112"/>
  <c r="AW18" i="112"/>
  <c r="BH18" i="112" s="1"/>
  <c r="AV18" i="112"/>
  <c r="AU18" i="112"/>
  <c r="AT18" i="112"/>
  <c r="AN18" i="112"/>
  <c r="AR18" i="112" s="1"/>
  <c r="AI18" i="112"/>
  <c r="AM18" i="112" s="1"/>
  <c r="O18" i="112"/>
  <c r="P18" i="112" s="1"/>
  <c r="AN17" i="112"/>
  <c r="AR17" i="112" s="1"/>
  <c r="AI17" i="112"/>
  <c r="AM17" i="112" s="1"/>
  <c r="R17" i="112"/>
  <c r="S17" i="112" s="1"/>
  <c r="E17" i="112"/>
  <c r="H17" i="112" s="1"/>
  <c r="DB16" i="112"/>
  <c r="DA16" i="112"/>
  <c r="CZ16" i="112"/>
  <c r="CH16" i="112"/>
  <c r="CG16" i="112"/>
  <c r="BV16" i="112"/>
  <c r="BB16" i="112"/>
  <c r="AY16" i="112"/>
  <c r="DC16" i="112" s="1"/>
  <c r="AX16" i="112"/>
  <c r="AW16" i="112"/>
  <c r="AV16" i="112"/>
  <c r="AU16" i="112"/>
  <c r="AT16" i="112"/>
  <c r="AN16" i="112"/>
  <c r="AR16" i="112" s="1"/>
  <c r="AK16" i="112"/>
  <c r="BA16" i="112" s="1"/>
  <c r="BF16" i="112" s="1"/>
  <c r="AI16" i="112"/>
  <c r="R16" i="112" s="1"/>
  <c r="S16" i="112" s="1"/>
  <c r="E16" i="112"/>
  <c r="E18" i="112" s="1"/>
  <c r="CH15" i="112"/>
  <c r="CG15" i="112"/>
  <c r="BB15" i="112"/>
  <c r="BA15" i="112"/>
  <c r="BF15" i="112" s="1"/>
  <c r="AY15" i="112"/>
  <c r="DD15" i="112" s="1"/>
  <c r="AX15" i="112"/>
  <c r="AW15" i="112"/>
  <c r="BH15" i="112" s="1"/>
  <c r="AV15" i="112"/>
  <c r="AU15" i="112"/>
  <c r="CZ15" i="112" s="1"/>
  <c r="AT15" i="112"/>
  <c r="AN15" i="112"/>
  <c r="AR15" i="112" s="1"/>
  <c r="AK15" i="112"/>
  <c r="AI15" i="112"/>
  <c r="AM15" i="112" s="1"/>
  <c r="R15" i="112"/>
  <c r="S15" i="112" s="1"/>
  <c r="E15" i="112"/>
  <c r="H15" i="112" s="1"/>
  <c r="CH14" i="112"/>
  <c r="CG14" i="112"/>
  <c r="BB14" i="112"/>
  <c r="BA14" i="112"/>
  <c r="BF14" i="112" s="1"/>
  <c r="AY14" i="112"/>
  <c r="DG14" i="112" s="1"/>
  <c r="AX14" i="112"/>
  <c r="AW14" i="112"/>
  <c r="BH14" i="112" s="1"/>
  <c r="CK14" i="112" s="1"/>
  <c r="AV14" i="112"/>
  <c r="AU14" i="112"/>
  <c r="AT14" i="112"/>
  <c r="AN14" i="112"/>
  <c r="AR14" i="112" s="1"/>
  <c r="AM14" i="112"/>
  <c r="R14" i="112"/>
  <c r="S14" i="112" s="1"/>
  <c r="H14" i="112"/>
  <c r="G14" i="112"/>
  <c r="K6" i="112"/>
  <c r="K3" i="112"/>
  <c r="R18" i="112" l="1"/>
  <c r="S18" i="112" s="1"/>
  <c r="AQ15" i="112"/>
  <c r="O15" i="112"/>
  <c r="P15" i="112" s="1"/>
  <c r="CZ14" i="112"/>
  <c r="CZ21" i="112" s="1"/>
  <c r="DB14" i="112"/>
  <c r="G15" i="112"/>
  <c r="DA19" i="112"/>
  <c r="CM20" i="112"/>
  <c r="CG20" i="112"/>
  <c r="CJ14" i="112"/>
  <c r="CM14" i="112" s="1"/>
  <c r="DA14" i="112"/>
  <c r="BV19" i="112"/>
  <c r="CZ19" i="112"/>
  <c r="DC19" i="112"/>
  <c r="AF18" i="112"/>
  <c r="AG18" i="112"/>
  <c r="AG15" i="112"/>
  <c r="AF15" i="112"/>
  <c r="O17" i="112"/>
  <c r="P17" i="112" s="1"/>
  <c r="CK15" i="112"/>
  <c r="BI15" i="112"/>
  <c r="CJ15" i="112"/>
  <c r="CM15" i="112" s="1"/>
  <c r="E19" i="112"/>
  <c r="H18" i="112"/>
  <c r="G18" i="112"/>
  <c r="BG16" i="112"/>
  <c r="BE16" i="112"/>
  <c r="BG14" i="112"/>
  <c r="BE14" i="112"/>
  <c r="BG18" i="112"/>
  <c r="BI18" i="112" s="1"/>
  <c r="BE18" i="112"/>
  <c r="O19" i="112"/>
  <c r="P19" i="112" s="1"/>
  <c r="BV15" i="112"/>
  <c r="CH21" i="112"/>
  <c r="O14" i="112"/>
  <c r="P14" i="112" s="1"/>
  <c r="AQ14" i="112"/>
  <c r="CK19" i="112"/>
  <c r="CJ19" i="112"/>
  <c r="CM19" i="112" s="1"/>
  <c r="BG15" i="112"/>
  <c r="BE15" i="112"/>
  <c r="DG18" i="112"/>
  <c r="DF18" i="112"/>
  <c r="DC18" i="112"/>
  <c r="DE18" i="112"/>
  <c r="DD18" i="112"/>
  <c r="BV18" i="112"/>
  <c r="DF19" i="112"/>
  <c r="DG19" i="112"/>
  <c r="AU21" i="112"/>
  <c r="BH16" i="112"/>
  <c r="AQ18" i="112"/>
  <c r="CK18" i="112"/>
  <c r="CJ18" i="112"/>
  <c r="CM18" i="112" s="1"/>
  <c r="CG21" i="112"/>
  <c r="BG19" i="112"/>
  <c r="DG16" i="112"/>
  <c r="DF16" i="112"/>
  <c r="DE16" i="112"/>
  <c r="DD16" i="112"/>
  <c r="DA15" i="112"/>
  <c r="DA21" i="112" s="1"/>
  <c r="BE20" i="112"/>
  <c r="G17" i="112"/>
  <c r="BI20" i="112"/>
  <c r="CP20" i="112" s="1"/>
  <c r="DF15" i="112"/>
  <c r="G16" i="112"/>
  <c r="AM16" i="112"/>
  <c r="AQ19" i="112"/>
  <c r="DB15" i="112"/>
  <c r="DB21" i="112" s="1"/>
  <c r="DE15" i="112"/>
  <c r="AQ17" i="112"/>
  <c r="DC14" i="112"/>
  <c r="DD14" i="112"/>
  <c r="DE14" i="112"/>
  <c r="H16" i="112"/>
  <c r="DF14" i="112"/>
  <c r="DG15" i="112"/>
  <c r="BV14" i="112"/>
  <c r="DC15" i="112"/>
  <c r="AV36" i="112" l="1"/>
  <c r="AV35" i="112"/>
  <c r="DG21" i="112"/>
  <c r="AH15" i="112"/>
  <c r="AH18" i="112"/>
  <c r="CB20" i="112"/>
  <c r="CC20" i="112"/>
  <c r="CF20" i="112"/>
  <c r="CE20" i="112"/>
  <c r="CD20" i="112"/>
  <c r="CA20" i="112"/>
  <c r="CJ16" i="112"/>
  <c r="BI16" i="112"/>
  <c r="BO16" i="112" s="1"/>
  <c r="CK16" i="112"/>
  <c r="CK21" i="112" s="1"/>
  <c r="BM20" i="112"/>
  <c r="H19" i="112"/>
  <c r="G19" i="112" s="1"/>
  <c r="BI19" i="112"/>
  <c r="CY19" i="112" s="1"/>
  <c r="BJ20" i="112"/>
  <c r="BV21" i="112"/>
  <c r="BN20" i="112"/>
  <c r="BL20" i="112"/>
  <c r="AG19" i="112"/>
  <c r="AF19" i="112"/>
  <c r="AH19" i="112" s="1"/>
  <c r="BO20" i="112"/>
  <c r="CF18" i="112"/>
  <c r="CC18" i="112"/>
  <c r="CE18" i="112"/>
  <c r="CD18" i="112"/>
  <c r="CB18" i="112"/>
  <c r="CA18" i="112"/>
  <c r="DE21" i="112"/>
  <c r="CQ20" i="112"/>
  <c r="CS18" i="112"/>
  <c r="BQ18" i="112"/>
  <c r="BK18" i="112"/>
  <c r="CR18" i="112"/>
  <c r="BP18" i="112"/>
  <c r="CQ18" i="112"/>
  <c r="BO18" i="112"/>
  <c r="CP18" i="112"/>
  <c r="BN18" i="112"/>
  <c r="CN18" i="112"/>
  <c r="BJ18" i="112"/>
  <c r="CO18" i="112"/>
  <c r="BM18" i="112"/>
  <c r="BL18" i="112"/>
  <c r="CX18" i="112"/>
  <c r="CW18" i="112"/>
  <c r="CU18" i="112"/>
  <c r="CY18" i="112"/>
  <c r="CT18" i="112"/>
  <c r="BT18" i="112"/>
  <c r="BR18" i="112"/>
  <c r="BS18" i="112"/>
  <c r="BU18" i="112"/>
  <c r="DD21" i="112"/>
  <c r="BK20" i="112"/>
  <c r="BP20" i="112"/>
  <c r="BI14" i="112"/>
  <c r="CX14" i="112" s="1"/>
  <c r="BP14" i="112"/>
  <c r="BJ14" i="112"/>
  <c r="BL14" i="112"/>
  <c r="O16" i="112"/>
  <c r="P16" i="112" s="1"/>
  <c r="CE15" i="112"/>
  <c r="CC15" i="112"/>
  <c r="CB15" i="112"/>
  <c r="CD15" i="112"/>
  <c r="CF15" i="112"/>
  <c r="CA15" i="112"/>
  <c r="AF17" i="112"/>
  <c r="AG17" i="112"/>
  <c r="CN20" i="112"/>
  <c r="M14" i="112"/>
  <c r="AG14" i="112"/>
  <c r="AF14" i="112"/>
  <c r="CX20" i="112"/>
  <c r="CU20" i="112"/>
  <c r="CT20" i="112"/>
  <c r="CV20" i="112"/>
  <c r="BR20" i="112"/>
  <c r="CY20" i="112"/>
  <c r="BU20" i="112"/>
  <c r="BT20" i="112"/>
  <c r="BS20" i="112"/>
  <c r="CW20" i="112"/>
  <c r="CO15" i="112"/>
  <c r="BM15" i="112"/>
  <c r="CN15" i="112"/>
  <c r="BL15" i="112"/>
  <c r="BK15" i="112"/>
  <c r="BJ15" i="112"/>
  <c r="CY15" i="112"/>
  <c r="CU15" i="112"/>
  <c r="CW15" i="112"/>
  <c r="CT15" i="112"/>
  <c r="CR15" i="112"/>
  <c r="CQ15" i="112"/>
  <c r="CP15" i="112"/>
  <c r="BN15" i="112"/>
  <c r="CS15" i="112" s="1"/>
  <c r="BU15" i="112"/>
  <c r="BT15" i="112"/>
  <c r="BS15" i="112"/>
  <c r="BR15" i="112"/>
  <c r="BP15" i="112"/>
  <c r="BQ15" i="112"/>
  <c r="BO15" i="112"/>
  <c r="CX15" i="112"/>
  <c r="CV15" i="112"/>
  <c r="DF21" i="112"/>
  <c r="CR20" i="112"/>
  <c r="BQ20" i="112"/>
  <c r="CV16" i="112"/>
  <c r="BU16" i="112"/>
  <c r="BT16" i="112"/>
  <c r="DC21" i="112"/>
  <c r="CS20" i="112"/>
  <c r="AQ16" i="112"/>
  <c r="CJ21" i="112"/>
  <c r="BY15" i="112" l="1"/>
  <c r="BZ15" i="112" s="1"/>
  <c r="CM16" i="112"/>
  <c r="CM21" i="112" s="1"/>
  <c r="CY16" i="112"/>
  <c r="CF19" i="112"/>
  <c r="CQ16" i="112"/>
  <c r="CD14" i="112"/>
  <c r="CB16" i="112"/>
  <c r="CF16" i="112"/>
  <c r="CD16" i="112"/>
  <c r="CD21" i="112" s="1"/>
  <c r="BK16" i="112"/>
  <c r="CQ19" i="112"/>
  <c r="BR16" i="112"/>
  <c r="CT16" i="112"/>
  <c r="CN16" i="112"/>
  <c r="CT19" i="112"/>
  <c r="CC16" i="112"/>
  <c r="CO16" i="112"/>
  <c r="CE16" i="112"/>
  <c r="BP16" i="112"/>
  <c r="CR16" i="112"/>
  <c r="BJ16" i="112"/>
  <c r="BJ21" i="112" s="1"/>
  <c r="BQ16" i="112"/>
  <c r="BY16" i="112" s="1"/>
  <c r="BZ16" i="112" s="1"/>
  <c r="AH17" i="112"/>
  <c r="CA16" i="112"/>
  <c r="BJ19" i="112"/>
  <c r="BR19" i="112"/>
  <c r="BK19" i="112"/>
  <c r="BY18" i="112"/>
  <c r="BZ18" i="112" s="1"/>
  <c r="CB14" i="112"/>
  <c r="BO14" i="112"/>
  <c r="CA14" i="112"/>
  <c r="CR14" i="112"/>
  <c r="AV39" i="112"/>
  <c r="AV38" i="112"/>
  <c r="BT19" i="112"/>
  <c r="BY20" i="112"/>
  <c r="BZ20" i="112" s="1"/>
  <c r="CE14" i="112"/>
  <c r="BQ19" i="112"/>
  <c r="BQ14" i="112"/>
  <c r="CB19" i="112"/>
  <c r="CP19" i="112"/>
  <c r="CW16" i="112"/>
  <c r="BT14" i="112"/>
  <c r="BT21" i="112" s="1"/>
  <c r="BU19" i="112"/>
  <c r="BL19" i="112"/>
  <c r="CA19" i="112"/>
  <c r="CO20" i="112"/>
  <c r="CN19" i="112"/>
  <c r="CR19" i="112"/>
  <c r="CP14" i="112"/>
  <c r="CQ14" i="112"/>
  <c r="BM19" i="112"/>
  <c r="CO14" i="112"/>
  <c r="CU14" i="112"/>
  <c r="CT14" i="112"/>
  <c r="CO19" i="112"/>
  <c r="CF14" i="112"/>
  <c r="CF21" i="112" s="1"/>
  <c r="BN14" i="112"/>
  <c r="CC14" i="112"/>
  <c r="CS19" i="112"/>
  <c r="J14" i="112"/>
  <c r="CU19" i="112"/>
  <c r="CU16" i="112"/>
  <c r="BL16" i="112"/>
  <c r="BN16" i="112"/>
  <c r="CW14" i="112"/>
  <c r="CW21" i="112" s="1"/>
  <c r="BN19" i="112"/>
  <c r="CN14" i="112"/>
  <c r="CN21" i="112" s="1"/>
  <c r="BS19" i="112"/>
  <c r="BP19" i="112"/>
  <c r="BP21" i="112" s="1"/>
  <c r="CV14" i="112"/>
  <c r="CW19" i="112"/>
  <c r="CX16" i="112"/>
  <c r="CD19" i="112"/>
  <c r="BO19" i="112"/>
  <c r="BM14" i="112"/>
  <c r="CV18" i="112"/>
  <c r="CX19" i="112"/>
  <c r="CX21" i="112" s="1"/>
  <c r="AH14" i="112"/>
  <c r="CC19" i="112"/>
  <c r="CE19" i="112"/>
  <c r="BS16" i="112"/>
  <c r="CY14" i="112"/>
  <c r="CY21" i="112" s="1"/>
  <c r="BR14" i="112"/>
  <c r="BR21" i="112" s="1"/>
  <c r="AG16" i="112"/>
  <c r="AF16" i="112"/>
  <c r="CP16" i="112"/>
  <c r="BS14" i="112"/>
  <c r="BM16" i="112"/>
  <c r="BU14" i="112"/>
  <c r="BK14" i="112"/>
  <c r="BK21" i="112" s="1"/>
  <c r="CS16" i="112" l="1"/>
  <c r="BQ21" i="112"/>
  <c r="BY19" i="112"/>
  <c r="BZ19" i="112" s="1"/>
  <c r="CT21" i="112"/>
  <c r="CR21" i="112"/>
  <c r="BM21" i="112"/>
  <c r="CQ21" i="112"/>
  <c r="I14" i="112"/>
  <c r="K14" i="112" s="1"/>
  <c r="Q14" i="112"/>
  <c r="CU21" i="112"/>
  <c r="CA21" i="112"/>
  <c r="CB21" i="112"/>
  <c r="BL21" i="112"/>
  <c r="BO21" i="112"/>
  <c r="CP21" i="112"/>
  <c r="CE21" i="112"/>
  <c r="AH16" i="112"/>
  <c r="CV19" i="112"/>
  <c r="CV21" i="112" s="1"/>
  <c r="CS14" i="112"/>
  <c r="CS21" i="112" s="1"/>
  <c r="CC21" i="112"/>
  <c r="BN21" i="112"/>
  <c r="CO21" i="112"/>
  <c r="BU21" i="112"/>
  <c r="BY14" i="112"/>
  <c r="BS21" i="112"/>
  <c r="BZ14" i="112" l="1"/>
  <c r="BZ21" i="112" s="1"/>
  <c r="AV37" i="112" s="1"/>
  <c r="BY21" i="112"/>
  <c r="AA14" i="112"/>
  <c r="T14" i="112"/>
  <c r="AC14" i="112" l="1"/>
  <c r="AD14" i="112" s="1"/>
  <c r="AB14" i="112"/>
  <c r="AE14" i="112" s="1"/>
  <c r="Z14" i="112" s="1"/>
  <c r="N14" i="112" s="1"/>
  <c r="M15" i="112" s="1"/>
  <c r="AP14" i="112" l="1"/>
  <c r="AO14" i="112"/>
  <c r="J15" i="112"/>
  <c r="I15" i="112" l="1"/>
  <c r="K15" i="112" s="1"/>
  <c r="AA15" i="112" l="1"/>
  <c r="T15" i="112"/>
  <c r="Q15" i="112"/>
  <c r="AB15" i="112" l="1"/>
  <c r="AE15" i="112" s="1"/>
  <c r="Z15" i="112" s="1"/>
  <c r="N15" i="112" s="1"/>
  <c r="M16" i="112" s="1"/>
  <c r="AC15" i="112"/>
  <c r="AD15" i="112" s="1"/>
  <c r="AP15" i="112" l="1"/>
  <c r="AO15" i="112"/>
  <c r="J16" i="112"/>
  <c r="I16" i="112" l="1"/>
  <c r="K16" i="112" s="1"/>
  <c r="Q16" i="112"/>
  <c r="AA16" i="112" l="1"/>
  <c r="T16" i="112"/>
  <c r="AC16" i="112" l="1"/>
  <c r="AD16" i="112" s="1"/>
  <c r="AB16" i="112"/>
  <c r="AE16" i="112" s="1"/>
  <c r="Z16" i="112" s="1"/>
  <c r="N16" i="112" s="1"/>
  <c r="AP16" i="112" l="1"/>
  <c r="AO16" i="112"/>
  <c r="M17" i="112"/>
  <c r="J17" i="112" s="1"/>
  <c r="M18" i="112"/>
  <c r="J18" i="112" l="1"/>
  <c r="I17" i="112"/>
  <c r="K17" i="112" s="1"/>
  <c r="Q17" i="112" l="1"/>
  <c r="AA17" i="112"/>
  <c r="T17" i="112"/>
  <c r="I18" i="112"/>
  <c r="K18" i="112" s="1"/>
  <c r="T18" i="112" l="1"/>
  <c r="AA18" i="112"/>
  <c r="Q18" i="112"/>
  <c r="AC17" i="112"/>
  <c r="AD17" i="112" s="1"/>
  <c r="AB17" i="112"/>
  <c r="AE17" i="112" s="1"/>
  <c r="Z17" i="112" s="1"/>
  <c r="N17" i="112" s="1"/>
  <c r="AP17" i="112" l="1"/>
  <c r="AO17" i="112"/>
  <c r="AC18" i="112"/>
  <c r="AD18" i="112" s="1"/>
  <c r="AB18" i="112"/>
  <c r="AE18" i="112" s="1"/>
  <c r="Z18" i="112" s="1"/>
  <c r="N18" i="112" s="1"/>
  <c r="M19" i="112" s="1"/>
  <c r="J19" i="112" s="1"/>
  <c r="I19" i="112" l="1"/>
  <c r="K19" i="112" s="1"/>
  <c r="Q19" i="112"/>
  <c r="AP18" i="112"/>
  <c r="AO18" i="112"/>
  <c r="AA19" i="112" l="1"/>
  <c r="T19" i="112"/>
  <c r="AB19" i="112" l="1"/>
  <c r="AE19" i="112" s="1"/>
  <c r="Z19" i="112" s="1"/>
  <c r="N19" i="112" s="1"/>
  <c r="AC19" i="112"/>
  <c r="AD19" i="112" s="1"/>
  <c r="AP19" i="112" l="1"/>
  <c r="AO19" i="112"/>
  <c r="AV47" i="86" l="1"/>
  <c r="AV45" i="86"/>
  <c r="AV43" i="86"/>
  <c r="AV46" i="86"/>
  <c r="AV38" i="86" s="1"/>
  <c r="AV44" i="86"/>
  <c r="AV36" i="86" s="1"/>
  <c r="BE30" i="86"/>
  <c r="BD30" i="86"/>
  <c r="BC30" i="86"/>
  <c r="BB30" i="86"/>
  <c r="AZ30" i="86"/>
  <c r="BA30" i="86" s="1"/>
  <c r="DB17" i="86"/>
  <c r="DA17" i="86"/>
  <c r="CZ17" i="86"/>
  <c r="CY17" i="86"/>
  <c r="CX17" i="86"/>
  <c r="CW17" i="86"/>
  <c r="CV17" i="86"/>
  <c r="CU17" i="86"/>
  <c r="BV17" i="86"/>
  <c r="BH17" i="86"/>
  <c r="BF17" i="86"/>
  <c r="BC17" i="86"/>
  <c r="AX17" i="86"/>
  <c r="AV17" i="86"/>
  <c r="DB16" i="86"/>
  <c r="BB16" i="86"/>
  <c r="BA16" i="86"/>
  <c r="BF16" i="86" s="1"/>
  <c r="AY16" i="86"/>
  <c r="DA16" i="86" s="1"/>
  <c r="AX16" i="86"/>
  <c r="AW16" i="86"/>
  <c r="AV16" i="86"/>
  <c r="AU16" i="86"/>
  <c r="AT16" i="86"/>
  <c r="AN16" i="86"/>
  <c r="AR16" i="86" s="1"/>
  <c r="AM16" i="86"/>
  <c r="AQ16" i="86" s="1"/>
  <c r="R16" i="86"/>
  <c r="S16" i="86" s="1"/>
  <c r="E16" i="86"/>
  <c r="H16" i="86" s="1"/>
  <c r="DB15" i="86"/>
  <c r="BB15" i="86"/>
  <c r="BA15" i="86"/>
  <c r="AY15" i="86"/>
  <c r="CY15" i="86" s="1"/>
  <c r="AX15" i="86"/>
  <c r="AW15" i="86"/>
  <c r="AV15" i="86"/>
  <c r="AU15" i="86"/>
  <c r="AT15" i="86"/>
  <c r="AN15" i="86"/>
  <c r="AR15" i="86" s="1"/>
  <c r="AM15" i="86"/>
  <c r="R15" i="86"/>
  <c r="S15" i="86" s="1"/>
  <c r="E15" i="86"/>
  <c r="H15" i="86" s="1"/>
  <c r="DB14" i="86"/>
  <c r="BB14" i="86"/>
  <c r="BA14" i="86"/>
  <c r="BF14" i="86" s="1"/>
  <c r="AY14" i="86"/>
  <c r="AX14" i="86"/>
  <c r="AW14" i="86"/>
  <c r="BH14" i="86" s="1"/>
  <c r="AV14" i="86"/>
  <c r="AU14" i="86"/>
  <c r="AT14" i="86"/>
  <c r="AN14" i="86"/>
  <c r="AR14" i="86" s="1"/>
  <c r="AM14" i="86"/>
  <c r="R14" i="86"/>
  <c r="S14" i="86" s="1"/>
  <c r="E14" i="86"/>
  <c r="H14" i="86" s="1"/>
  <c r="K3" i="86"/>
  <c r="CU14" i="86" l="1"/>
  <c r="DB18" i="86"/>
  <c r="BG17" i="86"/>
  <c r="BI17" i="86" s="1"/>
  <c r="CQ17" i="86" s="1"/>
  <c r="AQ14" i="86"/>
  <c r="O14" i="86"/>
  <c r="P14" i="86" s="1"/>
  <c r="M14" i="86" s="1"/>
  <c r="J14" i="86" s="1"/>
  <c r="I14" i="86" s="1"/>
  <c r="O16" i="86"/>
  <c r="P16" i="86" s="1"/>
  <c r="M16" i="86" s="1"/>
  <c r="J16" i="86" s="1"/>
  <c r="I16" i="86" s="1"/>
  <c r="BF15" i="86"/>
  <c r="BE15" i="86" s="1"/>
  <c r="CV16" i="86"/>
  <c r="CW16" i="86"/>
  <c r="BE17" i="86"/>
  <c r="CE17" i="86" s="1"/>
  <c r="BH16" i="86"/>
  <c r="BV16" i="86"/>
  <c r="CX16" i="86"/>
  <c r="BE16" i="86"/>
  <c r="G16" i="86"/>
  <c r="O15" i="86"/>
  <c r="P15" i="86" s="1"/>
  <c r="AQ15" i="86"/>
  <c r="BE14" i="86"/>
  <c r="AF14" i="86"/>
  <c r="AE14" i="86"/>
  <c r="AG14" i="86" s="1"/>
  <c r="CU16" i="86"/>
  <c r="CH17" i="86"/>
  <c r="CK17" i="86"/>
  <c r="CJ17" i="86"/>
  <c r="CM17" i="86" s="1"/>
  <c r="CI17" i="86"/>
  <c r="CG17" i="86"/>
  <c r="G14" i="86"/>
  <c r="BC14" i="86"/>
  <c r="BG14" i="86" s="1"/>
  <c r="CW14" i="86"/>
  <c r="BV14" i="86"/>
  <c r="CV14" i="86"/>
  <c r="CY14" i="86"/>
  <c r="DA14" i="86"/>
  <c r="CZ14" i="86"/>
  <c r="CX14" i="86"/>
  <c r="AZ14" i="86"/>
  <c r="AZ15" i="86"/>
  <c r="BC15" i="86"/>
  <c r="CX15" i="86"/>
  <c r="AV35" i="86"/>
  <c r="CW15" i="86"/>
  <c r="BV15" i="86"/>
  <c r="CV15" i="86"/>
  <c r="CU15" i="86"/>
  <c r="CZ15" i="86"/>
  <c r="BH15" i="86"/>
  <c r="DA15" i="86"/>
  <c r="G15" i="86"/>
  <c r="AZ16" i="86"/>
  <c r="CZ16" i="86"/>
  <c r="CY16" i="86"/>
  <c r="BC16" i="86"/>
  <c r="CD17" i="86" l="1"/>
  <c r="CV18" i="86"/>
  <c r="CC17" i="86"/>
  <c r="AE16" i="86"/>
  <c r="CA17" i="86"/>
  <c r="CF17" i="86"/>
  <c r="CB17" i="86"/>
  <c r="AF16" i="86"/>
  <c r="BJ17" i="86"/>
  <c r="CN17" i="86"/>
  <c r="BQ17" i="86"/>
  <c r="BS17" i="86"/>
  <c r="CR17" i="86"/>
  <c r="BL17" i="86"/>
  <c r="CO17" i="86"/>
  <c r="BT17" i="86"/>
  <c r="CS17" i="86"/>
  <c r="CT17" i="86"/>
  <c r="BM17" i="86"/>
  <c r="BR17" i="86"/>
  <c r="BU17" i="86"/>
  <c r="BK17" i="86"/>
  <c r="BN17" i="86"/>
  <c r="BI14" i="86"/>
  <c r="BR14" i="86" s="1"/>
  <c r="CK14" i="86"/>
  <c r="CJ14" i="86"/>
  <c r="CI14" i="86"/>
  <c r="CH14" i="86"/>
  <c r="CG14" i="86"/>
  <c r="BV18" i="86"/>
  <c r="M15" i="86"/>
  <c r="J15" i="86" s="1"/>
  <c r="I15" i="86" s="1"/>
  <c r="K15" i="86" s="1"/>
  <c r="AF15" i="86"/>
  <c r="AE15" i="86"/>
  <c r="CU18" i="86"/>
  <c r="CZ18" i="86"/>
  <c r="CG15" i="86"/>
  <c r="CK15" i="86"/>
  <c r="CI15" i="86"/>
  <c r="CJ15" i="86"/>
  <c r="CH15" i="86"/>
  <c r="DA18" i="86"/>
  <c r="Q16" i="86"/>
  <c r="K16" i="86"/>
  <c r="BO17" i="86"/>
  <c r="CW18" i="86"/>
  <c r="BG15" i="86"/>
  <c r="CH16" i="86"/>
  <c r="CG16" i="86"/>
  <c r="CJ16" i="86"/>
  <c r="CI16" i="86"/>
  <c r="CK16" i="86"/>
  <c r="CX18" i="86"/>
  <c r="Q14" i="86"/>
  <c r="K14" i="86"/>
  <c r="BP17" i="86"/>
  <c r="BG16" i="86"/>
  <c r="CY18" i="86"/>
  <c r="CM14" i="86" l="1"/>
  <c r="AG16" i="86"/>
  <c r="AU18" i="86"/>
  <c r="CB14" i="86"/>
  <c r="BY17" i="86"/>
  <c r="BZ17" i="86" s="1"/>
  <c r="BJ14" i="86"/>
  <c r="BK14" i="86"/>
  <c r="CA14" i="86"/>
  <c r="Q15" i="86"/>
  <c r="CP17" i="86"/>
  <c r="CC14" i="86"/>
  <c r="CD14" i="86"/>
  <c r="CM16" i="86"/>
  <c r="CE14" i="86"/>
  <c r="BL14" i="86"/>
  <c r="CF14" i="86"/>
  <c r="CM15" i="86"/>
  <c r="T15" i="86"/>
  <c r="Z15" i="86"/>
  <c r="CG18" i="86"/>
  <c r="BI15" i="86"/>
  <c r="CC15" i="86" s="1"/>
  <c r="CA15" i="86"/>
  <c r="CT14" i="86"/>
  <c r="CJ18" i="86"/>
  <c r="CK18" i="86"/>
  <c r="BP14" i="86"/>
  <c r="AV33" i="86"/>
  <c r="AV34" i="86"/>
  <c r="BQ14" i="86"/>
  <c r="Z14" i="86"/>
  <c r="T14" i="86"/>
  <c r="AG15" i="86"/>
  <c r="BU14" i="86"/>
  <c r="CH18" i="86"/>
  <c r="BM14" i="86"/>
  <c r="BT14" i="86"/>
  <c r="BN14" i="86"/>
  <c r="BO14" i="86"/>
  <c r="BO15" i="86"/>
  <c r="CN14" i="86"/>
  <c r="CP14" i="86"/>
  <c r="CO14" i="86"/>
  <c r="CQ14" i="86"/>
  <c r="CR14" i="86"/>
  <c r="BS14" i="86"/>
  <c r="Z16" i="86"/>
  <c r="T16" i="86"/>
  <c r="BI16" i="86"/>
  <c r="CP15" i="86" l="1"/>
  <c r="BP15" i="86"/>
  <c r="CS14" i="86"/>
  <c r="BK15" i="86"/>
  <c r="BJ15" i="86"/>
  <c r="BL15" i="86"/>
  <c r="BL18" i="86" s="1"/>
  <c r="BM15" i="86"/>
  <c r="CN15" i="86"/>
  <c r="CD16" i="86"/>
  <c r="CB16" i="86"/>
  <c r="CE16" i="86"/>
  <c r="CA16" i="86"/>
  <c r="CA18" i="86" s="1"/>
  <c r="CF16" i="86"/>
  <c r="CC16" i="86"/>
  <c r="CC18" i="86" s="1"/>
  <c r="CQ16" i="86"/>
  <c r="BY14" i="86"/>
  <c r="BZ14" i="86" s="1"/>
  <c r="CR16" i="86"/>
  <c r="AA14" i="86"/>
  <c r="AD14" i="86" s="1"/>
  <c r="Y14" i="86" s="1"/>
  <c r="N14" i="86" s="1"/>
  <c r="AB14" i="86"/>
  <c r="AC14" i="86" s="1"/>
  <c r="BQ15" i="86"/>
  <c r="CR15" i="86"/>
  <c r="CF15" i="86"/>
  <c r="CO16" i="86"/>
  <c r="CO18" i="86" s="1"/>
  <c r="BJ16" i="86"/>
  <c r="CQ15" i="86"/>
  <c r="BL16" i="86"/>
  <c r="AA15" i="86"/>
  <c r="AD15" i="86" s="1"/>
  <c r="Y15" i="86" s="1"/>
  <c r="N15" i="86" s="1"/>
  <c r="AB15" i="86"/>
  <c r="AC15" i="86" s="1"/>
  <c r="CE15" i="86"/>
  <c r="BT15" i="86"/>
  <c r="BK16" i="86"/>
  <c r="CN16" i="86"/>
  <c r="CP16" i="86"/>
  <c r="CT16" i="86"/>
  <c r="CM18" i="86"/>
  <c r="BR15" i="86"/>
  <c r="BM16" i="86"/>
  <c r="BP16" i="86"/>
  <c r="BS15" i="86"/>
  <c r="BU16" i="86"/>
  <c r="CT15" i="86"/>
  <c r="BT16" i="86"/>
  <c r="BQ16" i="86"/>
  <c r="CB15" i="86"/>
  <c r="AB16" i="86"/>
  <c r="AC16" i="86" s="1"/>
  <c r="AA16" i="86"/>
  <c r="AD16" i="86" s="1"/>
  <c r="Y16" i="86" s="1"/>
  <c r="N16" i="86" s="1"/>
  <c r="BN15" i="86"/>
  <c r="CD15" i="86"/>
  <c r="BR16" i="86"/>
  <c r="CO15" i="86"/>
  <c r="BS16" i="86"/>
  <c r="BU15" i="86"/>
  <c r="BN16" i="86"/>
  <c r="BO16" i="86"/>
  <c r="BO18" i="86" s="1"/>
  <c r="BK18" i="86" l="1"/>
  <c r="CN18" i="86"/>
  <c r="BM18" i="86"/>
  <c r="CQ18" i="86"/>
  <c r="BT18" i="86"/>
  <c r="BU18" i="86"/>
  <c r="CD18" i="86"/>
  <c r="CP18" i="86"/>
  <c r="BS18" i="86"/>
  <c r="BQ18" i="86"/>
  <c r="BP18" i="86"/>
  <c r="BY16" i="86"/>
  <c r="BZ16" i="86" s="1"/>
  <c r="CS15" i="86"/>
  <c r="CT18" i="86"/>
  <c r="AP14" i="86"/>
  <c r="AO14" i="86"/>
  <c r="AO15" i="86"/>
  <c r="AP15" i="86"/>
  <c r="AV42" i="86"/>
  <c r="AV41" i="86"/>
  <c r="AV40" i="86"/>
  <c r="CE18" i="86"/>
  <c r="BR18" i="86"/>
  <c r="AO16" i="86"/>
  <c r="AP16" i="86"/>
  <c r="BY15" i="86"/>
  <c r="BZ15" i="86" s="1"/>
  <c r="BJ18" i="86"/>
  <c r="CF18" i="86"/>
  <c r="BN18" i="86"/>
  <c r="CB18" i="86"/>
  <c r="CS16" i="86"/>
  <c r="CS18" i="86" l="1"/>
  <c r="BZ18" i="86"/>
  <c r="AV37" i="86" s="1"/>
  <c r="CR18" i="86"/>
  <c r="AH40" i="101" l="1"/>
  <c r="W40" i="101"/>
  <c r="E14" i="9" l="1"/>
  <c r="G30" i="117"/>
  <c r="H30" i="117" s="1"/>
  <c r="F30" i="117"/>
  <c r="G27" i="117"/>
  <c r="H27" i="117" s="1"/>
  <c r="F24" i="117"/>
  <c r="H23" i="117"/>
  <c r="H22" i="117"/>
  <c r="H18" i="117"/>
  <c r="H17" i="117"/>
  <c r="H19" i="117" s="1"/>
  <c r="H14" i="117"/>
  <c r="E14" i="117"/>
  <c r="H13" i="117"/>
  <c r="H15" i="117" s="1"/>
  <c r="H8" i="117"/>
  <c r="H7" i="117"/>
  <c r="G7" i="117"/>
  <c r="G9" i="117" s="1"/>
  <c r="T57" i="116"/>
  <c r="M49" i="116"/>
  <c r="J49" i="116"/>
  <c r="G49" i="116"/>
  <c r="P48" i="116"/>
  <c r="O48" i="116"/>
  <c r="P47" i="116"/>
  <c r="O47" i="116"/>
  <c r="K47" i="116"/>
  <c r="R47" i="116" s="1"/>
  <c r="P46" i="116"/>
  <c r="O46" i="116"/>
  <c r="P45" i="116"/>
  <c r="S45" i="116" s="1"/>
  <c r="T45" i="116" s="1"/>
  <c r="O45" i="116"/>
  <c r="K45" i="116"/>
  <c r="R45" i="116" s="1"/>
  <c r="P44" i="116"/>
  <c r="O44" i="116"/>
  <c r="P43" i="116"/>
  <c r="O43" i="116"/>
  <c r="K43" i="116"/>
  <c r="R43" i="116" s="1"/>
  <c r="P42" i="116"/>
  <c r="O42" i="116"/>
  <c r="P41" i="116"/>
  <c r="O41" i="116"/>
  <c r="Q41" i="116" s="1"/>
  <c r="K41" i="116"/>
  <c r="R41" i="116" s="1"/>
  <c r="P40" i="116"/>
  <c r="O40" i="116"/>
  <c r="P39" i="116"/>
  <c r="O39" i="116"/>
  <c r="K39" i="116"/>
  <c r="R39" i="116" s="1"/>
  <c r="P38" i="116"/>
  <c r="O38" i="116"/>
  <c r="P37" i="116"/>
  <c r="O37" i="116"/>
  <c r="K37" i="116"/>
  <c r="R37" i="116" s="1"/>
  <c r="P36" i="116"/>
  <c r="O36" i="116"/>
  <c r="P35" i="116"/>
  <c r="O35" i="116"/>
  <c r="Q35" i="116" s="1"/>
  <c r="K35" i="116"/>
  <c r="R35" i="116" s="1"/>
  <c r="P34" i="116"/>
  <c r="O34" i="116"/>
  <c r="P33" i="116"/>
  <c r="O33" i="116"/>
  <c r="K33" i="116"/>
  <c r="R33" i="116" s="1"/>
  <c r="P32" i="116"/>
  <c r="O32" i="116"/>
  <c r="Q31" i="116" s="1"/>
  <c r="R31" i="116"/>
  <c r="P31" i="116"/>
  <c r="O31" i="116"/>
  <c r="K31" i="116"/>
  <c r="P30" i="116"/>
  <c r="O30" i="116"/>
  <c r="P29" i="116"/>
  <c r="O29" i="116"/>
  <c r="Q29" i="116" s="1"/>
  <c r="K29" i="116"/>
  <c r="R29" i="116" s="1"/>
  <c r="P28" i="116"/>
  <c r="O28" i="116"/>
  <c r="P27" i="116"/>
  <c r="O27" i="116"/>
  <c r="K27" i="116"/>
  <c r="R27" i="116" s="1"/>
  <c r="P26" i="116"/>
  <c r="O26" i="116"/>
  <c r="P25" i="116"/>
  <c r="O25" i="116"/>
  <c r="K25" i="116"/>
  <c r="R25" i="116" s="1"/>
  <c r="P24" i="116"/>
  <c r="O24" i="116"/>
  <c r="P23" i="116"/>
  <c r="S23" i="116" s="1"/>
  <c r="T23" i="116" s="1"/>
  <c r="O23" i="116"/>
  <c r="K23" i="116"/>
  <c r="R23" i="116" s="1"/>
  <c r="P22" i="116"/>
  <c r="O22" i="116"/>
  <c r="P21" i="116"/>
  <c r="S21" i="116" s="1"/>
  <c r="T21" i="116" s="1"/>
  <c r="O21" i="116"/>
  <c r="Q21" i="116" s="1"/>
  <c r="K21" i="116"/>
  <c r="R21" i="116" s="1"/>
  <c r="P20" i="116"/>
  <c r="O20" i="116"/>
  <c r="P19" i="116"/>
  <c r="S19" i="116" s="1"/>
  <c r="T19" i="116" s="1"/>
  <c r="O19" i="116"/>
  <c r="K19" i="116"/>
  <c r="R19" i="116" s="1"/>
  <c r="P18" i="116"/>
  <c r="O18" i="116"/>
  <c r="P17" i="116"/>
  <c r="O17" i="116"/>
  <c r="Q17" i="116" s="1"/>
  <c r="K17" i="116"/>
  <c r="R17" i="116" s="1"/>
  <c r="P16" i="116"/>
  <c r="O16" i="116"/>
  <c r="P15" i="116"/>
  <c r="S15" i="116" s="1"/>
  <c r="T15" i="116" s="1"/>
  <c r="O15" i="116"/>
  <c r="K15" i="116"/>
  <c r="R15" i="116" s="1"/>
  <c r="P14" i="116"/>
  <c r="O14" i="116"/>
  <c r="P13" i="116"/>
  <c r="O13" i="116"/>
  <c r="K13" i="116"/>
  <c r="R13" i="116" s="1"/>
  <c r="P12" i="116"/>
  <c r="O12" i="116"/>
  <c r="R11" i="116"/>
  <c r="P11" i="116"/>
  <c r="O11" i="116"/>
  <c r="K11" i="116"/>
  <c r="P10" i="116"/>
  <c r="O10" i="116"/>
  <c r="P9" i="116"/>
  <c r="S9" i="116" s="1"/>
  <c r="T9" i="116" s="1"/>
  <c r="O9" i="116"/>
  <c r="Q9" i="116" s="1"/>
  <c r="K9" i="116"/>
  <c r="R9" i="116" s="1"/>
  <c r="P8" i="116"/>
  <c r="O8" i="116"/>
  <c r="P7" i="116"/>
  <c r="O7" i="116"/>
  <c r="K7" i="116"/>
  <c r="P6" i="116"/>
  <c r="O6" i="116"/>
  <c r="P5" i="116"/>
  <c r="O5" i="116"/>
  <c r="K5" i="116"/>
  <c r="R5" i="116" s="1"/>
  <c r="AF13" i="115"/>
  <c r="AE16" i="115" s="1"/>
  <c r="Q13" i="115"/>
  <c r="P20" i="115" s="1"/>
  <c r="P13" i="115"/>
  <c r="S12" i="115"/>
  <c r="R12" i="115"/>
  <c r="N12" i="115"/>
  <c r="K12" i="115"/>
  <c r="I12" i="115"/>
  <c r="S11" i="115"/>
  <c r="R11" i="115"/>
  <c r="N11" i="115"/>
  <c r="O11" i="115" s="1"/>
  <c r="K11" i="115"/>
  <c r="I11" i="115"/>
  <c r="S10" i="115"/>
  <c r="R10" i="115"/>
  <c r="N10" i="115"/>
  <c r="K10" i="115"/>
  <c r="M10" i="115" s="1"/>
  <c r="I10" i="115"/>
  <c r="S9" i="115"/>
  <c r="R9" i="115"/>
  <c r="N9" i="115"/>
  <c r="L9" i="115"/>
  <c r="K9" i="115"/>
  <c r="I9" i="115"/>
  <c r="AE8" i="115"/>
  <c r="AE13" i="115" s="1"/>
  <c r="AE15" i="115" s="1"/>
  <c r="S8" i="115"/>
  <c r="R8" i="115"/>
  <c r="N8" i="115"/>
  <c r="K8" i="115"/>
  <c r="I8" i="115"/>
  <c r="E29" i="114"/>
  <c r="F29" i="114" s="1"/>
  <c r="E28" i="114"/>
  <c r="F28" i="114" s="1"/>
  <c r="E27" i="114"/>
  <c r="F27" i="114" s="1"/>
  <c r="E26" i="114"/>
  <c r="F26" i="114" s="1"/>
  <c r="E25" i="114"/>
  <c r="F25" i="114" s="1"/>
  <c r="F24" i="114"/>
  <c r="G24" i="114" s="1"/>
  <c r="E23" i="114"/>
  <c r="F23" i="114" s="1"/>
  <c r="G23" i="114" s="1"/>
  <c r="E22" i="114"/>
  <c r="F22" i="114" s="1"/>
  <c r="E21" i="114"/>
  <c r="F21" i="114" s="1"/>
  <c r="E20" i="114"/>
  <c r="F20" i="114" s="1"/>
  <c r="F19" i="114"/>
  <c r="E19" i="114"/>
  <c r="E18" i="114"/>
  <c r="F18" i="114" s="1"/>
  <c r="E17" i="114"/>
  <c r="F17" i="114" s="1"/>
  <c r="F16" i="114"/>
  <c r="E16" i="114"/>
  <c r="E15" i="114"/>
  <c r="F15" i="114" s="1"/>
  <c r="F14" i="114"/>
  <c r="F13" i="114"/>
  <c r="E12" i="114"/>
  <c r="F12" i="114" s="1"/>
  <c r="E11" i="114"/>
  <c r="F11" i="114" s="1"/>
  <c r="E10" i="114"/>
  <c r="F10" i="114" s="1"/>
  <c r="G10" i="114" s="1"/>
  <c r="E9" i="114"/>
  <c r="F9" i="114" s="1"/>
  <c r="F8" i="114"/>
  <c r="G8" i="114" s="1"/>
  <c r="E8" i="114"/>
  <c r="C7" i="114"/>
  <c r="E6" i="114"/>
  <c r="F6" i="114" s="1"/>
  <c r="E5" i="114"/>
  <c r="F5" i="114" s="1"/>
  <c r="E4" i="114"/>
  <c r="F4" i="114" s="1"/>
  <c r="C5" i="113"/>
  <c r="I5" i="113" s="1"/>
  <c r="R5" i="113"/>
  <c r="V5" i="113"/>
  <c r="D6" i="113"/>
  <c r="G6" i="113"/>
  <c r="I6" i="113"/>
  <c r="L6" i="113" s="1"/>
  <c r="N6" i="113" s="1"/>
  <c r="U6" i="113"/>
  <c r="D7" i="113"/>
  <c r="G7" i="113"/>
  <c r="I7" i="113"/>
  <c r="L7" i="113" s="1"/>
  <c r="U7" i="113"/>
  <c r="D8" i="113"/>
  <c r="G8" i="113"/>
  <c r="I8" i="113"/>
  <c r="L8" i="113" s="1"/>
  <c r="N8" i="113" s="1"/>
  <c r="U8" i="113"/>
  <c r="C9" i="113"/>
  <c r="I9" i="113" s="1"/>
  <c r="L9" i="113" s="1"/>
  <c r="D9" i="113"/>
  <c r="G9" i="113"/>
  <c r="U9" i="113"/>
  <c r="C10" i="113"/>
  <c r="I10" i="113" s="1"/>
  <c r="L10" i="113" s="1"/>
  <c r="D10" i="113"/>
  <c r="G10" i="113"/>
  <c r="U10" i="113"/>
  <c r="C11" i="113"/>
  <c r="I11" i="113" s="1"/>
  <c r="L11" i="113" s="1"/>
  <c r="U11" i="113"/>
  <c r="S7" i="116" l="1"/>
  <c r="T7" i="116" s="1"/>
  <c r="S25" i="116"/>
  <c r="T25" i="116" s="1"/>
  <c r="O10" i="115"/>
  <c r="S41" i="116"/>
  <c r="T41" i="116" s="1"/>
  <c r="S47" i="116"/>
  <c r="T47" i="116" s="1"/>
  <c r="Q23" i="116"/>
  <c r="S29" i="116"/>
  <c r="T29" i="116" s="1"/>
  <c r="U29" i="116" s="1"/>
  <c r="S35" i="116"/>
  <c r="T35" i="116" s="1"/>
  <c r="S11" i="116"/>
  <c r="T11" i="116" s="1"/>
  <c r="M8" i="115"/>
  <c r="W8" i="115" s="1"/>
  <c r="S17" i="116"/>
  <c r="T17" i="116" s="1"/>
  <c r="O8" i="115"/>
  <c r="M11" i="115"/>
  <c r="R13" i="115"/>
  <c r="Q37" i="116"/>
  <c r="S43" i="116"/>
  <c r="T43" i="116" s="1"/>
  <c r="Q7" i="116"/>
  <c r="Q25" i="116"/>
  <c r="S31" i="116"/>
  <c r="T31" i="116" s="1"/>
  <c r="U25" i="116"/>
  <c r="S5" i="116"/>
  <c r="T5" i="116" s="1"/>
  <c r="T49" i="116" s="1"/>
  <c r="Q11" i="116"/>
  <c r="U11" i="116" s="1"/>
  <c r="S33" i="116"/>
  <c r="T33" i="116" s="1"/>
  <c r="Q45" i="116"/>
  <c r="U45" i="116" s="1"/>
  <c r="U11" i="115"/>
  <c r="V11" i="115" s="1"/>
  <c r="M9" i="115"/>
  <c r="W9" i="115" s="1"/>
  <c r="M12" i="115"/>
  <c r="AB12" i="115" s="1"/>
  <c r="AC12" i="115" s="1"/>
  <c r="AD12" i="115" s="1"/>
  <c r="Q13" i="116"/>
  <c r="O12" i="115"/>
  <c r="S13" i="116"/>
  <c r="T13" i="116" s="1"/>
  <c r="U13" i="116" s="1"/>
  <c r="Q19" i="116"/>
  <c r="O9" i="115"/>
  <c r="U12" i="115"/>
  <c r="V12" i="115" s="1"/>
  <c r="Q47" i="116"/>
  <c r="U47" i="116" s="1"/>
  <c r="U9" i="115"/>
  <c r="V9" i="115" s="1"/>
  <c r="S37" i="116"/>
  <c r="T37" i="116" s="1"/>
  <c r="U37" i="116" s="1"/>
  <c r="Q43" i="116"/>
  <c r="U43" i="116" s="1"/>
  <c r="K49" i="116"/>
  <c r="AE17" i="115"/>
  <c r="Q27" i="116"/>
  <c r="S27" i="116"/>
  <c r="T27" i="116" s="1"/>
  <c r="Q39" i="116"/>
  <c r="U8" i="115"/>
  <c r="V8" i="115" s="1"/>
  <c r="U10" i="115"/>
  <c r="V10" i="115" s="1"/>
  <c r="V13" i="115" s="1"/>
  <c r="U17" i="115" s="1"/>
  <c r="Q5" i="116"/>
  <c r="Q15" i="116"/>
  <c r="U15" i="116" s="1"/>
  <c r="Q33" i="116"/>
  <c r="S39" i="116"/>
  <c r="T39" i="116" s="1"/>
  <c r="U17" i="116"/>
  <c r="G6" i="114"/>
  <c r="U41" i="116"/>
  <c r="U35" i="116"/>
  <c r="G25" i="114"/>
  <c r="U19" i="116"/>
  <c r="U23" i="116"/>
  <c r="P18" i="115"/>
  <c r="P16" i="115"/>
  <c r="P15" i="115"/>
  <c r="P19" i="115"/>
  <c r="G5" i="114"/>
  <c r="G27" i="114"/>
  <c r="G28" i="114"/>
  <c r="G29" i="114"/>
  <c r="U9" i="116"/>
  <c r="G26" i="114"/>
  <c r="G9" i="114"/>
  <c r="W10" i="115"/>
  <c r="AB10" i="115"/>
  <c r="AC10" i="115" s="1"/>
  <c r="AD10" i="115" s="1"/>
  <c r="AE19" i="115"/>
  <c r="U21" i="116"/>
  <c r="U31" i="116"/>
  <c r="F30" i="114"/>
  <c r="G4" i="114"/>
  <c r="W11" i="115"/>
  <c r="AB11" i="115"/>
  <c r="AC11" i="115" s="1"/>
  <c r="AD11" i="115" s="1"/>
  <c r="G20" i="114"/>
  <c r="G11" i="114"/>
  <c r="G19" i="114"/>
  <c r="I13" i="115"/>
  <c r="G15" i="114"/>
  <c r="G16" i="114"/>
  <c r="G12" i="114"/>
  <c r="R7" i="116"/>
  <c r="U7" i="116" s="1"/>
  <c r="G17" i="114"/>
  <c r="G21" i="114"/>
  <c r="G13" i="114"/>
  <c r="G14" i="114"/>
  <c r="G18" i="114"/>
  <c r="G22" i="114"/>
  <c r="N11" i="113"/>
  <c r="Q11" i="113"/>
  <c r="R11" i="113" s="1"/>
  <c r="N10" i="113"/>
  <c r="Q10" i="113"/>
  <c r="R10" i="113" s="1"/>
  <c r="N9" i="113"/>
  <c r="Q9" i="113"/>
  <c r="R9" i="113" s="1"/>
  <c r="N7" i="113"/>
  <c r="Q7" i="113"/>
  <c r="R7" i="113" s="1"/>
  <c r="L5" i="113"/>
  <c r="S5" i="113"/>
  <c r="U5" i="113" s="1"/>
  <c r="U12" i="113" s="1"/>
  <c r="W5" i="113"/>
  <c r="W12" i="113" s="1"/>
  <c r="Q6" i="113"/>
  <c r="Q8" i="113"/>
  <c r="R8" i="113" s="1"/>
  <c r="AB8" i="115" l="1"/>
  <c r="U27" i="116"/>
  <c r="S49" i="116"/>
  <c r="O13" i="115"/>
  <c r="M13" i="115"/>
  <c r="U33" i="116"/>
  <c r="Q49" i="116"/>
  <c r="I53" i="116" s="1"/>
  <c r="I54" i="116" s="1"/>
  <c r="U5" i="116"/>
  <c r="U49" i="116" s="1"/>
  <c r="T53" i="116" s="1"/>
  <c r="T55" i="116" s="1"/>
  <c r="R49" i="116"/>
  <c r="I57" i="116" s="1"/>
  <c r="W12" i="115"/>
  <c r="Y12" i="115" s="1"/>
  <c r="Z12" i="115" s="1"/>
  <c r="AB9" i="115"/>
  <c r="AC9" i="115" s="1"/>
  <c r="AD9" i="115" s="1"/>
  <c r="U39" i="116"/>
  <c r="U15" i="115"/>
  <c r="AC8" i="115"/>
  <c r="AB13" i="115"/>
  <c r="Y8" i="115"/>
  <c r="X8" i="115"/>
  <c r="Y11" i="115"/>
  <c r="Z11" i="115" s="1"/>
  <c r="X11" i="115"/>
  <c r="G30" i="114"/>
  <c r="Y9" i="115"/>
  <c r="Z9" i="115" s="1"/>
  <c r="X9" i="115"/>
  <c r="Y10" i="115"/>
  <c r="Z10" i="115" s="1"/>
  <c r="X10" i="115"/>
  <c r="O53" i="116"/>
  <c r="T56" i="116"/>
  <c r="T58" i="116" s="1"/>
  <c r="O55" i="116"/>
  <c r="N5" i="113"/>
  <c r="L12" i="113"/>
  <c r="R6" i="113"/>
  <c r="R12" i="113" s="1"/>
  <c r="Q12" i="113"/>
  <c r="W13" i="115" l="1"/>
  <c r="Y15" i="115" s="1"/>
  <c r="X12" i="115"/>
  <c r="Z8" i="115"/>
  <c r="Z13" i="115" s="1"/>
  <c r="Y19" i="115" s="1"/>
  <c r="Y13" i="115"/>
  <c r="Y18" i="115" s="1"/>
  <c r="AC13" i="115"/>
  <c r="AD8" i="115"/>
  <c r="AD13" i="115" s="1"/>
  <c r="X13" i="115"/>
  <c r="Y16" i="115" s="1"/>
  <c r="T59" i="116"/>
  <c r="O5" i="113"/>
  <c r="O12" i="113" s="1"/>
  <c r="U15" i="113" s="1"/>
  <c r="N12" i="113"/>
  <c r="Y22" i="115" l="1"/>
  <c r="Y21" i="115"/>
  <c r="U16" i="113"/>
  <c r="U18" i="113"/>
  <c r="G27" i="103" l="1"/>
  <c r="C9" i="85" l="1"/>
  <c r="E16" i="111"/>
  <c r="C9" i="90"/>
  <c r="C8" i="90"/>
  <c r="C7" i="90"/>
  <c r="K16" i="111"/>
  <c r="B16" i="111"/>
  <c r="K11" i="111"/>
  <c r="E13" i="111" s="1"/>
  <c r="F11" i="111"/>
  <c r="F12" i="111" s="1"/>
  <c r="E11" i="111"/>
  <c r="E12" i="111" s="1"/>
  <c r="D11" i="111"/>
  <c r="D12" i="111" s="1"/>
  <c r="F9" i="111"/>
  <c r="E9" i="111"/>
  <c r="D9" i="111"/>
  <c r="J6" i="111"/>
  <c r="I6" i="111"/>
  <c r="G6" i="111"/>
  <c r="J5" i="111"/>
  <c r="I5" i="111"/>
  <c r="G5" i="111"/>
  <c r="J4" i="111"/>
  <c r="I4" i="111"/>
  <c r="G4" i="111"/>
  <c r="E14" i="111" l="1"/>
  <c r="K5" i="111" s="1"/>
  <c r="M5" i="111" s="1"/>
  <c r="F13" i="111"/>
  <c r="F14" i="111" s="1"/>
  <c r="K6" i="111" s="1"/>
  <c r="D13" i="111"/>
  <c r="D14" i="111" s="1"/>
  <c r="K4" i="111" s="1"/>
  <c r="L5" i="111" l="1"/>
  <c r="M6" i="111"/>
  <c r="L6" i="111"/>
  <c r="M4" i="111"/>
  <c r="L4" i="111"/>
  <c r="H7" i="103" l="1"/>
  <c r="H8" i="103"/>
  <c r="H9" i="103"/>
  <c r="H10" i="103"/>
  <c r="H11" i="103"/>
  <c r="H12" i="103"/>
  <c r="L7" i="99"/>
  <c r="L8" i="99"/>
  <c r="C8" i="109"/>
  <c r="D8" i="109"/>
  <c r="E5" i="109"/>
  <c r="G5" i="109"/>
  <c r="I5" i="109"/>
  <c r="J5" i="109" s="1"/>
  <c r="K5" i="109" s="1"/>
  <c r="M5" i="109"/>
  <c r="O5" i="109" s="1"/>
  <c r="N5" i="109"/>
  <c r="Q5" i="109"/>
  <c r="R5" i="109" s="1"/>
  <c r="C26" i="85"/>
  <c r="G18" i="103"/>
  <c r="K9" i="104"/>
  <c r="G9" i="104"/>
  <c r="J9" i="104" s="1"/>
  <c r="K8" i="104"/>
  <c r="J8" i="104"/>
  <c r="E7" i="104"/>
  <c r="K6" i="104"/>
  <c r="J6" i="104"/>
  <c r="P30" i="101"/>
  <c r="Q28" i="101"/>
  <c r="S28" i="101" s="1"/>
  <c r="R28" i="101"/>
  <c r="T28" i="101" s="1"/>
  <c r="Q29" i="101"/>
  <c r="S29" i="101" s="1"/>
  <c r="R29" i="101"/>
  <c r="T29" i="101" s="1"/>
  <c r="AI7" i="99"/>
  <c r="S7" i="99"/>
  <c r="J10" i="104" l="1"/>
  <c r="K10" i="104"/>
  <c r="L5" i="109"/>
  <c r="I7" i="104"/>
  <c r="Q8" i="101"/>
  <c r="Q9" i="101"/>
  <c r="Q10" i="101"/>
  <c r="Q11" i="101"/>
  <c r="Q12" i="101"/>
  <c r="Q13" i="101"/>
  <c r="Q14" i="101"/>
  <c r="Q15" i="101"/>
  <c r="Q16" i="101"/>
  <c r="Q17" i="101"/>
  <c r="Q18" i="101"/>
  <c r="Q19" i="101"/>
  <c r="Q20" i="101"/>
  <c r="Q21" i="101"/>
  <c r="Q22" i="101"/>
  <c r="Q23" i="101"/>
  <c r="Q24" i="101"/>
  <c r="Q25" i="101"/>
  <c r="Q26" i="101"/>
  <c r="Q27" i="101"/>
  <c r="Q6" i="101"/>
  <c r="L7" i="104" l="1"/>
  <c r="L10" i="104" s="1"/>
  <c r="U16" i="101"/>
  <c r="S9" i="101"/>
  <c r="Q7" i="101"/>
  <c r="S7" i="101" s="1"/>
  <c r="S6" i="101"/>
  <c r="R6" i="101"/>
  <c r="T6" i="101" s="1"/>
  <c r="R7" i="101"/>
  <c r="T7" i="101" s="1"/>
  <c r="AF16" i="101"/>
  <c r="X16" i="101"/>
  <c r="AF14" i="101"/>
  <c r="X14" i="101"/>
  <c r="U14" i="101"/>
  <c r="V14" i="101" s="1"/>
  <c r="AF12" i="101"/>
  <c r="X12" i="101"/>
  <c r="U12" i="101"/>
  <c r="AF10" i="101"/>
  <c r="X10" i="101"/>
  <c r="U10" i="101"/>
  <c r="V10" i="101" s="1"/>
  <c r="AF8" i="101"/>
  <c r="X8" i="101"/>
  <c r="U8" i="101"/>
  <c r="AF6" i="101"/>
  <c r="X6" i="101"/>
  <c r="U6" i="101"/>
  <c r="V6" i="101" s="1"/>
  <c r="R27" i="101"/>
  <c r="T27" i="101" s="1"/>
  <c r="S27" i="101"/>
  <c r="R26" i="101"/>
  <c r="T26" i="101" s="1"/>
  <c r="S26" i="101"/>
  <c r="R25" i="101"/>
  <c r="T25" i="101" s="1"/>
  <c r="S25" i="101"/>
  <c r="R24" i="101"/>
  <c r="T24" i="101" s="1"/>
  <c r="S24" i="101"/>
  <c r="R23" i="101"/>
  <c r="T23" i="101" s="1"/>
  <c r="S23" i="101"/>
  <c r="R22" i="101"/>
  <c r="T22" i="101" s="1"/>
  <c r="S22" i="101"/>
  <c r="R21" i="101"/>
  <c r="T21" i="101" s="1"/>
  <c r="S21" i="101"/>
  <c r="R20" i="101"/>
  <c r="T20" i="101" s="1"/>
  <c r="S20" i="101"/>
  <c r="R19" i="101"/>
  <c r="T19" i="101" s="1"/>
  <c r="S19" i="101"/>
  <c r="R18" i="101"/>
  <c r="T18" i="101" s="1"/>
  <c r="S18" i="101"/>
  <c r="R17" i="101"/>
  <c r="T17" i="101" s="1"/>
  <c r="S17" i="101"/>
  <c r="R16" i="101"/>
  <c r="T16" i="101" s="1"/>
  <c r="S16" i="101"/>
  <c r="S15" i="101"/>
  <c r="R15" i="101"/>
  <c r="T15" i="101" s="1"/>
  <c r="R14" i="101"/>
  <c r="T14" i="101" s="1"/>
  <c r="S14" i="101"/>
  <c r="R13" i="101"/>
  <c r="T13" i="101" s="1"/>
  <c r="S13" i="101"/>
  <c r="R12" i="101"/>
  <c r="T12" i="101" s="1"/>
  <c r="S12" i="101"/>
  <c r="R11" i="101"/>
  <c r="T11" i="101" s="1"/>
  <c r="S11" i="101"/>
  <c r="R10" i="101"/>
  <c r="T10" i="101" s="1"/>
  <c r="S10" i="101"/>
  <c r="R9" i="101"/>
  <c r="T9" i="101" s="1"/>
  <c r="R8" i="101"/>
  <c r="T8" i="101" s="1"/>
  <c r="S8" i="101"/>
  <c r="L5" i="110"/>
  <c r="H15" i="103"/>
  <c r="Y16" i="101" l="1"/>
  <c r="Z16" i="101" s="1"/>
  <c r="AG16" i="101" s="1"/>
  <c r="Y14" i="101"/>
  <c r="Z14" i="101" s="1"/>
  <c r="AA14" i="101" s="1"/>
  <c r="Y6" i="101"/>
  <c r="Z6" i="101" s="1"/>
  <c r="AC6" i="101" s="1"/>
  <c r="AE6" i="101" s="1"/>
  <c r="Y12" i="101"/>
  <c r="Z12" i="101" s="1"/>
  <c r="AG12" i="101" s="1"/>
  <c r="Y8" i="101"/>
  <c r="Z8" i="101" s="1"/>
  <c r="AC8" i="101" s="1"/>
  <c r="AE8" i="101" s="1"/>
  <c r="Y10" i="101"/>
  <c r="Z10" i="101" s="1"/>
  <c r="AG10" i="101" s="1"/>
  <c r="V8" i="101"/>
  <c r="V12" i="101"/>
  <c r="AG14" i="101" l="1"/>
  <c r="AC14" i="101"/>
  <c r="AE14" i="101" s="1"/>
  <c r="AH14" i="101" s="1"/>
  <c r="AG6" i="101"/>
  <c r="AH6" i="101" s="1"/>
  <c r="AA6" i="101"/>
  <c r="AC16" i="101"/>
  <c r="AE16" i="101" s="1"/>
  <c r="AH16" i="101" s="1"/>
  <c r="AA16" i="101"/>
  <c r="AA8" i="101"/>
  <c r="AG8" i="101"/>
  <c r="AH8" i="101" s="1"/>
  <c r="V16" i="101"/>
  <c r="AC12" i="101"/>
  <c r="AE12" i="101" s="1"/>
  <c r="AH12" i="101" s="1"/>
  <c r="AA12" i="101"/>
  <c r="AC10" i="101"/>
  <c r="AE10" i="101" s="1"/>
  <c r="AH10" i="101" s="1"/>
  <c r="AA10" i="101"/>
  <c r="E16" i="9" l="1"/>
  <c r="F16" i="9" s="1"/>
  <c r="U16" i="115" s="1"/>
  <c r="E13" i="9"/>
  <c r="F13" i="9" s="1"/>
  <c r="F12" i="9"/>
  <c r="F14" i="9"/>
  <c r="D33" i="114" s="1"/>
  <c r="F15" i="9"/>
  <c r="F11" i="9"/>
  <c r="F7" i="9"/>
  <c r="Y23" i="115" s="1"/>
  <c r="E10" i="9"/>
  <c r="F10" i="9" s="1"/>
  <c r="E9" i="9"/>
  <c r="F9" i="9" s="1"/>
  <c r="Y17" i="115" s="1"/>
  <c r="H9" i="90"/>
  <c r="E8" i="9" s="1"/>
  <c r="F8" i="9" s="1"/>
  <c r="Y20" i="115" s="1"/>
  <c r="H8" i="90"/>
  <c r="H7" i="90"/>
  <c r="J7" i="90" s="1"/>
  <c r="I9" i="90"/>
  <c r="I7" i="90"/>
  <c r="J6" i="90"/>
  <c r="I6" i="90"/>
  <c r="J4" i="90"/>
  <c r="I4" i="90"/>
  <c r="J13" i="104" l="1"/>
  <c r="I55" i="116"/>
  <c r="I56" i="116" s="1"/>
  <c r="P17" i="115"/>
  <c r="D34" i="114"/>
  <c r="D35" i="114"/>
  <c r="D32" i="114"/>
  <c r="AE18" i="115"/>
  <c r="U17" i="113"/>
  <c r="O57" i="116"/>
  <c r="O56" i="116" s="1"/>
  <c r="J9" i="90"/>
  <c r="C11" i="109"/>
  <c r="P5" i="109" s="1"/>
  <c r="D35" i="85"/>
  <c r="C12" i="109"/>
  <c r="K10" i="99"/>
  <c r="Q6" i="109"/>
  <c r="M6" i="109"/>
  <c r="I6" i="109"/>
  <c r="G6" i="109"/>
  <c r="E6" i="109"/>
  <c r="H8" i="114" l="1"/>
  <c r="H10" i="114"/>
  <c r="H19" i="114"/>
  <c r="H4" i="114"/>
  <c r="H28" i="114"/>
  <c r="H29" i="114"/>
  <c r="H15" i="114"/>
  <c r="H23" i="114"/>
  <c r="H18" i="114"/>
  <c r="H14" i="114"/>
  <c r="H21" i="114"/>
  <c r="H27" i="114"/>
  <c r="H24" i="114"/>
  <c r="H25" i="114"/>
  <c r="H17" i="114"/>
  <c r="H9" i="114"/>
  <c r="H20" i="114"/>
  <c r="H12" i="114"/>
  <c r="H16" i="114"/>
  <c r="H5" i="114"/>
  <c r="H13" i="114"/>
  <c r="H26" i="114"/>
  <c r="H22" i="114"/>
  <c r="H11" i="114"/>
  <c r="H6" i="114"/>
  <c r="D37" i="85"/>
  <c r="D36" i="85"/>
  <c r="J6" i="109"/>
  <c r="N6" i="109"/>
  <c r="S5" i="109"/>
  <c r="T5" i="109"/>
  <c r="R6" i="109"/>
  <c r="S6" i="109"/>
  <c r="T6" i="109"/>
  <c r="O6" i="109"/>
  <c r="AJ12" i="99"/>
  <c r="AI12" i="99"/>
  <c r="X8" i="99"/>
  <c r="X9" i="99"/>
  <c r="X10" i="99"/>
  <c r="W8" i="99"/>
  <c r="W9" i="99"/>
  <c r="W10" i="99"/>
  <c r="W11" i="99"/>
  <c r="T8" i="99"/>
  <c r="Q12" i="99"/>
  <c r="R12" i="99"/>
  <c r="O7" i="99"/>
  <c r="O8" i="99"/>
  <c r="K8" i="99"/>
  <c r="I8" i="99"/>
  <c r="I11" i="99"/>
  <c r="K11" i="99"/>
  <c r="O11" i="99"/>
  <c r="S11" i="99"/>
  <c r="T11" i="99"/>
  <c r="X11" i="99"/>
  <c r="N5" i="110"/>
  <c r="N6" i="110"/>
  <c r="K7" i="110"/>
  <c r="N4" i="110"/>
  <c r="J7" i="110"/>
  <c r="O7" i="110"/>
  <c r="W7" i="110"/>
  <c r="Y7" i="110"/>
  <c r="Z7" i="110"/>
  <c r="AA7" i="110"/>
  <c r="AB7" i="110"/>
  <c r="AE7" i="110"/>
  <c r="AF7" i="110"/>
  <c r="W9" i="110"/>
  <c r="W10" i="110"/>
  <c r="G38" i="103"/>
  <c r="H38" i="103" s="1"/>
  <c r="H30" i="114" l="1"/>
  <c r="AD4" i="110"/>
  <c r="AG4" i="110" s="1"/>
  <c r="S4" i="110"/>
  <c r="U4" i="110" s="1"/>
  <c r="AC4" i="110" s="1"/>
  <c r="AD6" i="110"/>
  <c r="AH6" i="110" s="1"/>
  <c r="AI6" i="110" s="1"/>
  <c r="S6" i="110"/>
  <c r="U6" i="110" s="1"/>
  <c r="AC6" i="110" s="1"/>
  <c r="AD5" i="110"/>
  <c r="AH5" i="110" s="1"/>
  <c r="AI5" i="110" s="1"/>
  <c r="S5" i="110"/>
  <c r="U5" i="110" s="1"/>
  <c r="AC5" i="110" s="1"/>
  <c r="P8" i="99"/>
  <c r="Z8" i="99"/>
  <c r="AA8" i="99" s="1"/>
  <c r="Z11" i="99"/>
  <c r="AA11" i="99" s="1"/>
  <c r="N8" i="99"/>
  <c r="AB8" i="99" s="1"/>
  <c r="AC8" i="99" s="1"/>
  <c r="P11" i="99"/>
  <c r="N11" i="99"/>
  <c r="L7" i="110"/>
  <c r="AH4" i="110"/>
  <c r="AI4" i="110" s="1"/>
  <c r="Q4" i="110"/>
  <c r="Q6" i="110"/>
  <c r="Q5" i="110"/>
  <c r="AG6" i="110" l="1"/>
  <c r="AG5" i="110"/>
  <c r="AC7" i="110"/>
  <c r="U7" i="110"/>
  <c r="C13" i="110" s="1"/>
  <c r="S7" i="110"/>
  <c r="AE8" i="99"/>
  <c r="AF8" i="99" s="1"/>
  <c r="AG8" i="99" s="1"/>
  <c r="N7" i="110"/>
  <c r="AE11" i="99"/>
  <c r="AF11" i="99" s="1"/>
  <c r="AG11" i="99" s="1"/>
  <c r="AB11" i="99"/>
  <c r="AC11" i="99" s="1"/>
  <c r="AI7" i="110"/>
  <c r="Q7" i="110"/>
  <c r="AG7" i="110" l="1"/>
  <c r="C10" i="110" s="1"/>
  <c r="AD7" i="110"/>
  <c r="AH7" i="110"/>
  <c r="C12" i="110" l="1"/>
  <c r="C11" i="110"/>
  <c r="C9" i="110"/>
  <c r="M12" i="99"/>
  <c r="W6" i="99"/>
  <c r="T6" i="99"/>
  <c r="O6" i="99"/>
  <c r="I6" i="99"/>
  <c r="G51" i="103"/>
  <c r="C9" i="109"/>
  <c r="P6" i="109"/>
  <c r="C10" i="109"/>
  <c r="F5" i="109" s="1"/>
  <c r="H8" i="109"/>
  <c r="Q7" i="109"/>
  <c r="Q8" i="109" s="1"/>
  <c r="M7" i="109"/>
  <c r="I7" i="109"/>
  <c r="G7" i="109"/>
  <c r="G8" i="109" s="1"/>
  <c r="E7" i="109"/>
  <c r="E8" i="109" s="1"/>
  <c r="J7" i="109" l="1"/>
  <c r="J8" i="109" s="1"/>
  <c r="I8" i="109"/>
  <c r="O7" i="109"/>
  <c r="O8" i="109" s="1"/>
  <c r="M8" i="109"/>
  <c r="K7" i="109"/>
  <c r="R7" i="109"/>
  <c r="R8" i="109" s="1"/>
  <c r="T7" i="109"/>
  <c r="T8" i="109" s="1"/>
  <c r="S7" i="109"/>
  <c r="S8" i="109" s="1"/>
  <c r="L6" i="109"/>
  <c r="K6" i="109"/>
  <c r="L7" i="109"/>
  <c r="F6" i="109"/>
  <c r="L12" i="99"/>
  <c r="P6" i="99"/>
  <c r="F7" i="109"/>
  <c r="P7" i="109"/>
  <c r="P8" i="109" s="1"/>
  <c r="N7" i="109"/>
  <c r="N8" i="109" s="1"/>
  <c r="F8" i="109" l="1"/>
  <c r="K8" i="109"/>
  <c r="L8" i="109"/>
  <c r="X7" i="99"/>
  <c r="X6" i="99"/>
  <c r="T10" i="99"/>
  <c r="T9" i="99"/>
  <c r="T7" i="99"/>
  <c r="G46" i="103" l="1"/>
  <c r="G50" i="103" l="1"/>
  <c r="H50" i="103" s="1"/>
  <c r="C32" i="101"/>
  <c r="AC40" i="101" s="1"/>
  <c r="F50" i="103"/>
  <c r="G52" i="103" s="1"/>
  <c r="F46" i="103"/>
  <c r="F47" i="103" s="1"/>
  <c r="H45" i="103"/>
  <c r="H44" i="103"/>
  <c r="H43" i="103"/>
  <c r="H42" i="103"/>
  <c r="H41" i="103"/>
  <c r="H40" i="103"/>
  <c r="G39" i="103"/>
  <c r="H39" i="103" s="1"/>
  <c r="H37" i="103"/>
  <c r="H36" i="103"/>
  <c r="H26" i="103"/>
  <c r="G31" i="103" s="1"/>
  <c r="H25" i="103"/>
  <c r="G32" i="103" s="1"/>
  <c r="H24" i="103"/>
  <c r="H23" i="103"/>
  <c r="H22" i="103"/>
  <c r="H21" i="103"/>
  <c r="H20" i="103"/>
  <c r="H19" i="103"/>
  <c r="E18" i="103"/>
  <c r="H18" i="103" s="1"/>
  <c r="H17" i="103"/>
  <c r="H16" i="103"/>
  <c r="H6" i="103"/>
  <c r="H5" i="103"/>
  <c r="H4" i="103"/>
  <c r="AB6" i="101" l="1"/>
  <c r="AB8" i="101"/>
  <c r="AB14" i="101"/>
  <c r="AB16" i="101"/>
  <c r="AB12" i="101"/>
  <c r="AB10" i="101"/>
  <c r="J12" i="104"/>
  <c r="J14" i="104" s="1"/>
  <c r="G28" i="103"/>
  <c r="G29" i="103"/>
  <c r="G30" i="103"/>
  <c r="S6" i="99" l="1"/>
  <c r="X30" i="101"/>
  <c r="O30" i="101"/>
  <c r="N30" i="101"/>
  <c r="L30" i="101"/>
  <c r="K30" i="101"/>
  <c r="M30" i="101" l="1"/>
  <c r="S30" i="101"/>
  <c r="T30" i="101"/>
  <c r="J30" i="101"/>
  <c r="AG30" i="101" l="1"/>
  <c r="U30" i="101"/>
  <c r="W36" i="101" s="1"/>
  <c r="Y30" i="101"/>
  <c r="V30" i="101"/>
  <c r="W37" i="101" s="1"/>
  <c r="Z30" i="101"/>
  <c r="AH39" i="101" l="1"/>
  <c r="AH41" i="101" s="1"/>
  <c r="AC38" i="101"/>
  <c r="AC36" i="101"/>
  <c r="AC39" i="101"/>
  <c r="AA30" i="101"/>
  <c r="AE30" i="101"/>
  <c r="AH30" i="101"/>
  <c r="AH36" i="101" s="1"/>
  <c r="AH38" i="101" s="1"/>
  <c r="AC30" i="101"/>
  <c r="K6" i="99"/>
  <c r="I7" i="99"/>
  <c r="Z7" i="99" s="1"/>
  <c r="K7" i="99"/>
  <c r="W7" i="99"/>
  <c r="I9" i="99"/>
  <c r="Z9" i="99" s="1"/>
  <c r="AA9" i="99" s="1"/>
  <c r="K9" i="99"/>
  <c r="O9" i="99"/>
  <c r="S9" i="99"/>
  <c r="I10" i="99"/>
  <c r="Z10" i="99" s="1"/>
  <c r="AA10" i="99" s="1"/>
  <c r="O10" i="99"/>
  <c r="S10" i="99"/>
  <c r="R14" i="99"/>
  <c r="AH12" i="99"/>
  <c r="AI14" i="99" s="1"/>
  <c r="AI15" i="99"/>
  <c r="AI18" i="99" l="1"/>
  <c r="AH42" i="101"/>
  <c r="N10" i="99"/>
  <c r="I12" i="99"/>
  <c r="D5" i="10" s="1"/>
  <c r="AE10" i="99"/>
  <c r="AF10" i="99" s="1"/>
  <c r="AG10" i="99" s="1"/>
  <c r="AB10" i="99"/>
  <c r="AC10" i="99" s="1"/>
  <c r="S12" i="99"/>
  <c r="W12" i="99"/>
  <c r="AI16" i="99"/>
  <c r="AI17" i="99"/>
  <c r="Z6" i="99"/>
  <c r="AA6" i="99" s="1"/>
  <c r="R15" i="99"/>
  <c r="P7" i="99"/>
  <c r="N7" i="99"/>
  <c r="N9" i="99"/>
  <c r="P9" i="99"/>
  <c r="N6" i="99"/>
  <c r="P10" i="99"/>
  <c r="R16" i="99"/>
  <c r="R19" i="99" l="1"/>
  <c r="R18" i="99"/>
  <c r="AB9" i="99"/>
  <c r="AC9" i="99" s="1"/>
  <c r="AE9" i="99"/>
  <c r="AF9" i="99" s="1"/>
  <c r="AG9" i="99" s="1"/>
  <c r="N12" i="99"/>
  <c r="P12" i="99"/>
  <c r="Z12" i="99"/>
  <c r="AA7" i="99"/>
  <c r="AA12" i="99" s="1"/>
  <c r="Z15" i="99" s="1"/>
  <c r="AB7" i="99"/>
  <c r="V16" i="99"/>
  <c r="V17" i="99"/>
  <c r="V15" i="99"/>
  <c r="V14" i="99"/>
  <c r="AE7" i="99"/>
  <c r="R17" i="99"/>
  <c r="AE6" i="99"/>
  <c r="AF6" i="99" s="1"/>
  <c r="AB6" i="99"/>
  <c r="AC6" i="99" s="1"/>
  <c r="Z17" i="99" l="1"/>
  <c r="Z16" i="99"/>
  <c r="AE12" i="99"/>
  <c r="AC7" i="99"/>
  <c r="AC12" i="99" s="1"/>
  <c r="AE15" i="99" s="1"/>
  <c r="AB12" i="99"/>
  <c r="AF7" i="99"/>
  <c r="AF12" i="99" s="1"/>
  <c r="AE18" i="99" s="1"/>
  <c r="AG6" i="99"/>
  <c r="Z18" i="99" l="1"/>
  <c r="AG7" i="99"/>
  <c r="AG12" i="99" s="1"/>
  <c r="AE17" i="99"/>
  <c r="AE14" i="99"/>
  <c r="F14" i="90" l="1"/>
  <c r="F15" i="90" s="1"/>
  <c r="F17" i="90" s="1"/>
  <c r="E14" i="90"/>
  <c r="E15" i="90" s="1"/>
  <c r="E17" i="90" s="1"/>
  <c r="D15" i="90"/>
  <c r="D17" i="90" s="1"/>
  <c r="G9" i="90"/>
  <c r="G8" i="90"/>
  <c r="G7" i="90"/>
  <c r="G6" i="90"/>
  <c r="G5" i="90"/>
  <c r="G4" i="90"/>
  <c r="K7" i="90" l="1"/>
  <c r="M7" i="90" s="1"/>
  <c r="K4" i="90"/>
  <c r="L4" i="90" s="1"/>
  <c r="K5" i="90"/>
  <c r="L5" i="90" s="1"/>
  <c r="K8" i="90"/>
  <c r="M5" i="90"/>
  <c r="L7" i="90"/>
  <c r="M8" i="90"/>
  <c r="K6" i="90"/>
  <c r="M6" i="90" s="1"/>
  <c r="K9" i="90"/>
  <c r="M9" i="90" s="1"/>
  <c r="L8" i="90"/>
  <c r="L6" i="90"/>
  <c r="L9" i="90" l="1"/>
  <c r="M4" i="90"/>
  <c r="C15" i="85" l="1"/>
  <c r="E31" i="85" l="1"/>
  <c r="F31" i="85" s="1"/>
  <c r="H31" i="85" s="1"/>
  <c r="E30" i="85"/>
  <c r="F30" i="85" s="1"/>
  <c r="H30" i="85" s="1"/>
  <c r="E29" i="85"/>
  <c r="F29" i="85" s="1"/>
  <c r="H29" i="85" s="1"/>
  <c r="E28" i="85"/>
  <c r="F28" i="85" s="1"/>
  <c r="H28" i="85" s="1"/>
  <c r="E27" i="85"/>
  <c r="F27" i="85" s="1"/>
  <c r="H27" i="85" s="1"/>
  <c r="F26" i="85"/>
  <c r="E25" i="85"/>
  <c r="F25" i="85" s="1"/>
  <c r="G25" i="85" s="1"/>
  <c r="E24" i="85"/>
  <c r="F24" i="85" s="1"/>
  <c r="G24" i="85" s="1"/>
  <c r="E23" i="85"/>
  <c r="F23" i="85" s="1"/>
  <c r="G23" i="85" s="1"/>
  <c r="E22" i="85"/>
  <c r="F22" i="85" s="1"/>
  <c r="G22" i="85" s="1"/>
  <c r="E21" i="85"/>
  <c r="F21" i="85" s="1"/>
  <c r="E20" i="85"/>
  <c r="F20" i="85" s="1"/>
  <c r="E19" i="85"/>
  <c r="F19" i="85" s="1"/>
  <c r="E18" i="85"/>
  <c r="F18" i="85" s="1"/>
  <c r="G18" i="85" s="1"/>
  <c r="E17" i="85"/>
  <c r="F17" i="85" s="1"/>
  <c r="G17" i="85" s="1"/>
  <c r="F16" i="85"/>
  <c r="F15" i="85"/>
  <c r="E14" i="85"/>
  <c r="F14" i="85" s="1"/>
  <c r="G14" i="85" s="1"/>
  <c r="E13" i="85"/>
  <c r="F13" i="85" s="1"/>
  <c r="G13" i="85" s="1"/>
  <c r="E12" i="85"/>
  <c r="F12" i="85" s="1"/>
  <c r="G12" i="85" s="1"/>
  <c r="E11" i="85"/>
  <c r="F11" i="85" s="1"/>
  <c r="G11" i="85" s="1"/>
  <c r="E10" i="85"/>
  <c r="F10" i="85" s="1"/>
  <c r="F8" i="85"/>
  <c r="G8" i="85" s="1"/>
  <c r="E7" i="85"/>
  <c r="F7" i="85" s="1"/>
  <c r="G7" i="85" s="1"/>
  <c r="E6" i="85"/>
  <c r="F6" i="85" s="1"/>
  <c r="G6" i="85" s="1"/>
  <c r="E5" i="85"/>
  <c r="F5" i="85" s="1"/>
  <c r="G5" i="85" s="1"/>
  <c r="E4" i="85"/>
  <c r="F4" i="85" s="1"/>
  <c r="G4" i="85" l="1"/>
  <c r="G10" i="85"/>
  <c r="G16" i="85"/>
  <c r="G19" i="85"/>
  <c r="G20" i="85"/>
  <c r="G26" i="85"/>
  <c r="G21" i="85"/>
  <c r="G15" i="85"/>
  <c r="F32" i="85"/>
  <c r="G32" i="85" l="1"/>
  <c r="D4" i="10" l="1"/>
  <c r="F13" i="10" s="1"/>
  <c r="C31" i="101"/>
  <c r="W38" i="101" s="1"/>
  <c r="W39" i="101" s="1"/>
  <c r="W10" i="101" l="1"/>
  <c r="W14" i="101"/>
  <c r="W6" i="101"/>
  <c r="W12" i="101"/>
  <c r="W8" i="101"/>
  <c r="W16" i="101"/>
  <c r="D34" i="85"/>
  <c r="H25" i="85" l="1"/>
  <c r="H23" i="85"/>
  <c r="H11" i="85"/>
  <c r="H6" i="85"/>
  <c r="H5" i="85"/>
  <c r="H22" i="85"/>
  <c r="H17" i="85"/>
  <c r="H12" i="85"/>
  <c r="H24" i="85"/>
  <c r="H18" i="85"/>
  <c r="H14" i="85"/>
  <c r="H13" i="85"/>
  <c r="H7" i="85"/>
  <c r="H8" i="85"/>
  <c r="H4" i="85"/>
  <c r="H10" i="85"/>
  <c r="H16" i="85"/>
  <c r="H19" i="85"/>
  <c r="H20" i="85"/>
  <c r="H26" i="85"/>
  <c r="H15" i="85"/>
  <c r="H21" i="85"/>
  <c r="W30" i="101"/>
  <c r="AB30" i="101"/>
  <c r="H32" i="85" l="1"/>
  <c r="G13" i="10" l="1"/>
  <c r="F12" i="10"/>
  <c r="G12" i="10" s="1"/>
  <c r="F11" i="10"/>
  <c r="G11" i="10" s="1"/>
  <c r="F8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Juliana Honorato</author>
    <author>Jean Dorneles</author>
    <author>tc={89DCCE0D-55B2-4B65-87FC-3B19A81D48DA}</author>
    <author>tc={F4A08C47-3BCF-46D8-9832-4773E918E126}</author>
  </authors>
  <commentList>
    <comment ref="CU11" authorId="0" shapeId="0" xr:uid="{89A1FD81-CBDD-4363-BB15-CA47930961FF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100947
100948</t>
        </r>
      </text>
    </comment>
    <comment ref="CV11" authorId="0" shapeId="0" xr:uid="{297F31AF-A5DC-42D7-9427-69B5DA01BFFF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7781
ASSENT ALTO: 92821
ASSENT BAIXO: 92809</t>
        </r>
      </text>
    </comment>
    <comment ref="CW11" authorId="0" shapeId="0" xr:uid="{C99A63DE-ADB7-47F4-91FE-A1C47CFDAD57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7725
ASSENT ALTO: 92824
ASSENT BAIXO: 92811</t>
        </r>
      </text>
    </comment>
    <comment ref="CX11" authorId="0" shapeId="0" xr:uid="{CEE92CCE-EFA8-4D9A-A4E3-07785F953378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7750
ASSENT ALTO: 92826
ASSENT BAIXO: 92813</t>
        </r>
      </text>
    </comment>
    <comment ref="CY11" authorId="0" shapeId="0" xr:uid="{FA0B8B9F-5CD7-4E0A-AFFA-F378BF3C0029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7753
ASSENT ALTO: 92828
ASSENT BAIXO: 92815</t>
        </r>
      </text>
    </comment>
    <comment ref="CZ11" authorId="0" shapeId="0" xr:uid="{2CE5F043-5CE4-475F-AC4F-8655664D3875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7757
ASSENT ALTO: 92830
ASSENT BAIXO: 92817</t>
        </r>
      </text>
    </comment>
    <comment ref="BJ12" authorId="1" shapeId="0" xr:uid="{CC14CD30-ED87-4264-8291-E0BA5C51F10C}">
      <text>
        <r>
          <rPr>
            <b/>
            <sz val="9"/>
            <color indexed="81"/>
            <rFont val="Segoe UI"/>
            <family val="2"/>
          </rPr>
          <t>Jean Dorneles:
BAIXA INTERF. 
102281
ALTA INTERF.
90099</t>
        </r>
      </text>
    </comment>
    <comment ref="BK12" authorId="1" shapeId="0" xr:uid="{A0E26435-DFBC-41B3-909E-92F3A2CDBCD0}">
      <text>
        <r>
          <rPr>
            <b/>
            <sz val="9"/>
            <color indexed="81"/>
            <rFont val="Segoe UI"/>
            <family val="2"/>
          </rPr>
          <t>Jean Dorneles:
BAIXA INTERF. 
90106
ALTA INTERF.
90100</t>
        </r>
      </text>
    </comment>
    <comment ref="BL12" authorId="1" shapeId="0" xr:uid="{A7F72F09-AECF-4ADC-A0E0-0CDBC927D0CF}">
      <text>
        <r>
          <rPr>
            <b/>
            <sz val="9"/>
            <color indexed="81"/>
            <rFont val="Segoe UI"/>
            <family val="2"/>
          </rPr>
          <t>Jean Dorneles:
BAIXA INTERF. 
90091
ALTA INTERF.
90082</t>
        </r>
      </text>
    </comment>
    <comment ref="BM12" authorId="1" shapeId="0" xr:uid="{47B924BF-B59E-475B-982A-9AE2F3A1D1E6}">
      <text>
        <r>
          <rPr>
            <b/>
            <sz val="9"/>
            <color indexed="81"/>
            <rFont val="Segoe UI"/>
            <family val="2"/>
          </rPr>
          <t>Jean Dorneles:
BAIXA INTERF. 
90107
ALTA INTERF.
90101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N12" authorId="1" shapeId="0" xr:uid="{58D0C18D-5DEE-4456-BD45-46663B1FAD26}">
      <text>
        <r>
          <rPr>
            <b/>
            <sz val="9"/>
            <color indexed="81"/>
            <rFont val="Segoe UI"/>
            <family val="2"/>
          </rPr>
          <t>Jean Dorneles:
BAIXA INTERF. 
90108
ALTA INTERF.
90102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O12" authorId="0" shapeId="0" xr:uid="{DA2B85E7-6F5C-47A8-8440-1F18DE3412B3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BAIXA INTERF.
102281</t>
        </r>
      </text>
    </comment>
    <comment ref="BP12" authorId="1" shapeId="0" xr:uid="{DB9F87AF-E934-45FC-AC8E-228AE11E8DB5}">
      <text>
        <r>
          <rPr>
            <b/>
            <sz val="9"/>
            <color indexed="81"/>
            <rFont val="Segoe UI"/>
            <family val="2"/>
          </rPr>
          <t>Jean Dorneles:
BAIXA INTERF. 
90094
ALTA INTERF.
90086</t>
        </r>
      </text>
    </comment>
    <comment ref="BQ12" authorId="1" shapeId="0" xr:uid="{875E1D83-922F-496B-A043-50B23F30C737}">
      <text>
        <r>
          <rPr>
            <b/>
            <sz val="9"/>
            <color indexed="81"/>
            <rFont val="Segoe UI"/>
            <family val="2"/>
          </rPr>
          <t>Jean Dorneles:
BAIXA INTERF. 
90094
ALTA INTERF.
90086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R12" authorId="0" shapeId="0" xr:uid="{0F043A58-2907-450A-AA75-8E08DDD66699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BAIXA INTERF.
90095</t>
        </r>
      </text>
    </comment>
    <comment ref="BS12" authorId="1" shapeId="0" xr:uid="{9AEBF06E-D5B4-44A6-9679-D9A5326C2B16}">
      <text>
        <r>
          <rPr>
            <b/>
            <sz val="9"/>
            <color indexed="81"/>
            <rFont val="Segoe UI"/>
            <family val="2"/>
          </rPr>
          <t>Jean Dorneles:
BAIXA INTERF. 
90096
ALTA INTERF.
90088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T12" authorId="1" shapeId="0" xr:uid="{FB3DCD8D-EACF-4F22-9515-EADB5FAED8FA}">
      <text>
        <r>
          <rPr>
            <b/>
            <sz val="9"/>
            <color indexed="81"/>
            <rFont val="Segoe UI"/>
            <family val="2"/>
          </rPr>
          <t xml:space="preserve">Jean Dorneles:
BAIXA INTERF. 
90096
ALTA INTERF.
90088
</t>
        </r>
      </text>
    </comment>
    <comment ref="BU12" authorId="1" shapeId="0" xr:uid="{FB85F903-D79A-41E1-8CEC-B12F6EDC8BE7}">
      <text>
        <r>
          <rPr>
            <b/>
            <sz val="9"/>
            <color indexed="81"/>
            <rFont val="Segoe UI"/>
            <family val="2"/>
          </rPr>
          <t xml:space="preserve">Jean Dorneles:
BAIXA INTERF. 
90098
ALTA INTERF.
90090
</t>
        </r>
      </text>
    </comment>
    <comment ref="CA12" authorId="1" shapeId="0" xr:uid="{8C231E9A-8AB8-42E7-AAFF-3003824FF891}">
      <text>
        <r>
          <rPr>
            <b/>
            <sz val="9"/>
            <color indexed="81"/>
            <rFont val="Segoe UI"/>
            <family val="2"/>
          </rPr>
          <t>Jean Dorneles:
BAIXA INTERF. 
94055
ALTA INTERF.
94049</t>
        </r>
      </text>
    </comment>
    <comment ref="CB12" authorId="1" shapeId="0" xr:uid="{CBD189AC-6D18-4193-A77E-06967DEEC544}">
      <text>
        <r>
          <rPr>
            <b/>
            <sz val="9"/>
            <color indexed="81"/>
            <rFont val="Segoe UI"/>
            <family val="2"/>
          </rPr>
          <t>Jean Dorneles:
BAIXA INTERF. 
94056
ALTA INTERF.</t>
        </r>
        <r>
          <rPr>
            <sz val="9"/>
            <color indexed="81"/>
            <rFont val="Segoe UI"/>
            <family val="2"/>
          </rPr>
          <t xml:space="preserve">
94050</t>
        </r>
      </text>
    </comment>
    <comment ref="CC12" authorId="1" shapeId="0" xr:uid="{922718E2-944A-4911-92F4-3095DA888F17}">
      <text>
        <r>
          <rPr>
            <b/>
            <sz val="9"/>
            <color indexed="81"/>
            <rFont val="Segoe UI"/>
            <family val="2"/>
          </rPr>
          <t>Jean Dorneles:
BAIXA INTERF. 
94057
ALTA INTERF.</t>
        </r>
        <r>
          <rPr>
            <sz val="9"/>
            <color indexed="81"/>
            <rFont val="Segoe UI"/>
            <family val="2"/>
          </rPr>
          <t xml:space="preserve">
94051</t>
        </r>
      </text>
    </comment>
    <comment ref="CD12" authorId="0" shapeId="0" xr:uid="{23EFED6D-765D-41AB-A6C4-800E622B8F30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101573</t>
        </r>
      </text>
    </comment>
    <comment ref="CE12" authorId="1" shapeId="0" xr:uid="{DE40BC3E-B1D5-4B24-97DF-D7AC8AA4C287}">
      <text>
        <r>
          <rPr>
            <b/>
            <sz val="9"/>
            <color indexed="81"/>
            <rFont val="Segoe UI"/>
            <family val="2"/>
          </rPr>
          <t>Jean Dorneles:
BAIXA INTERF. 
94059
ALTA INTERF.
94053</t>
        </r>
      </text>
    </comment>
    <comment ref="CF12" authorId="1" shapeId="0" xr:uid="{C5A1A314-2AD0-4D55-B508-029517588C15}">
      <text>
        <r>
          <rPr>
            <b/>
            <sz val="9"/>
            <color indexed="81"/>
            <rFont val="Segoe UI"/>
            <family val="2"/>
          </rPr>
          <t>Jean Dorneles:
BAIXA INTERF. 
94060
ALTA INTERF.
94054</t>
        </r>
      </text>
    </comment>
    <comment ref="CG12" authorId="0" shapeId="0" xr:uid="{55F28871-9887-4860-9D33-A142A108AFF2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101616</t>
        </r>
      </text>
    </comment>
    <comment ref="CH12" authorId="0" shapeId="0" xr:uid="{8D7FC5B2-1DA0-4E89-8223-E3E35F80D378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101617</t>
        </r>
      </text>
    </comment>
    <comment ref="AV35" authorId="2" shapeId="0" xr:uid="{89DCCE0D-55B2-4B65-87FC-3B19A81D48DA}">
      <text>
        <r>
          <rPr>
            <sz val="10"/>
            <color rgb="FF000000"/>
            <rFont val="Times New Roman"/>
            <charset val="204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Verificar se tem tubo de PEAD</t>
        </r>
      </text>
    </comment>
    <comment ref="AV36" authorId="3" shapeId="0" xr:uid="{F4A08C47-3BCF-46D8-9832-4773E918E126}">
      <text>
        <r>
          <rPr>
            <sz val="10"/>
            <color rgb="FF000000"/>
            <rFont val="Times New Roman"/>
            <charset val="204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Verificar se tem tubo de PEAD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Juliana Honorato</author>
    <author>Jean Dorneles</author>
  </authors>
  <commentList>
    <comment ref="CZ11" authorId="0" shapeId="0" xr:uid="{06BC30E6-D4A1-4763-80B3-03E59965DFFE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100947
100948</t>
        </r>
      </text>
    </comment>
    <comment ref="DA11" authorId="0" shapeId="0" xr:uid="{E4A94316-840D-48C4-9663-68A257084C58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7781
ASSENT ALTO: 92821
ASSENT BAIXO: 92809</t>
        </r>
      </text>
    </comment>
    <comment ref="DB11" authorId="0" shapeId="0" xr:uid="{80EDB12D-DB76-4253-A0D5-EB47E05B23BE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7725
ASSENT ALTO: 92824
ASSENT BAIXO: 92811</t>
        </r>
      </text>
    </comment>
    <comment ref="DC11" authorId="0" shapeId="0" xr:uid="{40F6E1EB-B367-429D-94B2-F45F3DF44534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7725
ASSENT ALTO: 92824
ASSENT BAIXO: 92811</t>
        </r>
      </text>
    </comment>
    <comment ref="DD11" authorId="0" shapeId="0" xr:uid="{5FA7BA92-AE46-4187-8B14-E9C7609CF5CD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7750
ASSENT ALTO: 92826
ASSENT BAIXO: 92813</t>
        </r>
      </text>
    </comment>
    <comment ref="DE11" authorId="0" shapeId="0" xr:uid="{B92FBD3B-468D-441B-9D08-B0E7F072BCB1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7753
ASSENT ALTO: 92828
ASSENT BAIXO: 92815</t>
        </r>
      </text>
    </comment>
    <comment ref="DF11" authorId="0" shapeId="0" xr:uid="{CF9855BE-1A07-4CB1-B8B6-DE2D0CA13B48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INSUMO: 7757
ASSENT ALTO: 92830
ASSENT BAIXO: 92817</t>
        </r>
      </text>
    </comment>
    <comment ref="BJ12" authorId="1" shapeId="0" xr:uid="{D393471F-7BC3-4BE8-A4BF-C90A2B42AA40}">
      <text>
        <r>
          <rPr>
            <b/>
            <sz val="9"/>
            <color indexed="81"/>
            <rFont val="Segoe UI"/>
            <family val="2"/>
          </rPr>
          <t>Jean Dorneles:
BAIXA INTERF. 
102281
ALTA INTERF.
90099</t>
        </r>
      </text>
    </comment>
    <comment ref="BK12" authorId="1" shapeId="0" xr:uid="{FE38E218-B700-4E6B-A500-CCAC0DE626E0}">
      <text>
        <r>
          <rPr>
            <b/>
            <sz val="9"/>
            <color indexed="81"/>
            <rFont val="Segoe UI"/>
            <family val="2"/>
          </rPr>
          <t>Jean Dorneles:
BAIXA INTERF. 
90106
ALTA INTERF.
90100</t>
        </r>
      </text>
    </comment>
    <comment ref="BL12" authorId="1" shapeId="0" xr:uid="{FA306F6C-C134-488F-A8EA-08C59CCB81C5}">
      <text>
        <r>
          <rPr>
            <b/>
            <sz val="9"/>
            <color indexed="81"/>
            <rFont val="Segoe UI"/>
            <family val="2"/>
          </rPr>
          <t>Jean Dorneles:
BAIXA INTERF. 
90091
ALTA INTERF.
90082</t>
        </r>
      </text>
    </comment>
    <comment ref="BM12" authorId="1" shapeId="0" xr:uid="{8AE93628-5CFE-4F25-99B2-2BFE3B51A9BB}">
      <text>
        <r>
          <rPr>
            <b/>
            <sz val="9"/>
            <color indexed="81"/>
            <rFont val="Segoe UI"/>
            <family val="2"/>
          </rPr>
          <t>Jean Dorneles:
BAIXA INTERF. 
90107
ALTA INTERF.
90101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N12" authorId="1" shapeId="0" xr:uid="{77CE7021-E20F-4BF6-B51B-57BF08F5DE68}">
      <text>
        <r>
          <rPr>
            <b/>
            <sz val="9"/>
            <color indexed="81"/>
            <rFont val="Segoe UI"/>
            <family val="2"/>
          </rPr>
          <t>Jean Dorneles:
BAIXA INTERF. 
90108
ALTA INTERF.
90102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O12" authorId="0" shapeId="0" xr:uid="{A441980F-C597-48A6-ABB1-18B5C0428A0D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BAIXA INTERF.
102281</t>
        </r>
      </text>
    </comment>
    <comment ref="BP12" authorId="1" shapeId="0" xr:uid="{A61D37E8-D170-463E-81DD-5DA63835C450}">
      <text>
        <r>
          <rPr>
            <b/>
            <sz val="9"/>
            <color indexed="81"/>
            <rFont val="Segoe UI"/>
            <family val="2"/>
          </rPr>
          <t>Jean Dorneles:
BAIXA INTERF. 
90094
ALTA INTERF.
90086</t>
        </r>
      </text>
    </comment>
    <comment ref="BQ12" authorId="1" shapeId="0" xr:uid="{88618FF1-0D6C-4236-8C94-DF7B731C2BFC}">
      <text>
        <r>
          <rPr>
            <b/>
            <sz val="9"/>
            <color indexed="81"/>
            <rFont val="Segoe UI"/>
            <family val="2"/>
          </rPr>
          <t>Jean Dorneles:
BAIXA INTERF. 
90094
ALTA INTERF.
90086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R12" authorId="0" shapeId="0" xr:uid="{4E837FED-CA8C-4232-8FCC-FE093533E102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BAIXA INTERF.
90095</t>
        </r>
      </text>
    </comment>
    <comment ref="BS12" authorId="1" shapeId="0" xr:uid="{49C93BFD-856C-4AD6-941E-988F74A80330}">
      <text>
        <r>
          <rPr>
            <b/>
            <sz val="9"/>
            <color indexed="81"/>
            <rFont val="Segoe UI"/>
            <family val="2"/>
          </rPr>
          <t>Jean Dorneles:
BAIXA INTERF. 
90096
ALTA INTERF.
90088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BT12" authorId="1" shapeId="0" xr:uid="{BF684438-841D-44A8-9B33-F7911DD4FCBA}">
      <text>
        <r>
          <rPr>
            <b/>
            <sz val="9"/>
            <color indexed="81"/>
            <rFont val="Segoe UI"/>
            <family val="2"/>
          </rPr>
          <t xml:space="preserve">Jean Dorneles:
BAIXA INTERF. 
90096
ALTA INTERF.
90088
</t>
        </r>
      </text>
    </comment>
    <comment ref="BU12" authorId="1" shapeId="0" xr:uid="{A5CD3139-630A-461E-BDA7-F9BAB747F265}">
      <text>
        <r>
          <rPr>
            <b/>
            <sz val="9"/>
            <color indexed="81"/>
            <rFont val="Segoe UI"/>
            <family val="2"/>
          </rPr>
          <t xml:space="preserve">Jean Dorneles:
BAIXA INTERF. 
90098
ALTA INTERF.
90090
</t>
        </r>
      </text>
    </comment>
    <comment ref="BZ12" authorId="0" shapeId="0" xr:uid="{73B9AB11-0CAC-4B4A-B57C-88925724C6A6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CARGA: 100980</t>
        </r>
      </text>
    </comment>
    <comment ref="CA12" authorId="1" shapeId="0" xr:uid="{573205ED-C1FB-4794-858B-5A94D12F139E}">
      <text>
        <r>
          <rPr>
            <b/>
            <sz val="9"/>
            <color indexed="81"/>
            <rFont val="Segoe UI"/>
            <family val="2"/>
          </rPr>
          <t>Jean Dorneles:
BAIXA INTERF. 
94055
ALTA INTERF.
94049</t>
        </r>
      </text>
    </comment>
    <comment ref="CB12" authorId="1" shapeId="0" xr:uid="{C9610C6A-8499-4C96-986D-1DDE1DD73019}">
      <text>
        <r>
          <rPr>
            <b/>
            <sz val="9"/>
            <color indexed="81"/>
            <rFont val="Segoe UI"/>
            <family val="2"/>
          </rPr>
          <t>Jean Dorneles:
BAIXA INTERF. 
94056
ALTA INTERF.</t>
        </r>
        <r>
          <rPr>
            <sz val="9"/>
            <color indexed="81"/>
            <rFont val="Segoe UI"/>
            <family val="2"/>
          </rPr>
          <t xml:space="preserve">
94050</t>
        </r>
      </text>
    </comment>
    <comment ref="CC12" authorId="1" shapeId="0" xr:uid="{09C4B4F5-86D4-4F61-BB19-3D895A1AF964}">
      <text>
        <r>
          <rPr>
            <b/>
            <sz val="9"/>
            <color indexed="81"/>
            <rFont val="Segoe UI"/>
            <family val="2"/>
          </rPr>
          <t>Jean Dorneles:
BAIXA INTERF. 
94057
ALTA INTERF.</t>
        </r>
        <r>
          <rPr>
            <sz val="9"/>
            <color indexed="81"/>
            <rFont val="Segoe UI"/>
            <family val="2"/>
          </rPr>
          <t xml:space="preserve">
94051</t>
        </r>
      </text>
    </comment>
    <comment ref="CD12" authorId="0" shapeId="0" xr:uid="{B99CFA08-6979-4D29-965C-1F1EA7583DA3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101573</t>
        </r>
      </text>
    </comment>
    <comment ref="CE12" authorId="1" shapeId="0" xr:uid="{9EC94913-FD12-442A-8556-F7B06F78C863}">
      <text>
        <r>
          <rPr>
            <b/>
            <sz val="9"/>
            <color indexed="81"/>
            <rFont val="Segoe UI"/>
            <family val="2"/>
          </rPr>
          <t>Jean Dorneles:
BAIXA INTERF. 
94059
ALTA INTERF.
94053</t>
        </r>
      </text>
    </comment>
    <comment ref="CF12" authorId="1" shapeId="0" xr:uid="{E24AB99D-A387-40DD-BBBD-92DC9FD9FF0C}">
      <text>
        <r>
          <rPr>
            <b/>
            <sz val="9"/>
            <color indexed="81"/>
            <rFont val="Segoe UI"/>
            <family val="2"/>
          </rPr>
          <t>Jean Dorneles:
BAIXA INTERF. 
94060
ALTA INTERF.
94054</t>
        </r>
      </text>
    </comment>
    <comment ref="CG12" authorId="0" shapeId="0" xr:uid="{61C759F6-4ACB-4DDD-B83A-34421ACBD443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101616</t>
        </r>
      </text>
    </comment>
    <comment ref="CH12" authorId="0" shapeId="0" xr:uid="{66342FFD-1361-4159-AEE6-550C59C5D1DE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</t>
        </r>
        <r>
          <rPr>
            <b/>
            <sz val="9"/>
            <color indexed="81"/>
            <rFont val="Segoe UI"/>
            <family val="2"/>
          </rPr>
          <t>101617</t>
        </r>
      </text>
    </comment>
    <comment ref="CO12" authorId="1" shapeId="0" xr:uid="{DD371B9E-EEAE-4FAB-ABAC-D36D6194C8C2}">
      <text>
        <r>
          <rPr>
            <b/>
            <sz val="9"/>
            <color indexed="81"/>
            <rFont val="Segoe UI"/>
            <family val="2"/>
          </rPr>
          <t>Jean Dorneles:
BAIXA INTERF. 
93379
ALTA INTERF.
93375</t>
        </r>
      </text>
    </comment>
    <comment ref="CS12" authorId="1" shapeId="0" xr:uid="{A09B7201-6B84-4DB1-9CF4-AE7D13906303}">
      <text>
        <r>
          <rPr>
            <b/>
            <sz val="9"/>
            <color indexed="81"/>
            <rFont val="Segoe UI"/>
            <family val="2"/>
          </rPr>
          <t>Jean Dorneles:
BAIXA INTERF. 
93369
ALTA INTERF.
93362</t>
        </r>
      </text>
    </comment>
    <comment ref="CV12" authorId="0" shapeId="0" xr:uid="{A64BC70B-4DD6-4927-A7CD-03E75E5257BA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BAIXA INTERF: 93371
ALTA INTERF: 93364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Juliana Honorato</author>
  </authors>
  <commentList>
    <comment ref="O4" authorId="0" shapeId="0" xr:uid="{22506580-98C2-4F5E-8B56-FCFA45B37F22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CONFERIR ÁREA COM A RAMPA DO PROJETO</t>
        </r>
      </text>
    </comment>
    <comment ref="P4" authorId="0" shapeId="0" xr:uid="{A1BE13C1-A28C-4A78-AF15-3906BD2AB2DB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CONFERIR COMPRIMENTO COM A RAMPA DO PROJETO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Juliana Honorato</author>
    <author>tc={9BEB03D0-0B3C-4399-BA08-AE505B4D9020}</author>
  </authors>
  <commentList>
    <comment ref="G4" authorId="0" shapeId="0" xr:uid="{AF3347FA-9083-45E1-BE45-AB7CC109081C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DIVIDIR POR 3</t>
        </r>
      </text>
    </comment>
    <comment ref="G6" authorId="0" shapeId="0" xr:uid="{BF00F902-5764-4F62-B489-037CFA1996F2}">
      <text>
        <r>
          <rPr>
            <b/>
            <sz val="9"/>
            <color indexed="81"/>
            <rFont val="Segoe UI"/>
            <family val="2"/>
          </rPr>
          <t>Juliana Honorato:</t>
        </r>
        <r>
          <rPr>
            <sz val="9"/>
            <color indexed="81"/>
            <rFont val="Segoe UI"/>
            <family val="2"/>
          </rPr>
          <t xml:space="preserve">
DIVIDIR POR 3</t>
        </r>
      </text>
    </comment>
    <comment ref="G32" authorId="1" shapeId="0" xr:uid="{B91E7726-6C35-4C72-9BD1-73273CD8F555}">
      <text>
        <r>
          <rPr>
            <sz val="10"/>
            <color rgb="FF000000"/>
            <rFont val="Times New Roman"/>
            <charset val="204"/>
          </rPr>
          <t>[Comentário encadeado]
Sua versão do Excel permite que você leia este comentário encadeado, no entanto, as edições serão removidas se o arquivo for aberto em uma versão mais recente do Excel. Saiba mais: https://go.microsoft.com/fwlink/?linkid=870924
Comentário:
    Pintura com tinta epóxi</t>
        </r>
      </text>
    </comment>
  </commentList>
</comments>
</file>

<file path=xl/sharedStrings.xml><?xml version="1.0" encoding="utf-8"?>
<sst xmlns="http://schemas.openxmlformats.org/spreadsheetml/2006/main" count="1894" uniqueCount="786">
  <si>
    <t>Total</t>
  </si>
  <si>
    <t>m²</t>
  </si>
  <si>
    <t>m³</t>
  </si>
  <si>
    <t>m</t>
  </si>
  <si>
    <t>Rua</t>
  </si>
  <si>
    <t>Início</t>
  </si>
  <si>
    <t>Fim</t>
  </si>
  <si>
    <t>+</t>
  </si>
  <si>
    <t>m³.km</t>
  </si>
  <si>
    <t xml:space="preserve">QUADRO RESUMO DE DISTÂNCIAS DE TRANSPORTE </t>
  </si>
  <si>
    <t>MATERIAL</t>
  </si>
  <si>
    <t>PERCURSO</t>
  </si>
  <si>
    <t>TRANSPORTE COMERCIAL
(km)</t>
  </si>
  <si>
    <t>DMT TOTAL
(km)</t>
  </si>
  <si>
    <t>ORIGEM</t>
  </si>
  <si>
    <t>DESTINO</t>
  </si>
  <si>
    <t>EMULSÃO ASFÁLTICA 
TIPO RR-2C</t>
  </si>
  <si>
    <t>BRITA, BICA CORRIDA E RACHÃO OU PEDRA DE MÃO</t>
  </si>
  <si>
    <t>TUBOS DE CONCRETO</t>
  </si>
  <si>
    <t>PISO TÁTIL</t>
  </si>
  <si>
    <t>Extensão rede de drenagem</t>
  </si>
  <si>
    <t>Extensão pavimentação asfáltica</t>
  </si>
  <si>
    <t>Serviço</t>
  </si>
  <si>
    <t>Critério</t>
  </si>
  <si>
    <t>Barracão de obra</t>
  </si>
  <si>
    <t>Implantação Asfáltica até 3.000m ou Rede drenagem até 3.000m ou Drenagem + Pavimentação até 4.000m</t>
  </si>
  <si>
    <t>Implantação Asfáltica até 6.000m ou Rede drenagem até 6.000m ou Drenagem + Pavimentação até 8.000m</t>
  </si>
  <si>
    <t>Implantação Asfáltica acima 6.000m ou Rede drenagem acima 6.000m ou Drenagem + Pavimentação acima 8.000m</t>
  </si>
  <si>
    <t>Placa de advertência fundo laranja</t>
  </si>
  <si>
    <r>
      <t xml:space="preserve">2 Placas de (2,0 x 1,125) m² a cada 200,00m de rede ou implantação (aproximandamente uma </t>
    </r>
    <r>
      <rPr>
        <i/>
        <sz val="12"/>
        <rFont val="Calibri"/>
        <family val="2"/>
        <scheme val="minor"/>
      </rPr>
      <t>quadra</t>
    </r>
    <r>
      <rPr>
        <sz val="12"/>
        <rFont val="Calibri"/>
        <family val="2"/>
        <scheme val="minor"/>
      </rPr>
      <t xml:space="preserve"> fechada)</t>
    </r>
  </si>
  <si>
    <t>Tela plástica</t>
  </si>
  <si>
    <t>Rede de drenagem + dreno X 1,20m (Considerando que as redes e dreno sejam executados em 2 etapas, no mínimo)</t>
  </si>
  <si>
    <t>Sinalização noturna</t>
  </si>
  <si>
    <t>Rede de drenagem + dreno (Considerando que as redes e dreno sejam executados em 2 etapas, no mínimo)</t>
  </si>
  <si>
    <t>TOTAL</t>
  </si>
  <si>
    <t>Entre</t>
  </si>
  <si>
    <t>Lado</t>
  </si>
  <si>
    <t>Rampas</t>
  </si>
  <si>
    <t>km</t>
  </si>
  <si>
    <t>t.km</t>
  </si>
  <si>
    <t>-</t>
  </si>
  <si>
    <t>und</t>
  </si>
  <si>
    <t>Tipo</t>
  </si>
  <si>
    <t>ESTE</t>
  </si>
  <si>
    <t>Descrição</t>
  </si>
  <si>
    <t>CIDADE:</t>
  </si>
  <si>
    <t>Tempo de Retorno (anos):</t>
  </si>
  <si>
    <t>a=</t>
  </si>
  <si>
    <r>
      <t>t</t>
    </r>
    <r>
      <rPr>
        <vertAlign val="subscript"/>
        <sz val="10"/>
        <rFont val="Calibri"/>
        <family val="2"/>
        <scheme val="minor"/>
      </rPr>
      <t>c</t>
    </r>
    <r>
      <rPr>
        <sz val="10"/>
        <rFont val="Calibri"/>
        <family val="2"/>
        <scheme val="minor"/>
      </rPr>
      <t>=</t>
    </r>
  </si>
  <si>
    <t>VAR</t>
  </si>
  <si>
    <t>b=</t>
  </si>
  <si>
    <t>c=</t>
  </si>
  <si>
    <r>
      <t>T</t>
    </r>
    <r>
      <rPr>
        <vertAlign val="subscript"/>
        <sz val="10"/>
        <rFont val="Calibri"/>
        <family val="2"/>
        <scheme val="minor"/>
      </rPr>
      <t>r</t>
    </r>
    <r>
      <rPr>
        <sz val="10"/>
        <rFont val="Calibri"/>
        <family val="2"/>
        <scheme val="minor"/>
      </rPr>
      <t>=</t>
    </r>
  </si>
  <si>
    <t>d=</t>
  </si>
  <si>
    <t>TRECHO</t>
  </si>
  <si>
    <t>FH</t>
  </si>
  <si>
    <t>RH/D</t>
  </si>
  <si>
    <t>y/D</t>
  </si>
  <si>
    <t>RH</t>
  </si>
  <si>
    <t>TRECHOS</t>
  </si>
  <si>
    <t>EXTENSÃO</t>
  </si>
  <si>
    <t>TUBULAÇÃO</t>
  </si>
  <si>
    <t>PROFUNDIDADE DA LINHA D'ÁGUA</t>
  </si>
  <si>
    <r>
      <t xml:space="preserve">INCLINAÇÃO TALUDE - </t>
    </r>
    <r>
      <rPr>
        <b/>
        <sz val="8"/>
        <color rgb="FFFF0000"/>
        <rFont val="Calibri"/>
        <family val="2"/>
        <scheme val="minor"/>
      </rPr>
      <t>1:(V)</t>
    </r>
  </si>
  <si>
    <t>PRESENÇA DE ESCORAMENTO</t>
  </si>
  <si>
    <t>PROFUNDIDADE DA VALA</t>
  </si>
  <si>
    <t>LARGURA DA VALA</t>
  </si>
  <si>
    <t>ESCAVAÇÃO 
MECÂNICA</t>
  </si>
  <si>
    <t>BOTA-FORA</t>
  </si>
  <si>
    <t>ESCORAMENTO
(2 x Prof x Ext)</t>
  </si>
  <si>
    <t>PREPARO DE FUNDO DA VALA</t>
  </si>
  <si>
    <t>REATERRO</t>
  </si>
  <si>
    <t>TRANSPORTE DO TUBO</t>
  </si>
  <si>
    <t>TUBOS DN 400MM:</t>
  </si>
  <si>
    <t>TUBOS DN 600MM:</t>
  </si>
  <si>
    <t>TUBOS DN 800MM:</t>
  </si>
  <si>
    <t>TUBOS DN 1000MM:</t>
  </si>
  <si>
    <t>TUBOS DN 1200MM:</t>
  </si>
  <si>
    <t>TUBOS DN 1500MM:</t>
  </si>
  <si>
    <t>SIMPLES</t>
  </si>
  <si>
    <t>ACUMULADA</t>
  </si>
  <si>
    <t>Nº LINHAS</t>
  </si>
  <si>
    <t>DIÂMETRO NOMINAL</t>
  </si>
  <si>
    <t>PS-1 / PA-1 / PA-2 / PVC</t>
  </si>
  <si>
    <t>MONTANTE</t>
  </si>
  <si>
    <t>JUSANTE</t>
  </si>
  <si>
    <t>MÉDIA ENTRE MONTANTE E JUSANTE</t>
  </si>
  <si>
    <t>TOTAL (MÉDIA + BOLSA + LASTRO)</t>
  </si>
  <si>
    <t>INFERIOR (BASE DA VALA)</t>
  </si>
  <si>
    <t>SUPERIOR (TOPO DA VALA)</t>
  </si>
  <si>
    <t>0,00 &lt; PROF ≤ 1,50 (0,00 &lt; LARG  ≤ 0,80)</t>
  </si>
  <si>
    <t>0,00 &lt; PROF ≤ 1,50 (0,80 &lt; LARG ≤ 1,50)</t>
  </si>
  <si>
    <t>0,00 &lt; PROF ≤ 1,50 (1,50 &lt; LARG ≤ 2,50)</t>
  </si>
  <si>
    <t>1,50 &lt; PROF ≤ 3,00 (0,00 &lt; LARG  ≤ 0,80)</t>
  </si>
  <si>
    <t>1,50 &lt; PROF ≤ 3,00 (0,80 &lt; LARG ≤ 1,50)</t>
  </si>
  <si>
    <t>1,50 &lt; PROF ≤ 3,00 (1,50 &lt; LARG ≤ 2,50)</t>
  </si>
  <si>
    <t>3,00 &lt; PROF ≤ 4,50 (0,00 &lt; LARG  ≤ 0,80)</t>
  </si>
  <si>
    <t>3,00 &lt; PROF ≤ 4,50 (0,80 &lt; LARG ≤ 1,50)</t>
  </si>
  <si>
    <t>3,00 &lt; PROF ≤ 4,50 (1,50 &lt; LARG ≤ 2,50)</t>
  </si>
  <si>
    <t>4,50 &lt; PROF ≤ 6,00 (0,00 &lt; LARG  ≤ 0,80)</t>
  </si>
  <si>
    <t>4,50 &lt; PROF ≤ 6,00 (0,80 &lt; LARG ≤ 1,50)</t>
  </si>
  <si>
    <t>4,50 &lt; PROF ≤ 6,00 (1,50 &lt; LARG ≤ 2,50)</t>
  </si>
  <si>
    <t>VOLUME DO TUBO (SEÇÃO EXTERNA)</t>
  </si>
  <si>
    <t>TAXA INSERVÍVEL DO MATERIAL ESCAVADO</t>
  </si>
  <si>
    <t>FATOR DE EMPOLAMENTO MAT. ESCAVADO</t>
  </si>
  <si>
    <t>VOLUME ESCAVADO INSERVÍVEL</t>
  </si>
  <si>
    <t>VOLUME TOTAL BOTA-FORA (EMPOLADO)</t>
  </si>
  <si>
    <t>0,00 &lt; PROF ≤ 1,50 (0,00 &lt; LARG  ≤ 1,50)</t>
  </si>
  <si>
    <t>1,50 &lt; PROF ≤ 3,00 (0,00 &lt; LARG  ≤ 1,50)</t>
  </si>
  <si>
    <t>3,00 &lt; PROF ≤ 4,50 (0,00 &lt; LARG  ≤ 1,50)</t>
  </si>
  <si>
    <t>LARG. DA BASE &lt; 1,50m</t>
  </si>
  <si>
    <t>LARG. DA BASE ≥ 1,50m</t>
  </si>
  <si>
    <t>VOLUME GEOMÉTRICO (BASE &lt; 1,50m)</t>
  </si>
  <si>
    <t>VOLUME GEOMÉTRICO (BASE ≥ 1,50m)</t>
  </si>
  <si>
    <t>TAXA DE EMPOLAMENTO MATER. DA BASE</t>
  </si>
  <si>
    <t>VOLUME EMPOLADO</t>
  </si>
  <si>
    <t>mm</t>
  </si>
  <si>
    <t>%</t>
  </si>
  <si>
    <t>T</t>
  </si>
  <si>
    <t>PS-1</t>
  </si>
  <si>
    <t>Diâmetro</t>
  </si>
  <si>
    <t>Peso linear (t/m)</t>
  </si>
  <si>
    <t>DMT BOTA FORA:</t>
  </si>
  <si>
    <t>DMT BRITA:</t>
  </si>
  <si>
    <t>Coeficiente de Impermeabilização e Fator a</t>
  </si>
  <si>
    <t>Graus de Urbanização</t>
  </si>
  <si>
    <t>Uso do Solo</t>
  </si>
  <si>
    <t>Coeficiente de
Impermeabilidade (C)</t>
  </si>
  <si>
    <t>Fator a</t>
  </si>
  <si>
    <t>Áreas densamente
urbanizadas</t>
  </si>
  <si>
    <t>Zonas residenciais
urbanas</t>
  </si>
  <si>
    <t>Zonas suburbanas</t>
  </si>
  <si>
    <t>Zona Rural</t>
  </si>
  <si>
    <t>Tempo de entrada em áreas urbanas</t>
  </si>
  <si>
    <t>Natureza da área a montante</t>
  </si>
  <si>
    <t>Declividade da sarjeta</t>
  </si>
  <si>
    <t>I &lt;= 3%</t>
  </si>
  <si>
    <t>I &gt; 3%</t>
  </si>
  <si>
    <t>Áreas densamente
construídas</t>
  </si>
  <si>
    <t>10 min</t>
  </si>
  <si>
    <t>5 min</t>
  </si>
  <si>
    <t>Áreas residenciais</t>
  </si>
  <si>
    <t>12 min</t>
  </si>
  <si>
    <t>Parques e jardins</t>
  </si>
  <si>
    <t xml:space="preserve">15 min </t>
  </si>
  <si>
    <t>FH de 0.001 a 0.080</t>
  </si>
  <si>
    <t>Largura
(m)</t>
  </si>
  <si>
    <t>TOTAIS</t>
  </si>
  <si>
    <t>COMPACTAÇÃO ATERRO:</t>
  </si>
  <si>
    <t>CBUQ - COMERCIAL</t>
  </si>
  <si>
    <t>Unidade</t>
  </si>
  <si>
    <t>QUANTIDADE DA SINALIZAÇÃO VERTICAL</t>
  </si>
  <si>
    <t>IDENTIFICAÇÃO DE LOGRADOURO</t>
  </si>
  <si>
    <t>Guia e Sarjeta
 (m)</t>
  </si>
  <si>
    <t>Diâmetro de Projeto 
(m)</t>
  </si>
  <si>
    <t>Diâmetro Comercial 
(m)</t>
  </si>
  <si>
    <t>NOME</t>
  </si>
  <si>
    <t>1) NOSSO USUAL PARA O TALUDE DE ESCAVAÇÃO É 1/4;</t>
  </si>
  <si>
    <t>2) PESO DOS TUBOS SÃO OS MESMOS ADOTADOS PELA DEIURB/AGESUL.</t>
  </si>
  <si>
    <t>QUANTIDADE</t>
  </si>
  <si>
    <t>UNIDADE</t>
  </si>
  <si>
    <t>DMT BOTA-FORA:</t>
  </si>
  <si>
    <t>Espessura
(m)</t>
  </si>
  <si>
    <t>Área
(m²)</t>
  </si>
  <si>
    <t>DMT
(km)</t>
  </si>
  <si>
    <t>Produto</t>
  </si>
  <si>
    <t>EMULSÃO ASFÁLTICA PARA IMPRIMAÇÃO</t>
  </si>
  <si>
    <t>Período</t>
  </si>
  <si>
    <t>UF</t>
  </si>
  <si>
    <t>Custo c/ Pedágio</t>
  </si>
  <si>
    <t>Ida</t>
  </si>
  <si>
    <t>R$/viagem</t>
  </si>
  <si>
    <t>Volta</t>
  </si>
  <si>
    <t>Capacidade da carreta 6 eixos:</t>
  </si>
  <si>
    <t>t/viagem</t>
  </si>
  <si>
    <t>Valor Total:</t>
  </si>
  <si>
    <t>R$/t</t>
  </si>
  <si>
    <t>Pedágio
R$/t</t>
  </si>
  <si>
    <t>Valor
R$/t</t>
  </si>
  <si>
    <t>EXECUÇÃO DE BASE:</t>
  </si>
  <si>
    <t xml:space="preserve">OBRA: </t>
  </si>
  <si>
    <t>Vazão (Deflúvio a escoar):</t>
  </si>
  <si>
    <t>Coeficiente de impermeabilidade (C):</t>
  </si>
  <si>
    <t>Coeficiente de Deflúvio ( f ):</t>
  </si>
  <si>
    <t>EXTENSÃO (m)</t>
  </si>
  <si>
    <t>Vazão Q 
(m³/s)</t>
  </si>
  <si>
    <t>Vazão Q
Existente
(m³/s)</t>
  </si>
  <si>
    <t>tc 
(min)</t>
  </si>
  <si>
    <t>Desnível
(m)</t>
  </si>
  <si>
    <t>Linhas Existentes
(und)</t>
  </si>
  <si>
    <t>Diâmetro Existente
(m)</t>
  </si>
  <si>
    <t>Linhas a Implantar
(und)</t>
  </si>
  <si>
    <t>V 
(m/s)</t>
  </si>
  <si>
    <t>Tirante Normal Y (m)</t>
  </si>
  <si>
    <r>
      <t xml:space="preserve">ESPESSURA LASTRO - BASE DA GALERIA              </t>
    </r>
    <r>
      <rPr>
        <b/>
        <sz val="8"/>
        <color rgb="FFFF0000"/>
        <rFont val="Calibri"/>
        <family val="2"/>
        <scheme val="minor"/>
      </rPr>
      <t>(se for o caso)</t>
    </r>
  </si>
  <si>
    <t>LASTRO COM PREPARO DE FUNDO DE VALA (BASE DA GALERIA)
(se for o caso)</t>
  </si>
  <si>
    <r>
      <t xml:space="preserve">Nº LINHAS </t>
    </r>
    <r>
      <rPr>
        <b/>
        <sz val="8"/>
        <color rgb="FFFF0000"/>
        <rFont val="Calibri"/>
        <family val="2"/>
        <scheme val="minor"/>
      </rPr>
      <t>EXISTENTE</t>
    </r>
  </si>
  <si>
    <r>
      <t xml:space="preserve">DIÂMETRO NOMINAL </t>
    </r>
    <r>
      <rPr>
        <b/>
        <sz val="8"/>
        <color rgb="FFFF0000"/>
        <rFont val="Calibri"/>
        <family val="2"/>
        <scheme val="minor"/>
      </rPr>
      <t>EXISTENTE</t>
    </r>
  </si>
  <si>
    <t>TRANSP. TUBOS DMT ATÉ 30km:</t>
  </si>
  <si>
    <t>TRANSP. TUBOS DMT EXC 30km:</t>
  </si>
  <si>
    <r>
      <t xml:space="preserve">TRANSP. BRITA </t>
    </r>
    <r>
      <rPr>
        <b/>
        <sz val="10"/>
        <color rgb="FFFF0000"/>
        <rFont val="Calibri"/>
        <family val="2"/>
        <scheme val="minor"/>
      </rPr>
      <t>LASTRO</t>
    </r>
    <r>
      <rPr>
        <b/>
        <sz val="10"/>
        <rFont val="Calibri"/>
        <family val="2"/>
        <scheme val="minor"/>
      </rPr>
      <t xml:space="preserve"> DMT ATÉ 30km:</t>
    </r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</si>
  <si>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2</t>
    </r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</si>
  <si>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3</t>
    </r>
  </si>
  <si>
    <r>
      <rPr>
        <sz val="10"/>
        <rFont val="Arial"/>
        <family val="2"/>
      </rPr>
      <t xml:space="preserve">y
</t>
    </r>
    <r>
      <rPr>
        <sz val="10"/>
        <rFont val="Arial"/>
        <family val="2"/>
      </rPr>
      <t>d</t>
    </r>
  </si>
  <si>
    <r>
      <rPr>
        <sz val="9"/>
        <rFont val="Arial"/>
        <family val="2"/>
      </rPr>
      <t>C</t>
    </r>
    <r>
      <rPr>
        <vertAlign val="subscript"/>
        <sz val="9"/>
        <rFont val="Arial"/>
        <family val="2"/>
      </rPr>
      <t>1</t>
    </r>
  </si>
  <si>
    <r>
      <rPr>
        <sz val="9"/>
        <rFont val="Arial"/>
        <family val="2"/>
      </rPr>
      <t>0,5310.</t>
    </r>
  </si>
  <si>
    <t>Campo Grande/MS</t>
  </si>
  <si>
    <t>Q = 2,78 x n x I x A x f</t>
  </si>
  <si>
    <r>
      <rPr>
        <b/>
        <sz val="10"/>
        <rFont val="Calibri"/>
        <family val="2"/>
        <scheme val="minor"/>
      </rPr>
      <t>Tempo de Concentração - Formulação de Mc Cuen - (tc):</t>
    </r>
    <r>
      <rPr>
        <sz val="10"/>
        <rFont val="Calibri"/>
        <family val="2"/>
        <scheme val="minor"/>
      </rPr>
      <t xml:space="preserve">                                                           L - comprimento talvegue (km)   ;                                                                                            S - Declividade (m/m)</t>
    </r>
  </si>
  <si>
    <t>Tc = 10,5721 x L⁰’⁵⁵⁵² x S¯⁰’²⁰⁷⁰</t>
  </si>
  <si>
    <t>f = a x (I x tc)^1/3</t>
  </si>
  <si>
    <t>Fator  impermeabilidade ( a ):</t>
  </si>
  <si>
    <t>a = (2,913 + 64,073 x C) x 10³</t>
  </si>
  <si>
    <t>Equação da Chuva</t>
  </si>
  <si>
    <t>DISSIPADOR TIPO 1</t>
  </si>
  <si>
    <t>N.A.</t>
  </si>
  <si>
    <t>un</t>
  </si>
  <si>
    <t>PREÇO MÉDIO DE AQUISIÇÃO DE MATERIAL PARA IMPRIMAÇÃO</t>
  </si>
  <si>
    <t>Empresa</t>
  </si>
  <si>
    <t>CBB Asfaltos</t>
  </si>
  <si>
    <t>Greca Asfaltos</t>
  </si>
  <si>
    <t>TRANSPORTE DE MATERIAL PARA IMPRIMAÇÃO - PEDÁGIO</t>
  </si>
  <si>
    <t>PA-1</t>
  </si>
  <si>
    <t>DISSIPADOR TIPO 2</t>
  </si>
  <si>
    <t>DISSIPADOR TIPO 3</t>
  </si>
  <si>
    <t>DISPOSITIVO DE DRENAGEM</t>
  </si>
  <si>
    <t>CONSUMO UNITÁRIO DE BRITA
(m³)</t>
  </si>
  <si>
    <t>CONSUMO TOTAL DE BRITA
(m³)</t>
  </si>
  <si>
    <t>TRANSPORTE DE BRITA
DMT ATÉ 30km
(m³.km)</t>
  </si>
  <si>
    <t>BOCA DE LOBO SIMPLES COMPLETA</t>
  </si>
  <si>
    <t>BOCA DE LOBO DUPLA COMPLETA</t>
  </si>
  <si>
    <t>BOCA DE LOBO TRIPLA COMPLETA</t>
  </si>
  <si>
    <t>POÇO DE VISITA TIPO 1</t>
  </si>
  <si>
    <t>POÇO DE VISITA TIPO 2</t>
  </si>
  <si>
    <t>POÇO DE VISITA TIPO 3</t>
  </si>
  <si>
    <t>POÇO DE VISITA TIPO 4</t>
  </si>
  <si>
    <t>POÇO DE VISITA TIPO 5</t>
  </si>
  <si>
    <t>CHAMINÉ DE POÇO DE VISITA</t>
  </si>
  <si>
    <t>TAMPÃO DE POÇO DE VISITA</t>
  </si>
  <si>
    <t>CAIXA DE LIGAÇÃO E PASSAGEM TIPO 2</t>
  </si>
  <si>
    <t>CAIXA DE LIGAÇÃO E PASSAGEM TIPO 4</t>
  </si>
  <si>
    <t>DISSIPADOR TIPO 4</t>
  </si>
  <si>
    <t>DISSIPADOR TIPO 5</t>
  </si>
  <si>
    <t>SARJETÃO DE CONCRETO</t>
  </si>
  <si>
    <t>CANALETA DE CONCRETO</t>
  </si>
  <si>
    <t>LAJE DE PROTEÇÃO DE TUBOS</t>
  </si>
  <si>
    <t>BOCA DE LOBO SIMPLES SOMENTE GRELHA</t>
  </si>
  <si>
    <t>BOCA DE LOBO DUPLA SOMENTE GRELHA</t>
  </si>
  <si>
    <t>CAIXA DE TRANSIÇÃO TIPO 4</t>
  </si>
  <si>
    <t>ENTRADA PARA DESCIDA D'ÁGUA</t>
  </si>
  <si>
    <t>DESCIDA D'ÁGUA</t>
  </si>
  <si>
    <t>DISSIPADOR DE ENERGIA TIPO DEB-1</t>
  </si>
  <si>
    <t>SINALIZAÇÃO HORIZONTAL</t>
  </si>
  <si>
    <t>COR</t>
  </si>
  <si>
    <t>TIPO</t>
  </si>
  <si>
    <t>ESPESSURA</t>
  </si>
  <si>
    <t>ÁREA TOTAL</t>
  </si>
  <si>
    <t>BRANCA</t>
  </si>
  <si>
    <t>MECANIZADA</t>
  </si>
  <si>
    <t>AMARELA</t>
  </si>
  <si>
    <t>ÁREA UNITÁRIA</t>
  </si>
  <si>
    <t>PARADA OBRIGATÓRIA</t>
  </si>
  <si>
    <t>FAIXA DE PEDESTRE</t>
  </si>
  <si>
    <t>SENTIDO DE CIRCULAÇÃO DA VIA</t>
  </si>
  <si>
    <t>PLACA</t>
  </si>
  <si>
    <t>CÓDIGO</t>
  </si>
  <si>
    <t>DIMENS.</t>
  </si>
  <si>
    <t>QUANT.</t>
  </si>
  <si>
    <t>ÁREA UNITARIA</t>
  </si>
  <si>
    <t>R-1</t>
  </si>
  <si>
    <t>VELOCIDADE MÁXIMA</t>
  </si>
  <si>
    <t>R-19</t>
  </si>
  <si>
    <t>POSTES</t>
  </si>
  <si>
    <t>PLACA LOGRADOURO</t>
  </si>
  <si>
    <t>Largura
(m²)</t>
  </si>
  <si>
    <t>Vol. de
Corte (m³)</t>
  </si>
  <si>
    <t>Vol. de
Aterro (m³)</t>
  </si>
  <si>
    <t>Compensação (m³)</t>
  </si>
  <si>
    <t>Volume
(m³)</t>
  </si>
  <si>
    <t>IMPRIMAÇÃO</t>
  </si>
  <si>
    <t>VIA</t>
  </si>
  <si>
    <t>ESTACAS</t>
  </si>
  <si>
    <t>Via
(m)</t>
  </si>
  <si>
    <t>Revestimento
(m)</t>
  </si>
  <si>
    <t>LARGURA</t>
  </si>
  <si>
    <t>Total
 (m²)</t>
  </si>
  <si>
    <t>ÁREAS DE REVESTIMENTO</t>
  </si>
  <si>
    <t>EXTENSÃO
(m)</t>
  </si>
  <si>
    <t>REGULARIZAÇÃO</t>
  </si>
  <si>
    <t>TERRAPLENAGEM</t>
  </si>
  <si>
    <t>SUB-BASE</t>
  </si>
  <si>
    <t>BASE</t>
  </si>
  <si>
    <t>REVESTIMENTO ASFÁLTICO</t>
  </si>
  <si>
    <t>SERVIÇOS COMPLEMENTARES</t>
  </si>
  <si>
    <t>Volume
 (m³)</t>
  </si>
  <si>
    <t>Tento
(m)</t>
  </si>
  <si>
    <t>Guia
 (m)</t>
  </si>
  <si>
    <r>
      <t xml:space="preserve">Peso
(t)
</t>
    </r>
    <r>
      <rPr>
        <b/>
        <i/>
        <sz val="10"/>
        <rFont val="Calibri"/>
        <family val="2"/>
        <scheme val="minor"/>
      </rPr>
      <t>(0,0012t/m²)</t>
    </r>
  </si>
  <si>
    <r>
      <t xml:space="preserve">Peso
(t)
</t>
    </r>
    <r>
      <rPr>
        <b/>
        <i/>
        <sz val="10"/>
        <rFont val="Calibri"/>
        <family val="2"/>
        <scheme val="minor"/>
      </rPr>
      <t>(2,5548 t/m³)</t>
    </r>
  </si>
  <si>
    <t>LE</t>
  </si>
  <si>
    <t>Área de Contribuição
(ha)</t>
  </si>
  <si>
    <t>C
Coef. Impermeabilidade</t>
  </si>
  <si>
    <r>
      <t>n (A</t>
    </r>
    <r>
      <rPr>
        <b/>
        <vertAlign val="superscript"/>
        <sz val="8"/>
        <rFont val="Calibri"/>
        <family val="2"/>
        <scheme val="minor"/>
      </rPr>
      <t>-0,15</t>
    </r>
    <r>
      <rPr>
        <b/>
        <sz val="8"/>
        <rFont val="Calibri"/>
        <family val="2"/>
        <scheme val="minor"/>
      </rPr>
      <t>)
Coef. Distribuição</t>
    </r>
  </si>
  <si>
    <t xml:space="preserve">f
Coef. de Deflúvio </t>
  </si>
  <si>
    <t>I
Precipitação 
(L/s/ha)</t>
  </si>
  <si>
    <t>te
Tempo Percurso 
(min)</t>
  </si>
  <si>
    <t>Declividade
(%)</t>
  </si>
  <si>
    <t>Vazão que Escoa Pela Rua 
(m³/s)</t>
  </si>
  <si>
    <t>Desnível Rua
(m)</t>
  </si>
  <si>
    <t>Declividade da Rua
 (m/m)</t>
  </si>
  <si>
    <t>Tirante y/D 
(%)</t>
  </si>
  <si>
    <t>Vazão Máxima TOTAL
(m³/s)</t>
  </si>
  <si>
    <t>Cota do Terreno ou Greide
(m)</t>
  </si>
  <si>
    <t>Profundidade PV
(m)</t>
  </si>
  <si>
    <t>Cota da Geratriz Inferior Externa
(m)</t>
  </si>
  <si>
    <t>Cota do Nível d'água
(m)</t>
  </si>
  <si>
    <t>Recobrimento da Galeria
(m)</t>
  </si>
  <si>
    <t>Montante</t>
  </si>
  <si>
    <t>Jusante</t>
  </si>
  <si>
    <t>Degrau</t>
  </si>
  <si>
    <t>PLANILHA DE QUANTIDADES DE SERVIÇOS DA DRENAGEM PROFUNDA</t>
  </si>
  <si>
    <t>DRENAGEM PROFUNDA - DRENO PROFUNDO COM TUBO PEAD</t>
  </si>
  <si>
    <t>Hmédia(m)</t>
  </si>
  <si>
    <t>COMPRIM. (M)</t>
  </si>
  <si>
    <t>BASE INFERIOR (M)</t>
  </si>
  <si>
    <t>BASE SUPERIOR (M)</t>
  </si>
  <si>
    <t>ESCAVAÇÃO MECANICA (M³)</t>
  </si>
  <si>
    <t>REATERRO MECÂNICO PROF. 0,0 A 1,50m (M³)</t>
  </si>
  <si>
    <t>BOTA FORA (M³)</t>
  </si>
  <si>
    <t>TUBO PEAD DN 150MM</t>
  </si>
  <si>
    <t>PEDRA BRITADA Nº3</t>
  </si>
  <si>
    <t>MANTA GEOTEXTIL 200G/M²</t>
  </si>
  <si>
    <t>TRANSP. BOTA FORA:</t>
  </si>
  <si>
    <t>TRANSP. BRITA DMT ATÉ 30km:</t>
  </si>
  <si>
    <t>TRANSP. BRITA DMT EXC 30km:</t>
  </si>
  <si>
    <t>BOTA FORA</t>
  </si>
  <si>
    <t>Apucarana/PR</t>
  </si>
  <si>
    <t>ESPALHAMENTO BOTA-FORA :</t>
  </si>
  <si>
    <t>ÁREA DE ANCORAGEM DE BASE PARA CBUQ:</t>
  </si>
  <si>
    <t>D0,50</t>
  </si>
  <si>
    <t>MEMORIAL DE CÁLCULO DE QUANTITATIVOS DE SERVIÇOS PRELIMINARES</t>
  </si>
  <si>
    <t>MEMORIAL DE CÁLCULO DE QUANTITATIVOS DE TERRAPLENAGEM DRENAGEM</t>
  </si>
  <si>
    <t>MEMORIAL DE CÁLCULO DE QUANTITATIVOS DE DISPOSITIVOS DE DRENAGEM</t>
  </si>
  <si>
    <t>PEAD</t>
  </si>
  <si>
    <t>CONCRETO</t>
  </si>
  <si>
    <t>Área Total de Concreto</t>
  </si>
  <si>
    <t>(m)</t>
  </si>
  <si>
    <t>(m²)</t>
  </si>
  <si>
    <t>(m³)</t>
  </si>
  <si>
    <t xml:space="preserve">Área de Calçamento </t>
  </si>
  <si>
    <t xml:space="preserve">Área de Grama </t>
  </si>
  <si>
    <t xml:space="preserve">Comp. de Piso Tátil </t>
  </si>
  <si>
    <t xml:space="preserve">Preparo de Solo </t>
  </si>
  <si>
    <t xml:space="preserve">Área Total de Grama </t>
  </si>
  <si>
    <t xml:space="preserve">Comprimento Total de Piso Tátil </t>
  </si>
  <si>
    <t xml:space="preserve">Área Total de Concreto </t>
  </si>
  <si>
    <t>Volume Total de Concreto - Calçadas</t>
  </si>
  <si>
    <t xml:space="preserve">Volume Total de Concreto </t>
  </si>
  <si>
    <t xml:space="preserve">Área de Concreto </t>
  </si>
  <si>
    <t xml:space="preserve">Quantidade Unitária </t>
  </si>
  <si>
    <t>(und)</t>
  </si>
  <si>
    <t xml:space="preserve">  </t>
  </si>
  <si>
    <t>POSTES A REMANEJAR</t>
  </si>
  <si>
    <t>DECRIÇÃO</t>
  </si>
  <si>
    <t>NORTE</t>
  </si>
  <si>
    <t>ÁRVORES A REMOVER</t>
  </si>
  <si>
    <t>Descréscimo (Cruzamento)
(m²)</t>
  </si>
  <si>
    <t>Acréscimo (Raios, Limpa Rodas e Complementares)
(m²)</t>
  </si>
  <si>
    <t>Valor
R$/kg</t>
  </si>
  <si>
    <t>TRANSPORTE DMT ATÉ 30 KM (R$/t)</t>
  </si>
  <si>
    <t>TRANSPORTE DMT EXCEDENTE A 30 KM (R$/t)</t>
  </si>
  <si>
    <t>Total Aquisição +  Pedágio
(R$/t)</t>
  </si>
  <si>
    <t>Total Aquisição + Alíquota + Pedágio + Transporte
(R$/t)</t>
  </si>
  <si>
    <t>EMULSÃO ASFÁLTICA RR-2C</t>
  </si>
  <si>
    <t>* O valor da Greca é CIF</t>
  </si>
  <si>
    <t>TUBOS PEAD</t>
  </si>
  <si>
    <t>TRANSP. TUBOS PEAD DMT ATÉ 30km:</t>
  </si>
  <si>
    <t>TRANSP. TUBOS PEAD DMT EXC 30km:</t>
  </si>
  <si>
    <t>DMT TUBOS PEAD:</t>
  </si>
  <si>
    <t>DMT TUBOS DE CONCRETO:</t>
  </si>
  <si>
    <t>ESC, CARGA TRANSP. DMT 200M:</t>
  </si>
  <si>
    <t>ESCAVAÇÃO HORIZONTAL:</t>
  </si>
  <si>
    <t>QUANTIDADE DA SINALIZAÇÃO HORIZONTAL (PINTURA MECANIZADA)</t>
  </si>
  <si>
    <t>QUANTIDADE DA SINALIZAÇÃO HORIZONTAL (PINTURA MANUAL)</t>
  </si>
  <si>
    <t>LINHA DE RETENÇÃO</t>
  </si>
  <si>
    <t>R-24A</t>
  </si>
  <si>
    <t>PROIBIDO VIRAR À DIREITA</t>
  </si>
  <si>
    <t>R-4B</t>
  </si>
  <si>
    <t>PROIBIDO VIRAR À ESQUERDA</t>
  </si>
  <si>
    <t>DUPLO SENTIDO DE CIRCULAÇÃO</t>
  </si>
  <si>
    <t>R-28</t>
  </si>
  <si>
    <t>SENTIDO CIRCULAR OBRIGATÓRIO</t>
  </si>
  <si>
    <t>R-25B</t>
  </si>
  <si>
    <t>L0,25</t>
  </si>
  <si>
    <t>SENTIDO PROIBIDO</t>
  </si>
  <si>
    <t>R-3</t>
  </si>
  <si>
    <t>0,45x0,20</t>
  </si>
  <si>
    <t>POSTE XX</t>
  </si>
  <si>
    <t>ÁRVORE XX</t>
  </si>
  <si>
    <t>* PARA TUBOS PEAD USAR O COEF. = 0,01;</t>
  </si>
  <si>
    <t>* PARA TUBOS DE CONCRETO USAR O COEF. = 0,015;</t>
  </si>
  <si>
    <t>TRANSP. CBUQ DMT ATÉ 30km:</t>
  </si>
  <si>
    <t>TRANSP. EAI DMT EXC. 30km:</t>
  </si>
  <si>
    <t>TRANSP. EAI DMT ATÉ 30km:</t>
  </si>
  <si>
    <t>LINHA SIMPLES SECCIONADA                                                                                                                                      LMS-2(1x2x0.10)</t>
  </si>
  <si>
    <t xml:space="preserve">LINHA SIMPLES CONTÍNUA                  </t>
  </si>
  <si>
    <t xml:space="preserve">LINHA SIMPLES CONTÍNUA                        </t>
  </si>
  <si>
    <t>TOTAL DE PINTURA DE EIXO VIÁRIO MECANIZADA:</t>
  </si>
  <si>
    <t>TOTAL DE PINTURA DE FAIXA DE PEDESTRE, ZEBRADO E LINHA DE RETENÇÃO:</t>
  </si>
  <si>
    <t>TOTAL DE PINTURA DE SÍMBOLOS E TEXTO:</t>
  </si>
  <si>
    <t>TOTAL DE PLACAS (ATÉ 0,36 m²):</t>
  </si>
  <si>
    <t>TOTAL DE PLACAS (&gt; 0,36 m²):</t>
  </si>
  <si>
    <t>TOTAL DE PLACA DE LOGRADOURO:</t>
  </si>
  <si>
    <t>TOTAL DE SUPORTE DE PLACA DE LOGRADOURO:</t>
  </si>
  <si>
    <t>LCA-CANALIZAÇÃO</t>
  </si>
  <si>
    <t>ZEBRADO DE ÁREA NÃO UTILIZÁVEL</t>
  </si>
  <si>
    <t>SÍMBOLO "DÊ A PREFERÊNCIA"</t>
  </si>
  <si>
    <t>LINHA DE "DÊ A PREFERÊNCIA"</t>
  </si>
  <si>
    <t>MOF-MUDANÇA DE FAIXA-5m</t>
  </si>
  <si>
    <t>RUA SEM SAÍDA</t>
  </si>
  <si>
    <t>A-45</t>
  </si>
  <si>
    <t>L0,45</t>
  </si>
  <si>
    <t>LINHA SIMPLES CONTÍNUA-CICLOVIA</t>
  </si>
  <si>
    <t>SIMBOLO "BICICLETA" - 1,5m - CICLOVIA</t>
  </si>
  <si>
    <t>SENTIDO DE CIRCULAÇÃO DA VIA - CICLOVIA</t>
  </si>
  <si>
    <t>VERMELHO</t>
  </si>
  <si>
    <t>UNIDADES</t>
  </si>
  <si>
    <t>VERMELHA</t>
  </si>
  <si>
    <t>(m³.km)</t>
  </si>
  <si>
    <t>DMT PISO TÁTIL:</t>
  </si>
  <si>
    <t>PESO PISO TÁTIL:</t>
  </si>
  <si>
    <t>kg/m²</t>
  </si>
  <si>
    <t>(t.km)</t>
  </si>
  <si>
    <t>e</t>
  </si>
  <si>
    <t>Largura de Grama</t>
  </si>
  <si>
    <t>Largura de Calçada</t>
  </si>
  <si>
    <t>Comp. de Quadra</t>
  </si>
  <si>
    <t>MEMORIAL DE CÁLCULO DE CALÇADA E ACESSIBILIDADE</t>
  </si>
  <si>
    <t>Comp. de Piso Tátil Unitário</t>
  </si>
  <si>
    <t>Área de Concreto Unitária</t>
  </si>
  <si>
    <t>Comp. Total de Piso Tátil</t>
  </si>
  <si>
    <t>Preparo de Solo - Carga e Descarga do Bota-fora (emp. 10%)</t>
  </si>
  <si>
    <t>Área Total de Piso Tátil 
(0,40 x 0,40m)</t>
  </si>
  <si>
    <t>Transporte Piso Tátil DMT até 30 km</t>
  </si>
  <si>
    <t>Transporte Piso Tátil DMT exc. 30 km</t>
  </si>
  <si>
    <t>Espessura da Calçada</t>
  </si>
  <si>
    <t>Espessura da Calçada sob Piso Tátil</t>
  </si>
  <si>
    <t>Volume Total de Concreto - sob Piso Tátil</t>
  </si>
  <si>
    <t>Transporte Bota-Fora DMT até 30 km</t>
  </si>
  <si>
    <t>NOTAS:</t>
  </si>
  <si>
    <t>Áreas Irregulares</t>
  </si>
  <si>
    <r>
      <t xml:space="preserve">1- Preencher coluna de </t>
    </r>
    <r>
      <rPr>
        <b/>
        <sz val="12"/>
        <color theme="1"/>
        <rFont val="Calibri"/>
        <family val="2"/>
        <scheme val="minor"/>
      </rPr>
      <t>Comp. de Quadra</t>
    </r>
    <r>
      <rPr>
        <sz val="12"/>
        <color theme="1"/>
        <rFont val="Calibri"/>
        <family val="2"/>
        <scheme val="minor"/>
      </rPr>
      <t xml:space="preserve"> somente em projetos que consideram calçada e acessibilidade na extensão total da quadra.</t>
    </r>
  </si>
  <si>
    <t>MEMORIAL DE DIMENSIONAMENTO DA REDE DE DRENAGEM</t>
  </si>
  <si>
    <t>TUBO 40cm
(Tubos de Ligação)</t>
  </si>
  <si>
    <t>CONFERIR AS COLUNAS: Y Z E AF (VELOCIDADE FH E VAZÃO)</t>
  </si>
  <si>
    <t>ESTRUTURA</t>
  </si>
  <si>
    <t>CONCRETO SIMPLES
(m³/und)</t>
  </si>
  <si>
    <t>CONCRETO ARMADO
(m³/und)</t>
  </si>
  <si>
    <t>ÁREA DE PAVIMENTO
(m²)</t>
  </si>
  <si>
    <t>TOTAL CONCRETO SIMPLES
(m³)</t>
  </si>
  <si>
    <t>TOTAL CONCRETO ARMADO
(m³)</t>
  </si>
  <si>
    <t>TOTAL PAVIMENTO
(m²)</t>
  </si>
  <si>
    <t>BOCA DE LOBO SIMPLES</t>
  </si>
  <si>
    <t>PAVIMENTO EXISTENTE</t>
  </si>
  <si>
    <t>MEIO-FIO EXISTENTE</t>
  </si>
  <si>
    <t>CALÇADA EXISTENTE</t>
  </si>
  <si>
    <t>TRANSPORTE MATERIAL DEMOLIDO PARA BOTA-FORA:</t>
  </si>
  <si>
    <t>MEMORIAL DE CÁLCULO DE DEMOLIÇÕES</t>
  </si>
  <si>
    <t>CARGA, MAN. E DESCARGA MATERIAL DEMOLIDO (EMP. 30%):</t>
  </si>
  <si>
    <t>BRITA MFC:</t>
  </si>
  <si>
    <t>BRITA TENTO:</t>
  </si>
  <si>
    <t>TRANSP. CBUQ DMT EXC. 30km:</t>
  </si>
  <si>
    <t>TRANS. BRITA (DMT ATÉ 30km):</t>
  </si>
  <si>
    <t>TRANS. BRITA (DMT EXC. 30km):</t>
  </si>
  <si>
    <t>AQUISIÇÃO MATERIAL SUB-BASE (EMP. 15%):</t>
  </si>
  <si>
    <t>ESC. CARGA, MATERIAL SUB-BASE (EMP. 15%):</t>
  </si>
  <si>
    <t>TRANSP. MATERIAL SUB-BASE (EMP. 30%):</t>
  </si>
  <si>
    <t>Trecho</t>
  </si>
  <si>
    <t>Área Total
(m²)</t>
  </si>
  <si>
    <t>Recorte do Pavimento
(m)</t>
  </si>
  <si>
    <t>Carga, Manobra e Descarga - 
Material Demolido
emp=30%
(m³)</t>
  </si>
  <si>
    <t>Transporte - Material Demolido
(m³.km)</t>
  </si>
  <si>
    <t>Regularização e Compactação - Sub-leito
(m²)</t>
  </si>
  <si>
    <t>Preparo Fundo com Brita - 
Sub-leito
e=0,30m
(m³)</t>
  </si>
  <si>
    <t>Recomposição de Base
e=0,15m
(m³)</t>
  </si>
  <si>
    <t>Transporte - 
Material Pétreo
DMT até 30km
(m³.km)</t>
  </si>
  <si>
    <t>Transporte - 
Material Pétreo
DMT exc. 30km
(m³.km)</t>
  </si>
  <si>
    <t>Imprimação com EAI
1,2l/m²
(m²)</t>
  </si>
  <si>
    <t xml:space="preserve"> EAI
(t)</t>
  </si>
  <si>
    <t>Transporte de EAI
DMT até 30km
(t.km)</t>
  </si>
  <si>
    <t>Transporte de EAI
DMT exc. 30km
(t.km)</t>
  </si>
  <si>
    <t>Recomposição de Revestimento com CBUQ
e=0,03m
(m³)</t>
  </si>
  <si>
    <t>Aquisição CBUQ
2,5548t/m³
(t)</t>
  </si>
  <si>
    <t>Transporte de CBUQ
DMT até 30km
(m³.km)</t>
  </si>
  <si>
    <t>Totais</t>
  </si>
  <si>
    <t>DMT EAI:</t>
  </si>
  <si>
    <t>DMT CBUQ:</t>
  </si>
  <si>
    <t>MEMORIAL DE CÁLCULO DE RESTAURAÇÃO DO PAVIMENTO EXISTENTE</t>
  </si>
  <si>
    <t>MEMORIAL DE CÁLCULO DE PAVIMENTAÇÃO</t>
  </si>
  <si>
    <t>Carga, Manobra e Descarga - 
Material de base
(m³.km)</t>
  </si>
  <si>
    <t>DMT BASE:</t>
  </si>
  <si>
    <t>MATERIAL PARA BASE</t>
  </si>
  <si>
    <t>CARGA, MANOBRA DESCARGA BOTA-FORA (EMP. 15%):</t>
  </si>
  <si>
    <t>TRANSP. BOTA-FORA (EMP. 30%):</t>
  </si>
  <si>
    <t>EXECUÇÃO DE SUB-BASE:</t>
  </si>
  <si>
    <t>CARGA,MAN. E DESC. MAT. BASE :</t>
  </si>
  <si>
    <t>CHAMINÉ PARA PV:</t>
  </si>
  <si>
    <t>Vazão Máxima
d/D=0,80 (Projetada)
(m³/s)</t>
  </si>
  <si>
    <t>Vazão Máxima
d/D=0,80
(Existente)
(m³/s)</t>
  </si>
  <si>
    <t>LINHA DE RETENÇÃO  - 0,30 M</t>
  </si>
  <si>
    <t>CRUZAMENTO RODOCICLOVIÁRIO</t>
  </si>
  <si>
    <t>TOTAL DE PINTURA DE CRUZAMENTO RODOCICLOVIÁRIO:</t>
  </si>
  <si>
    <t>TOTAL DE PINTURA DE SÍMBOLOS E TEXTO - CICLOVA:</t>
  </si>
  <si>
    <t>TAXÃO BI-ESPAÇADOS  1M - CICLOVIA</t>
  </si>
  <si>
    <t>Unidades</t>
  </si>
  <si>
    <t>TAXÃO BI- ESPAÇADOS  1M - CIUCLOVIA</t>
  </si>
  <si>
    <t>3,00 &lt; PROF ≤ 6,00 (1,50 &lt; LARG ≤ 2,50)</t>
  </si>
  <si>
    <t>REPUBLICA DO PARAGUAY</t>
  </si>
  <si>
    <t>AIRTON SENNA DA SILVA</t>
  </si>
  <si>
    <t>JOSÉ RUFINO AMARAL</t>
  </si>
  <si>
    <t>REPÚBLICA DO PARAGUAY</t>
  </si>
  <si>
    <t>CARLOS GONÇALVES</t>
  </si>
  <si>
    <t>FRANCIELE DAS NECES FLORES</t>
  </si>
  <si>
    <t>PEDRO MASCARENHAS</t>
  </si>
  <si>
    <t>JOÃO FRANCISCO SIMÃO</t>
  </si>
  <si>
    <t>GERALDO EZEQUIEL</t>
  </si>
  <si>
    <t>FRANCIELE DAS N. FLORES</t>
  </si>
  <si>
    <t>UBALDINA A. DE OLIVEIRA</t>
  </si>
  <si>
    <t>LD</t>
  </si>
  <si>
    <t>A-32B</t>
  </si>
  <si>
    <t>TRANSP. CBUQ (DMT ATÉ 30km):</t>
  </si>
  <si>
    <t>m³/m</t>
  </si>
  <si>
    <t>TRANSP. RR-2C (DMT EXC 30km):</t>
  </si>
  <si>
    <t>TRANSP. RR-2C (DMT ATÉ 30km):</t>
  </si>
  <si>
    <t>Capa CBUQ e=3,0cm
(m³)</t>
  </si>
  <si>
    <t>RR-2C 
0,45 l/m²
(t)</t>
  </si>
  <si>
    <t>Pintura de Ligação RR-2C - 2ª aplic.
(m²)</t>
  </si>
  <si>
    <t>Reperfilagem
e=2,0cm
(m³)</t>
  </si>
  <si>
    <t>Bota-fora 
(m³)</t>
  </si>
  <si>
    <t>Emulsão EAI
(t)</t>
  </si>
  <si>
    <t>CBUQ 
(m³)</t>
  </si>
  <si>
    <t>Bica Corrida 
(m³)</t>
  </si>
  <si>
    <t>Reperfilagem (m²)</t>
  </si>
  <si>
    <t>Volume da fresagem
(m³)</t>
  </si>
  <si>
    <t>Espessura da fresagem
(m)</t>
  </si>
  <si>
    <t>Correção de Defeitos por Fresagem 
(m²)</t>
  </si>
  <si>
    <t xml:space="preserve">Remendo Profundo (m²)        </t>
  </si>
  <si>
    <t>Remendo Superficial/Tapa Buraco (m²)</t>
  </si>
  <si>
    <t xml:space="preserve">Área Total (m²) </t>
  </si>
  <si>
    <t>Área por Trecho
(m²)</t>
  </si>
  <si>
    <t>Áreas Irregulares           (m²)</t>
  </si>
  <si>
    <t>Largura Capa
(m)</t>
  </si>
  <si>
    <t>Extensão
(m)</t>
  </si>
  <si>
    <t>Entre Ruas/Estaca Final</t>
  </si>
  <si>
    <t>Entre Ruas/Estaca Inicial</t>
  </si>
  <si>
    <t>Nome da Via</t>
  </si>
  <si>
    <t>MEMORIAL DE CÁLCULO DE RECAPEAMENTO</t>
  </si>
  <si>
    <t>REPÚBLICA DO PARAGUAY - TRECHO 1</t>
  </si>
  <si>
    <t>REPÚBLICA DO PARAGUAY - TRECHO 2</t>
  </si>
  <si>
    <t>FRANCIELE DAS NECES FLORES - TRECHO 1</t>
  </si>
  <si>
    <t>PEDRO MASCARENHAS - TRECHO 1</t>
  </si>
  <si>
    <t>Coronel Sapucaias/MS</t>
  </si>
  <si>
    <t>CAIXA DE LIGAÇÃO E PASSAGEM TIPO 5</t>
  </si>
  <si>
    <t>R. Pedro Mascarenhas</t>
  </si>
  <si>
    <t>R. Franciele das N. Flores</t>
  </si>
  <si>
    <t>RUA NATÁLIA DE O. LOPES</t>
  </si>
  <si>
    <t>RUA VIRGÍLIO BENDIN</t>
  </si>
  <si>
    <t>AMAMBAI</t>
  </si>
  <si>
    <t>CAMPO GRANDE</t>
  </si>
  <si>
    <t>DOURADOS</t>
  </si>
  <si>
    <t>CORONEL SAPUCAIA</t>
  </si>
  <si>
    <t>Betunel</t>
  </si>
  <si>
    <t>GRELHAS</t>
  </si>
  <si>
    <r>
      <t xml:space="preserve">TRANSP. BRITA </t>
    </r>
    <r>
      <rPr>
        <b/>
        <sz val="10"/>
        <color rgb="FFFF0000"/>
        <rFont val="Calibri"/>
        <family val="2"/>
        <scheme val="minor"/>
      </rPr>
      <t>LASTRO</t>
    </r>
    <r>
      <rPr>
        <b/>
        <sz val="10"/>
        <rFont val="Calibri"/>
        <family val="2"/>
        <scheme val="minor"/>
      </rPr>
      <t xml:space="preserve"> DMT  EXC 30km:</t>
    </r>
  </si>
  <si>
    <t>TRANSPORTE DE BRITA
DMT + 30km
(m³.km)</t>
  </si>
  <si>
    <t>Transporte de CBUQ
DMT EXC 30km
(m³.km)</t>
  </si>
  <si>
    <t>Aquisição CBUQ 2,5548t/m³ (t)</t>
  </si>
  <si>
    <t>TRANSP. CBUQ (DMT EXC 30km):</t>
  </si>
  <si>
    <t>Carga, manobra e descarga (fresagem)                     (m³)</t>
  </si>
  <si>
    <t>TRANSP. MATERIAL BASE (EMP. 30%) até 30km:</t>
  </si>
  <si>
    <t>TRANSP. MATERIAL BASE (EMP. 30%)+ 30KM:</t>
  </si>
  <si>
    <t>NATÁLIA O. LOPES</t>
  </si>
  <si>
    <t xml:space="preserve">VIRGÍLIO BEDIN </t>
  </si>
  <si>
    <t>TRANSP. BOTA-FORA 
FRESAGEM (DMT ATÉ 30km):</t>
  </si>
  <si>
    <t xml:space="preserve">TR-01 </t>
  </si>
  <si>
    <t xml:space="preserve">TR-02 </t>
  </si>
  <si>
    <t xml:space="preserve">TR-03 </t>
  </si>
  <si>
    <t>R.Ubaldina A. de Oliveira</t>
  </si>
  <si>
    <t>Pintura de Ligação RR-2C
(m²)</t>
  </si>
  <si>
    <t>REMENDO PROFUNDO DEVIDO A TRAVESSIA DE DRENAGEM</t>
  </si>
  <si>
    <t>PREÇO MÉDIO DE AQUISIÇÃO DE GRELHAS PARA BOCAS DE LOBO</t>
  </si>
  <si>
    <t>Valor
R$/und</t>
  </si>
  <si>
    <t>TRANSPORTE DMT ATÉ 30 KM (R$/und)</t>
  </si>
  <si>
    <t>TRANSPORTE DMT EXCEDENTE A 30 KM (R$/und)</t>
  </si>
  <si>
    <t>Total Aquisição + Pedágio + Transporte
(R$/t)</t>
  </si>
  <si>
    <t>ALEA</t>
  </si>
  <si>
    <t>Carmo da Mata/MG</t>
  </si>
  <si>
    <t>Mais Fer</t>
  </si>
  <si>
    <t>Claudio/MG</t>
  </si>
  <si>
    <t>TRANSPORTE DE MATERIAL PARA GRELHAS - PEDÁGIO</t>
  </si>
  <si>
    <t>Capacidade de carga carroceria 9T</t>
  </si>
  <si>
    <t>kg</t>
  </si>
  <si>
    <t>Peso adotado p/ grelha</t>
  </si>
  <si>
    <t>kg/unidade</t>
  </si>
  <si>
    <t>Capacidade de carga</t>
  </si>
  <si>
    <t>Capacidade da carreta 3 eixos:</t>
  </si>
  <si>
    <t>und/viagem</t>
  </si>
  <si>
    <t>LGR</t>
  </si>
  <si>
    <t>Curitiba/PR</t>
  </si>
  <si>
    <t>DMT GRELHA:</t>
  </si>
  <si>
    <t>CURITIBA/PR</t>
  </si>
  <si>
    <t xml:space="preserve">Transporte caminão carroceria até 30km </t>
  </si>
  <si>
    <t xml:space="preserve">Transporte caminão carroceria acima 30km </t>
  </si>
  <si>
    <t>GRELHAS PARA BOCA DE LOBO</t>
  </si>
  <si>
    <t>tkm</t>
  </si>
  <si>
    <t>BETUNEL</t>
  </si>
  <si>
    <t>GRECA</t>
  </si>
  <si>
    <t>Implantação de Pavimentação Asfáltica e Drenagem de Águas Pluviais - Jardim Antunes - Etapa II</t>
  </si>
  <si>
    <t>Coronel Sapucaia/MS</t>
  </si>
  <si>
    <t>PLANILHA DE DIMENSIONAMENTO</t>
  </si>
  <si>
    <t>PLANILHA DE QUANTIDADES DE SERVIÇOS DA TERRAPLENAGEM DRENAGEM</t>
  </si>
  <si>
    <t>Verificação Diâmetro 1 Linha</t>
  </si>
  <si>
    <t>Vazão Máxima p/ h=0,94d (Projetada)
(m³/s)</t>
  </si>
  <si>
    <t>Vazão Máxima p/ h=0,94d
(Existente)
(m³/s)</t>
  </si>
  <si>
    <t>TUBOS DN 600MM PEAD:</t>
  </si>
  <si>
    <t>TR-01</t>
  </si>
  <si>
    <t>TR-02</t>
  </si>
  <si>
    <t>TR-03</t>
  </si>
  <si>
    <t>TR-04</t>
  </si>
  <si>
    <t>TR-05</t>
  </si>
  <si>
    <t>TUBO 40cm
(BIGODES)</t>
  </si>
  <si>
    <t>2) PESO DOS TUBOS SÃO OS MESMOS ADOTADOS PELA DEIURB/AGESUL;</t>
  </si>
  <si>
    <t>GALERIA</t>
  </si>
  <si>
    <t>600 PEAD</t>
  </si>
  <si>
    <t>COMPRIMENTO
(m)</t>
  </si>
  <si>
    <t>TRANSP. BRITA DMT ATÉ 30KM (m³.km)</t>
  </si>
  <si>
    <t>TRANSP. BRITA DMT EXC. 30KM (m³.km)</t>
  </si>
  <si>
    <t>TRANSP. TUBOS DMT ATÉ 30Km:</t>
  </si>
  <si>
    <t>t*Km</t>
  </si>
  <si>
    <t>TRANSP. TUBOS DMT EXC. 30km:</t>
  </si>
  <si>
    <t>TRANSP. BOTA FORA ATÉ 30Km:</t>
  </si>
  <si>
    <t>m³*Km</t>
  </si>
  <si>
    <t>TRANSP. BRITA (LASTRO DE BRITA) DMT ATÉ 30Km:</t>
  </si>
  <si>
    <t>TRANSP. BRITA (LASTRO DE BRITA) DMT EXC. 30Km:</t>
  </si>
  <si>
    <t>DMT TUBOS:</t>
  </si>
  <si>
    <t>Km</t>
  </si>
  <si>
    <t>CARGA, MANOBRA E DESCARGA :</t>
  </si>
  <si>
    <t>TRANSP. DE PEDRA (DMT exc. a 30Km) (t x km) :</t>
  </si>
  <si>
    <t>TRANSP. DE PEDRA (DMT até 30Km) (m³ x km) :</t>
  </si>
  <si>
    <t>3 - * A extensão do acréscimo de manta refere-se a 2 vezes a espessura do macadame para transpasse nas laterais.</t>
  </si>
  <si>
    <t>Volume Total de Pedra (Macadame + Brita 2) (m³) :</t>
  </si>
  <si>
    <r>
      <rPr>
        <b/>
        <i/>
        <sz val="11"/>
        <color theme="1"/>
        <rFont val="Calibri"/>
        <family val="2"/>
        <scheme val="minor"/>
      </rPr>
      <t xml:space="preserve">2 - Cálculo de macadame seco: </t>
    </r>
    <r>
      <rPr>
        <i/>
        <sz val="11"/>
        <color theme="1"/>
        <rFont val="Calibri"/>
        <family val="2"/>
        <scheme val="minor"/>
      </rPr>
      <t>( Extensão do trecho x Larg. de Regularização ) x Espessura da camada;</t>
    </r>
  </si>
  <si>
    <t>TRANSPORTE</t>
  </si>
  <si>
    <r>
      <rPr>
        <b/>
        <i/>
        <sz val="11"/>
        <color theme="1"/>
        <rFont val="Calibri"/>
        <family val="2"/>
        <scheme val="minor"/>
      </rPr>
      <t xml:space="preserve">1 - Cálculo de manta geotêxtil: </t>
    </r>
    <r>
      <rPr>
        <i/>
        <sz val="11"/>
        <color theme="1"/>
        <rFont val="Calibri"/>
        <family val="2"/>
        <scheme val="minor"/>
      </rPr>
      <t>( Extensão do trecho x (Larg. de Regularização + Acréscimo));</t>
    </r>
  </si>
  <si>
    <t>PROFUNDO</t>
  </si>
  <si>
    <t>Rua Fortunato de Oliveira</t>
  </si>
  <si>
    <t>Rua Batista Terra</t>
  </si>
  <si>
    <t>Rua José Guiomar</t>
  </si>
  <si>
    <t>Rua Clemência Antunes</t>
  </si>
  <si>
    <t>SUBSUPERFICIAL</t>
  </si>
  <si>
    <t>Acréscimo*
(m)</t>
  </si>
  <si>
    <t>Volume (m³)</t>
  </si>
  <si>
    <t>Extensão (m)</t>
  </si>
  <si>
    <t>Coef.
(m³/m)</t>
  </si>
  <si>
    <t>MANTA GEOTÊXTIL (COLCHÃO DRENANTE)</t>
  </si>
  <si>
    <t>MACADAME SECO (COLCHÃO DRENANTE)</t>
  </si>
  <si>
    <t>DRENO PROFUNDO</t>
  </si>
  <si>
    <t>DRENO SUB-SUPERFICIAL</t>
  </si>
  <si>
    <t>TIPO DE DRENO</t>
  </si>
  <si>
    <t>Larg. de Regularização
(m)</t>
  </si>
  <si>
    <t xml:space="preserve">Extensão (m) </t>
  </si>
  <si>
    <t>QUANTIFICAÇÃO DOS DRENOS E COLCHÃO DRENANTE</t>
  </si>
  <si>
    <t>TRANSPORTE DE BRITA
DMT EXC 30km
(m³.km)</t>
  </si>
  <si>
    <t>CAIXA DE LIGAÇÃO E PASSAGEM TIPO 6</t>
  </si>
  <si>
    <t>DMT GRELHAS:</t>
  </si>
  <si>
    <t>TRANSP. GRELHAS DMT ATÉ 30km:</t>
  </si>
  <si>
    <t>TRANSP. GRELHAS PEAD DMT EXC 30km:</t>
  </si>
  <si>
    <t>JARDIM ANTUNES - CORONEL SAPUCAIA</t>
  </si>
  <si>
    <t>QUANTIFICAÇÃO GERAL DA PAVIMENTAÇÃO</t>
  </si>
  <si>
    <t xml:space="preserve">Extensão </t>
  </si>
  <si>
    <t xml:space="preserve">Largura Via </t>
  </si>
  <si>
    <t xml:space="preserve">Largura Capa </t>
  </si>
  <si>
    <t>Áreas Complementares</t>
  </si>
  <si>
    <t xml:space="preserve">Áreas total
 de capa </t>
  </si>
  <si>
    <t>SUBLEITO</t>
  </si>
  <si>
    <t>BASE: BRITA (BGS)</t>
  </si>
  <si>
    <t>Pavimento Asfáltico</t>
  </si>
  <si>
    <t>Complementares</t>
  </si>
  <si>
    <t>Largura</t>
  </si>
  <si>
    <t>Área</t>
  </si>
  <si>
    <t xml:space="preserve">Vol. Corte </t>
  </si>
  <si>
    <t xml:space="preserve">Vol. Aterro </t>
  </si>
  <si>
    <t xml:space="preserve">Vol. Compensado </t>
  </si>
  <si>
    <t>Esp. Base:     15,00 cm</t>
  </si>
  <si>
    <t xml:space="preserve">Área Base </t>
  </si>
  <si>
    <t xml:space="preserve">Vol.  Base </t>
  </si>
  <si>
    <t xml:space="preserve">Imprimação    </t>
  </si>
  <si>
    <t>Pintura de Ligação</t>
  </si>
  <si>
    <t>Capa</t>
  </si>
  <si>
    <t>Guia e Sarjeta      MFC Tipo 1</t>
  </si>
  <si>
    <t>Tento</t>
  </si>
  <si>
    <t xml:space="preserve"> (m)</t>
  </si>
  <si>
    <t>Peso
(T)</t>
  </si>
  <si>
    <t>Rua Baltazar Saldanha</t>
  </si>
  <si>
    <t>Rua Clemenci Antunes</t>
  </si>
  <si>
    <t>ESC. MATERIAL:</t>
  </si>
  <si>
    <t>TRANSP. DE MATERIAL - BASE (DMT ATÉ 30 Km):</t>
  </si>
  <si>
    <t>EAI - IMPRIMAÇÃO (0,0012 T/m²):</t>
  </si>
  <si>
    <t>CARGA, MATERIAL (emp. 15%):</t>
  </si>
  <si>
    <t>TRANSP. DE MATERIAL - BASE (DMT EXC. 30 Km):</t>
  </si>
  <si>
    <t>TRANS. EAI (DMT ATÉ 30km):</t>
  </si>
  <si>
    <t>T*Km</t>
  </si>
  <si>
    <t>TRANSP. DE MATERIAL PARA BOTA-FORA (emp. 30%) (DMT ATÉ 30 Km):</t>
  </si>
  <si>
    <t>Carga e Manobra da BRITA - BASE:</t>
  </si>
  <si>
    <t>m³*KM</t>
  </si>
  <si>
    <t>TRANS. EAI (DMT EXC. 30km):</t>
  </si>
  <si>
    <t>T³*Km</t>
  </si>
  <si>
    <t>ESPALHAMENTO (VOLUME COMPENSADO):</t>
  </si>
  <si>
    <t>RR-2C - PINT. DE LIG. (0,0005 T/m²):</t>
  </si>
  <si>
    <t>ESC, CARGA E TRANS. 50 A 200M/ ESPALHAMENTO:</t>
  </si>
  <si>
    <t>TRANS. RR-2C (DMT ATÉ 30km):</t>
  </si>
  <si>
    <t>CARGA, MATERIAL (BRITA):</t>
  </si>
  <si>
    <t>COMPACTAÇÃO DE ATERRO:</t>
  </si>
  <si>
    <t>TRANS. RR-2C (DMT EXC. 30km):</t>
  </si>
  <si>
    <t>CBUQ - CAPA:</t>
  </si>
  <si>
    <t>TRANS. CBUQ (DMT ATÉ 30km):</t>
  </si>
  <si>
    <t>TRANS. CBUQ (DMT EXC. 30km):</t>
  </si>
  <si>
    <t>QUANTIFICAÇÃO DE CALÇADAS E ACESSIBILIDADE</t>
  </si>
  <si>
    <t>Comp. de Quadras (m)</t>
  </si>
  <si>
    <t>Largura de Calçadas (m)</t>
  </si>
  <si>
    <t>Largura de Grama (m)</t>
  </si>
  <si>
    <t>Cruzamentos e Desvios</t>
  </si>
  <si>
    <t>Preparo de Solo (m²)</t>
  </si>
  <si>
    <t>Área Total de Grama (m²)</t>
  </si>
  <si>
    <t>Comprimento Total de Piso Tátil (m)</t>
  </si>
  <si>
    <t>Área Total de Piso Tátil (m²)</t>
  </si>
  <si>
    <t>Área Total de Concreto (m²)</t>
  </si>
  <si>
    <t>Área de Concreto (m²)</t>
  </si>
  <si>
    <t>Área de grama (m²)</t>
  </si>
  <si>
    <t>Comp. de Piso Tátil (m)</t>
  </si>
  <si>
    <t>Quant. de Und.</t>
  </si>
  <si>
    <t>Área Total (m²)</t>
  </si>
  <si>
    <t>Rua Selvino Maciel da Silva</t>
  </si>
  <si>
    <t>Rua Adolf Antunes Rosa</t>
  </si>
  <si>
    <t>Rua Clêmecio Antunes</t>
  </si>
  <si>
    <t>Rua Benigno Vasconcelos</t>
  </si>
  <si>
    <t>Rua João Basílio Oliveira</t>
  </si>
  <si>
    <t>Rua Emílio Canan</t>
  </si>
  <si>
    <t>Movimentação de terra</t>
  </si>
  <si>
    <t>Resumo Piso Tátil</t>
  </si>
  <si>
    <t>Concreto</t>
  </si>
  <si>
    <t>Área Preparo do Terreno:</t>
  </si>
  <si>
    <t>Total Metros:</t>
  </si>
  <si>
    <t>Área Total a ser Concretada:</t>
  </si>
  <si>
    <t>Carga e descarga:</t>
  </si>
  <si>
    <t>Peso:</t>
  </si>
  <si>
    <t>kgf/m²</t>
  </si>
  <si>
    <t>Espessura das Calçadas:</t>
  </si>
  <si>
    <t>DMT Bota-Fora:</t>
  </si>
  <si>
    <t xml:space="preserve">Transporte de piso tátil (DMT até 30km): </t>
  </si>
  <si>
    <t>Volume de Concreto:</t>
  </si>
  <si>
    <t>Transporte bota fora (DMT até 30km):</t>
  </si>
  <si>
    <t xml:space="preserve">Transporte de piso tátil (DMT exc. 30km): </t>
  </si>
  <si>
    <t>Área a ser Concretada SOB Piso Tátil:</t>
  </si>
  <si>
    <t>Área de Grama:</t>
  </si>
  <si>
    <t>DMT:</t>
  </si>
  <si>
    <t>Espessura das Calçadas SOB Piso Tátil:</t>
  </si>
  <si>
    <t>Volume de Concreto SOB Piso Tátil:</t>
  </si>
  <si>
    <t>Volume Total de Concreto:</t>
  </si>
  <si>
    <t>Demolição de Calçada Existente:</t>
  </si>
  <si>
    <t>QUANTIFICAÇÃO DA SINALIZAÇÃO VERTICAL E HORIZONTAL</t>
  </si>
  <si>
    <t>SINALIZAÇÃO HORIZONTAL (PINTURA MECANIZADA)</t>
  </si>
  <si>
    <t>FAIXA TRACEJADA</t>
  </si>
  <si>
    <t>FAIXA CONTÍNUA</t>
  </si>
  <si>
    <t>SINALIZAÇÃO HORIZONTAL (PINTURA MANUAL)</t>
  </si>
  <si>
    <t>PINTURA DE FAIXA DE PEDESTRE, ZEBRADO E LINHA DE RETENÇÃO</t>
  </si>
  <si>
    <t xml:space="preserve"> PINTURA DE SÍMBOLOS E TEXTO</t>
  </si>
  <si>
    <t>SINALIZAÇÃO VERTICAL</t>
  </si>
  <si>
    <t>L0,35</t>
  </si>
  <si>
    <t>D0,60</t>
  </si>
  <si>
    <t>0,45x0,25</t>
  </si>
  <si>
    <t>'</t>
  </si>
  <si>
    <t>EMULSÃO ASFÁLTICA  - EAI</t>
  </si>
  <si>
    <t>JARDIM ANTUNES ETAPA 2 E JARDIM MATE DAS LARANJEIRAS</t>
  </si>
  <si>
    <t>Implantação de Pavimentação Asfáltica e Drenagem de Águas Pluviais - Parque Industrial e Jardim Mate Laranjeira</t>
  </si>
  <si>
    <t>Brita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</si>
</sst>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"/>
    <numFmt numFmtId="165" formatCode="#,##0.00\ &quot;m&quot;"/>
    <numFmt numFmtId="166" formatCode="#,##0.00\ &quot;m²&quot;"/>
    <numFmt numFmtId="167" formatCode="#,##0.00\ &quot;unid.&quot;"/>
    <numFmt numFmtId="168" formatCode="[$-416]mmm\-yy;@"/>
    <numFmt numFmtId="169" formatCode="0.000"/>
    <numFmt numFmtId="170" formatCode="0.0000"/>
    <numFmt numFmtId="171" formatCode="#,##0.000;\-#,##0.000"/>
    <numFmt numFmtId="172" formatCode="#,##0.00000"/>
    <numFmt numFmtId="175" formatCode="0.00000000%"/>
    <numFmt numFmtId="176" formatCode="#,##0.0000"/>
  </numFmts>
  <fonts count="11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sz val="10"/>
      <name val="Courier"/>
      <family val="3"/>
    </font>
    <font>
      <sz val="9"/>
      <color indexed="81"/>
      <name val="Segoe UI"/>
      <family val="2"/>
    </font>
    <font>
      <sz val="11"/>
      <name val="Arial"/>
      <family val="1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i/>
      <sz val="10"/>
      <name val="Calibri"/>
      <family val="2"/>
      <scheme val="minor"/>
    </font>
    <font>
      <sz val="8"/>
      <name val="Calibri"/>
      <family val="2"/>
      <scheme val="minor"/>
    </font>
    <font>
      <b/>
      <i/>
      <sz val="8"/>
      <name val="Calibri"/>
      <family val="2"/>
      <scheme val="minor"/>
    </font>
    <font>
      <vertAlign val="subscript"/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5"/>
      <name val="Calibri"/>
      <family val="2"/>
      <scheme val="minor"/>
    </font>
    <font>
      <b/>
      <vertAlign val="superscript"/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3" tint="0.39997558519241921"/>
      <name val="Calibri"/>
      <family val="2"/>
      <scheme val="minor"/>
    </font>
    <font>
      <b/>
      <u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vertAlign val="subscript"/>
      <sz val="9"/>
      <name val="Arial"/>
      <family val="2"/>
    </font>
    <font>
      <sz val="9"/>
      <color rgb="FF000000"/>
      <name val="Arial"/>
      <family val="2"/>
    </font>
    <font>
      <b/>
      <i/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rgb="FF00B0F0"/>
      <name val="Calibri"/>
      <family val="2"/>
      <scheme val="minor"/>
    </font>
    <font>
      <sz val="8"/>
      <name val="Times New Roman"/>
      <charset val="204"/>
    </font>
    <font>
      <u/>
      <sz val="10"/>
      <color theme="10"/>
      <name val="Courier"/>
      <family val="3"/>
    </font>
    <font>
      <b/>
      <i/>
      <sz val="10"/>
      <color theme="0" tint="-4.9989318521683403E-2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b/>
      <sz val="10"/>
      <color rgb="FF0070C0"/>
      <name val="Calibri"/>
      <family val="2"/>
      <scheme val="minor"/>
    </font>
    <font>
      <b/>
      <sz val="10"/>
      <color theme="4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gray0625">
        <bgColor theme="4" tint="0.79995117038483843"/>
      </patternFill>
    </fill>
    <fill>
      <patternFill patternType="solid">
        <fgColor rgb="FFFFFF00"/>
        <bgColor indexed="64"/>
      </patternFill>
    </fill>
  </fills>
  <borders count="10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3">
    <xf numFmtId="0" fontId="0" fillId="0" borderId="0"/>
    <xf numFmtId="0" fontId="48" fillId="0" borderId="0"/>
    <xf numFmtId="9" fontId="48" fillId="0" borderId="0" applyFont="0" applyFill="0" applyBorder="0" applyAlignment="0" applyProtection="0"/>
    <xf numFmtId="0" fontId="47" fillId="0" borderId="0"/>
    <xf numFmtId="43" fontId="51" fillId="0" borderId="0" applyFont="0" applyFill="0" applyBorder="0" applyAlignment="0" applyProtection="0"/>
    <xf numFmtId="0" fontId="46" fillId="0" borderId="0"/>
    <xf numFmtId="0" fontId="52" fillId="0" borderId="0"/>
    <xf numFmtId="0" fontId="51" fillId="0" borderId="0"/>
    <xf numFmtId="0" fontId="51" fillId="0" borderId="0"/>
    <xf numFmtId="43" fontId="51" fillId="0" borderId="0" applyFont="0" applyFill="0" applyBorder="0" applyAlignment="0" applyProtection="0"/>
    <xf numFmtId="0" fontId="45" fillId="0" borderId="0"/>
    <xf numFmtId="43" fontId="45" fillId="0" borderId="0" applyFont="0" applyFill="0" applyBorder="0" applyAlignment="0" applyProtection="0"/>
    <xf numFmtId="0" fontId="45" fillId="0" borderId="0"/>
    <xf numFmtId="168" fontId="59" fillId="0" borderId="0"/>
    <xf numFmtId="0" fontId="44" fillId="0" borderId="0"/>
    <xf numFmtId="43" fontId="44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59" fillId="0" borderId="0" applyFont="0" applyFill="0" applyBorder="0" applyAlignment="0" applyProtection="0"/>
    <xf numFmtId="0" fontId="44" fillId="0" borderId="0"/>
    <xf numFmtId="0" fontId="43" fillId="0" borderId="0"/>
    <xf numFmtId="43" fontId="43" fillId="0" borderId="0" applyFont="0" applyFill="0" applyBorder="0" applyAlignment="0" applyProtection="0"/>
    <xf numFmtId="0" fontId="61" fillId="0" borderId="0"/>
    <xf numFmtId="0" fontId="61" fillId="0" borderId="0"/>
    <xf numFmtId="0" fontId="42" fillId="0" borderId="0"/>
    <xf numFmtId="0" fontId="41" fillId="0" borderId="0"/>
    <xf numFmtId="9" fontId="41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1" fillId="0" borderId="0"/>
    <xf numFmtId="0" fontId="41" fillId="0" borderId="0"/>
    <xf numFmtId="9" fontId="41" fillId="0" borderId="0" applyFont="0" applyFill="0" applyBorder="0" applyAlignment="0" applyProtection="0"/>
    <xf numFmtId="0" fontId="41" fillId="0" borderId="0"/>
    <xf numFmtId="0" fontId="52" fillId="0" borderId="0"/>
    <xf numFmtId="43" fontId="52" fillId="0" borderId="0" applyFont="0" applyFill="0" applyBorder="0" applyAlignment="0" applyProtection="0"/>
    <xf numFmtId="9" fontId="52" fillId="0" borderId="0" applyFont="0" applyFill="0" applyBorder="0" applyAlignment="0" applyProtection="0"/>
    <xf numFmtId="0" fontId="40" fillId="0" borderId="0"/>
    <xf numFmtId="0" fontId="51" fillId="0" borderId="0"/>
    <xf numFmtId="0" fontId="51" fillId="0" borderId="0"/>
    <xf numFmtId="43" fontId="40" fillId="0" borderId="0" applyFont="0" applyFill="0" applyBorder="0" applyAlignment="0" applyProtection="0"/>
    <xf numFmtId="0" fontId="51" fillId="0" borderId="0"/>
    <xf numFmtId="0" fontId="39" fillId="0" borderId="0"/>
    <xf numFmtId="43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38" fillId="0" borderId="0"/>
    <xf numFmtId="9" fontId="38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0" fontId="35" fillId="0" borderId="0"/>
    <xf numFmtId="0" fontId="34" fillId="0" borderId="0"/>
    <xf numFmtId="43" fontId="34" fillId="0" borderId="0" applyFont="0" applyFill="0" applyBorder="0" applyAlignment="0" applyProtection="0"/>
    <xf numFmtId="0" fontId="33" fillId="0" borderId="0"/>
    <xf numFmtId="0" fontId="32" fillId="0" borderId="0"/>
    <xf numFmtId="0" fontId="51" fillId="0" borderId="0"/>
    <xf numFmtId="44" fontId="51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31" fillId="0" borderId="0"/>
    <xf numFmtId="0" fontId="30" fillId="0" borderId="0"/>
    <xf numFmtId="9" fontId="30" fillId="0" borderId="0" applyFont="0" applyFill="0" applyBorder="0" applyAlignment="0" applyProtection="0"/>
    <xf numFmtId="0" fontId="30" fillId="0" borderId="0"/>
    <xf numFmtId="0" fontId="52" fillId="0" borderId="0"/>
    <xf numFmtId="9" fontId="52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0" fontId="29" fillId="0" borderId="0"/>
    <xf numFmtId="0" fontId="29" fillId="0" borderId="0"/>
    <xf numFmtId="44" fontId="52" fillId="0" borderId="0" applyFont="0" applyFill="0" applyBorder="0" applyAlignment="0" applyProtection="0"/>
    <xf numFmtId="0" fontId="28" fillId="0" borderId="0"/>
    <xf numFmtId="0" fontId="28" fillId="0" borderId="0"/>
    <xf numFmtId="9" fontId="28" fillId="0" borderId="0" applyFont="0" applyFill="0" applyBorder="0" applyAlignment="0" applyProtection="0"/>
    <xf numFmtId="0" fontId="27" fillId="0" borderId="0"/>
    <xf numFmtId="0" fontId="26" fillId="0" borderId="0"/>
    <xf numFmtId="43" fontId="26" fillId="0" borderId="0" applyFont="0" applyFill="0" applyBorder="0" applyAlignment="0" applyProtection="0"/>
    <xf numFmtId="0" fontId="25" fillId="0" borderId="0"/>
    <xf numFmtId="43" fontId="25" fillId="0" borderId="0" applyFont="0" applyFill="0" applyBorder="0" applyAlignment="0" applyProtection="0"/>
    <xf numFmtId="0" fontId="46" fillId="0" borderId="0"/>
    <xf numFmtId="9" fontId="46" fillId="0" borderId="0" applyFont="0" applyFill="0" applyBorder="0" applyAlignment="0" applyProtection="0"/>
    <xf numFmtId="0" fontId="46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5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46" fillId="0" borderId="0"/>
    <xf numFmtId="9" fontId="46" fillId="0" borderId="0" applyFont="0" applyFill="0" applyBorder="0" applyAlignment="0" applyProtection="0"/>
    <xf numFmtId="0" fontId="46" fillId="0" borderId="0"/>
    <xf numFmtId="43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43" fontId="51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52" fillId="0" borderId="0" applyFont="0" applyFill="0" applyBorder="0" applyAlignment="0" applyProtection="0"/>
    <xf numFmtId="44" fontId="52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5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44" fontId="51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24" fillId="0" borderId="0"/>
    <xf numFmtId="9" fontId="24" fillId="0" borderId="0" applyFont="0" applyFill="0" applyBorder="0" applyAlignment="0" applyProtection="0"/>
    <xf numFmtId="0" fontId="24" fillId="0" borderId="0"/>
    <xf numFmtId="0" fontId="24" fillId="0" borderId="0"/>
    <xf numFmtId="9" fontId="24" fillId="0" borderId="0" applyFont="0" applyFill="0" applyBorder="0" applyAlignment="0" applyProtection="0"/>
    <xf numFmtId="0" fontId="23" fillId="0" borderId="0"/>
    <xf numFmtId="0" fontId="22" fillId="0" borderId="0"/>
    <xf numFmtId="0" fontId="21" fillId="0" borderId="0"/>
    <xf numFmtId="0" fontId="21" fillId="0" borderId="0"/>
    <xf numFmtId="0" fontId="20" fillId="0" borderId="0"/>
    <xf numFmtId="9" fontId="20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43" fontId="18" fillId="0" borderId="0" applyFont="0" applyFill="0" applyBorder="0" applyAlignment="0" applyProtection="0"/>
    <xf numFmtId="0" fontId="17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5" fillId="0" borderId="0"/>
    <xf numFmtId="0" fontId="61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0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471">
    <xf numFmtId="0" fontId="0" fillId="0" borderId="0" xfId="0" applyAlignment="1">
      <alignment horizontal="left" vertical="top"/>
    </xf>
    <xf numFmtId="0" fontId="57" fillId="2" borderId="0" xfId="12" applyFont="1" applyFill="1" applyAlignment="1">
      <alignment vertical="center"/>
    </xf>
    <xf numFmtId="0" fontId="57" fillId="2" borderId="0" xfId="12" applyFont="1" applyFill="1"/>
    <xf numFmtId="166" fontId="57" fillId="2" borderId="11" xfId="12" applyNumberFormat="1" applyFont="1" applyFill="1" applyBorder="1" applyAlignment="1">
      <alignment horizontal="center" vertical="center"/>
    </xf>
    <xf numFmtId="0" fontId="57" fillId="2" borderId="48" xfId="12" applyFont="1" applyFill="1" applyBorder="1"/>
    <xf numFmtId="0" fontId="53" fillId="2" borderId="0" xfId="12" applyFont="1" applyFill="1" applyAlignment="1">
      <alignment horizontal="center" vertical="center"/>
    </xf>
    <xf numFmtId="44" fontId="50" fillId="0" borderId="11" xfId="60" applyFont="1" applyBorder="1" applyAlignment="1">
      <alignment vertical="center"/>
    </xf>
    <xf numFmtId="0" fontId="50" fillId="0" borderId="11" xfId="59" applyFont="1" applyBorder="1" applyAlignment="1">
      <alignment horizontal="center" vertical="center"/>
    </xf>
    <xf numFmtId="44" fontId="49" fillId="4" borderId="11" xfId="61" applyFont="1" applyFill="1" applyBorder="1" applyAlignment="1">
      <alignment horizontal="center" vertical="center"/>
    </xf>
    <xf numFmtId="2" fontId="49" fillId="2" borderId="0" xfId="7" applyNumberFormat="1" applyFont="1" applyFill="1" applyAlignment="1">
      <alignment horizontal="center" vertical="center"/>
    </xf>
    <xf numFmtId="4" fontId="50" fillId="0" borderId="11" xfId="9" applyNumberFormat="1" applyFont="1" applyFill="1" applyBorder="1" applyAlignment="1">
      <alignment horizontal="center" vertical="center"/>
    </xf>
    <xf numFmtId="0" fontId="50" fillId="0" borderId="13" xfId="59" applyFont="1" applyBorder="1" applyAlignment="1">
      <alignment horizontal="center" vertical="center"/>
    </xf>
    <xf numFmtId="44" fontId="50" fillId="0" borderId="11" xfId="60" applyFont="1" applyFill="1" applyBorder="1" applyAlignment="1">
      <alignment vertical="center"/>
    </xf>
    <xf numFmtId="2" fontId="49" fillId="0" borderId="0" xfId="7" applyNumberFormat="1" applyFont="1" applyAlignment="1">
      <alignment horizontal="right" vertical="center"/>
    </xf>
    <xf numFmtId="0" fontId="55" fillId="2" borderId="0" xfId="174" applyFont="1" applyFill="1" applyAlignment="1">
      <alignment vertical="center"/>
    </xf>
    <xf numFmtId="0" fontId="55" fillId="2" borderId="0" xfId="174" applyFont="1" applyFill="1" applyAlignment="1">
      <alignment horizontal="left" vertical="center"/>
    </xf>
    <xf numFmtId="0" fontId="56" fillId="2" borderId="0" xfId="174" applyFont="1" applyFill="1" applyAlignment="1">
      <alignment vertical="center"/>
    </xf>
    <xf numFmtId="0" fontId="56" fillId="2" borderId="0" xfId="174" applyFont="1" applyFill="1" applyAlignment="1">
      <alignment horizontal="center" vertical="center"/>
    </xf>
    <xf numFmtId="39" fontId="56" fillId="4" borderId="51" xfId="174" applyNumberFormat="1" applyFont="1" applyFill="1" applyBorder="1" applyAlignment="1">
      <alignment horizontal="center" vertical="center" wrapText="1"/>
    </xf>
    <xf numFmtId="39" fontId="56" fillId="4" borderId="44" xfId="174" applyNumberFormat="1" applyFont="1" applyFill="1" applyBorder="1" applyAlignment="1">
      <alignment horizontal="center" vertical="center" wrapText="1"/>
    </xf>
    <xf numFmtId="39" fontId="56" fillId="4" borderId="11" xfId="174" applyNumberFormat="1" applyFont="1" applyFill="1" applyBorder="1" applyAlignment="1">
      <alignment horizontal="center" vertical="center" wrapText="1"/>
    </xf>
    <xf numFmtId="39" fontId="56" fillId="4" borderId="12" xfId="174" applyNumberFormat="1" applyFont="1" applyFill="1" applyBorder="1" applyAlignment="1">
      <alignment horizontal="center" vertical="center" wrapText="1"/>
    </xf>
    <xf numFmtId="37" fontId="56" fillId="0" borderId="16" xfId="174" applyNumberFormat="1" applyFont="1" applyBorder="1" applyAlignment="1">
      <alignment horizontal="left" vertical="center" wrapText="1"/>
    </xf>
    <xf numFmtId="4" fontId="55" fillId="2" borderId="11" xfId="174" applyNumberFormat="1" applyFont="1" applyFill="1" applyBorder="1" applyAlignment="1">
      <alignment horizontal="center" vertical="center" wrapText="1"/>
    </xf>
    <xf numFmtId="4" fontId="55" fillId="0" borderId="11" xfId="174" applyNumberFormat="1" applyFont="1" applyBorder="1" applyAlignment="1">
      <alignment horizontal="center" vertical="center" wrapText="1"/>
    </xf>
    <xf numFmtId="4" fontId="55" fillId="0" borderId="12" xfId="174" applyNumberFormat="1" applyFont="1" applyBorder="1" applyAlignment="1">
      <alignment horizontal="center" vertical="center" wrapText="1"/>
    </xf>
    <xf numFmtId="0" fontId="55" fillId="2" borderId="0" xfId="174" applyFont="1" applyFill="1" applyAlignment="1">
      <alignment horizontal="center" vertical="center" textRotation="90"/>
    </xf>
    <xf numFmtId="0" fontId="55" fillId="0" borderId="0" xfId="174" applyFont="1" applyAlignment="1">
      <alignment vertical="center"/>
    </xf>
    <xf numFmtId="37" fontId="56" fillId="0" borderId="18" xfId="174" applyNumberFormat="1" applyFont="1" applyBorder="1" applyAlignment="1">
      <alignment horizontal="center" vertical="center" wrapText="1"/>
    </xf>
    <xf numFmtId="4" fontId="56" fillId="0" borderId="20" xfId="174" applyNumberFormat="1" applyFont="1" applyBorder="1" applyAlignment="1">
      <alignment horizontal="center" vertical="center" wrapText="1"/>
    </xf>
    <xf numFmtId="4" fontId="55" fillId="2" borderId="0" xfId="174" applyNumberFormat="1" applyFont="1" applyFill="1" applyAlignment="1">
      <alignment horizontal="center" vertical="center"/>
    </xf>
    <xf numFmtId="0" fontId="50" fillId="0" borderId="0" xfId="7" applyFont="1" applyAlignment="1">
      <alignment vertical="center"/>
    </xf>
    <xf numFmtId="0" fontId="50" fillId="0" borderId="0" xfId="7" applyFont="1" applyAlignment="1">
      <alignment horizontal="center" vertical="center"/>
    </xf>
    <xf numFmtId="43" fontId="50" fillId="0" borderId="0" xfId="7" applyNumberFormat="1" applyFont="1" applyAlignment="1">
      <alignment vertical="center"/>
    </xf>
    <xf numFmtId="43" fontId="50" fillId="0" borderId="0" xfId="7" applyNumberFormat="1" applyFont="1" applyAlignment="1">
      <alignment horizontal="center" vertical="center"/>
    </xf>
    <xf numFmtId="2" fontId="50" fillId="0" borderId="0" xfId="7" applyNumberFormat="1" applyFont="1" applyAlignment="1">
      <alignment vertical="center"/>
    </xf>
    <xf numFmtId="43" fontId="49" fillId="0" borderId="0" xfId="9" applyFont="1" applyFill="1" applyAlignment="1">
      <alignment vertical="center"/>
    </xf>
    <xf numFmtId="43" fontId="49" fillId="0" borderId="0" xfId="9" applyFont="1" applyFill="1" applyAlignment="1">
      <alignment horizontal="center" vertical="center"/>
    </xf>
    <xf numFmtId="2" fontId="49" fillId="0" borderId="0" xfId="9" applyNumberFormat="1" applyFont="1" applyFill="1" applyAlignment="1">
      <alignment vertical="center"/>
    </xf>
    <xf numFmtId="0" fontId="49" fillId="0" borderId="0" xfId="7" applyFont="1" applyAlignment="1">
      <alignment horizontal="right" vertical="center"/>
    </xf>
    <xf numFmtId="43" fontId="49" fillId="0" borderId="0" xfId="9" applyFont="1" applyFill="1" applyAlignment="1">
      <alignment horizontal="left" vertical="center"/>
    </xf>
    <xf numFmtId="0" fontId="49" fillId="0" borderId="0" xfId="7" applyFont="1" applyAlignment="1">
      <alignment vertical="center"/>
    </xf>
    <xf numFmtId="43" fontId="49" fillId="0" borderId="0" xfId="9" applyFont="1" applyFill="1" applyAlignment="1">
      <alignment horizontal="right" vertical="center"/>
    </xf>
    <xf numFmtId="43" fontId="50" fillId="0" borderId="0" xfId="9" applyFont="1" applyFill="1" applyAlignment="1">
      <alignment vertical="center"/>
    </xf>
    <xf numFmtId="0" fontId="50" fillId="0" borderId="0" xfId="7" applyFont="1" applyAlignment="1">
      <alignment vertical="center" textRotation="90" wrapText="1"/>
    </xf>
    <xf numFmtId="0" fontId="89" fillId="2" borderId="0" xfId="175" applyFont="1" applyFill="1" applyAlignment="1">
      <alignment vertical="center"/>
    </xf>
    <xf numFmtId="49" fontId="54" fillId="2" borderId="0" xfId="175" applyNumberFormat="1" applyFont="1" applyFill="1" applyAlignment="1">
      <alignment vertical="center"/>
    </xf>
    <xf numFmtId="0" fontId="50" fillId="2" borderId="0" xfId="175" applyFont="1" applyFill="1" applyAlignment="1">
      <alignment vertical="center"/>
    </xf>
    <xf numFmtId="10" fontId="50" fillId="2" borderId="0" xfId="176" applyNumberFormat="1" applyFont="1" applyFill="1" applyAlignment="1">
      <alignment vertical="center"/>
    </xf>
    <xf numFmtId="0" fontId="50" fillId="2" borderId="0" xfId="175" applyFont="1" applyFill="1" applyAlignment="1">
      <alignment horizontal="center" vertical="center"/>
    </xf>
    <xf numFmtId="0" fontId="49" fillId="2" borderId="0" xfId="175" applyFont="1" applyFill="1" applyAlignment="1">
      <alignment horizontal="center" vertical="center"/>
    </xf>
    <xf numFmtId="0" fontId="64" fillId="2" borderId="0" xfId="175" applyFont="1" applyFill="1" applyAlignment="1">
      <alignment vertical="center"/>
    </xf>
    <xf numFmtId="9" fontId="50" fillId="2" borderId="0" xfId="176" applyFont="1" applyFill="1" applyAlignment="1">
      <alignment vertical="center"/>
    </xf>
    <xf numFmtId="0" fontId="57" fillId="2" borderId="0" xfId="175" applyFont="1" applyFill="1"/>
    <xf numFmtId="0" fontId="89" fillId="0" borderId="0" xfId="175" applyFont="1" applyAlignment="1">
      <alignment vertical="center"/>
    </xf>
    <xf numFmtId="49" fontId="50" fillId="0" borderId="0" xfId="175" applyNumberFormat="1" applyFont="1" applyAlignment="1">
      <alignment vertical="center"/>
    </xf>
    <xf numFmtId="0" fontId="50" fillId="0" borderId="0" xfId="175" applyFont="1" applyAlignment="1">
      <alignment vertical="center"/>
    </xf>
    <xf numFmtId="10" fontId="50" fillId="0" borderId="0" xfId="176" applyNumberFormat="1" applyFont="1" applyAlignment="1">
      <alignment vertical="center"/>
    </xf>
    <xf numFmtId="0" fontId="50" fillId="0" borderId="0" xfId="175" applyFont="1" applyAlignment="1">
      <alignment horizontal="center" vertical="center"/>
    </xf>
    <xf numFmtId="0" fontId="49" fillId="0" borderId="0" xfId="175" applyFont="1" applyAlignment="1">
      <alignment horizontal="center" vertical="center"/>
    </xf>
    <xf numFmtId="0" fontId="64" fillId="0" borderId="0" xfId="175" applyFont="1" applyAlignment="1">
      <alignment vertical="center"/>
    </xf>
    <xf numFmtId="9" fontId="50" fillId="0" borderId="0" xfId="176" applyFont="1" applyAlignment="1">
      <alignment vertical="center"/>
    </xf>
    <xf numFmtId="0" fontId="90" fillId="0" borderId="0" xfId="175" applyFont="1" applyAlignment="1">
      <alignment vertical="center"/>
    </xf>
    <xf numFmtId="0" fontId="65" fillId="0" borderId="0" xfId="175" applyFont="1" applyAlignment="1">
      <alignment vertical="center" wrapText="1"/>
    </xf>
    <xf numFmtId="0" fontId="65" fillId="0" borderId="0" xfId="175" applyFont="1" applyAlignment="1">
      <alignment vertical="center"/>
    </xf>
    <xf numFmtId="10" fontId="65" fillId="0" borderId="0" xfId="176" applyNumberFormat="1" applyFont="1" applyAlignment="1">
      <alignment vertical="center"/>
    </xf>
    <xf numFmtId="0" fontId="65" fillId="0" borderId="0" xfId="175" applyFont="1" applyAlignment="1">
      <alignment horizontal="center" vertical="center"/>
    </xf>
    <xf numFmtId="0" fontId="68" fillId="0" borderId="0" xfId="175" applyFont="1" applyAlignment="1">
      <alignment horizontal="center" vertical="center"/>
    </xf>
    <xf numFmtId="0" fontId="66" fillId="0" borderId="0" xfId="175" applyFont="1" applyAlignment="1">
      <alignment vertical="center"/>
    </xf>
    <xf numFmtId="9" fontId="65" fillId="0" borderId="0" xfId="176" applyFont="1" applyAlignment="1">
      <alignment vertical="center"/>
    </xf>
    <xf numFmtId="0" fontId="74" fillId="0" borderId="0" xfId="175" applyFont="1" applyAlignment="1">
      <alignment vertical="center"/>
    </xf>
    <xf numFmtId="0" fontId="50" fillId="0" borderId="35" xfId="175" applyFont="1" applyBorder="1" applyAlignment="1">
      <alignment vertical="center"/>
    </xf>
    <xf numFmtId="4" fontId="50" fillId="0" borderId="22" xfId="175" applyNumberFormat="1" applyFont="1" applyBorder="1" applyAlignment="1">
      <alignment vertical="center"/>
    </xf>
    <xf numFmtId="0" fontId="50" fillId="0" borderId="36" xfId="175" applyFont="1" applyBorder="1" applyAlignment="1">
      <alignment horizontal="right" vertical="center"/>
    </xf>
    <xf numFmtId="2" fontId="50" fillId="0" borderId="23" xfId="175" applyNumberFormat="1" applyFont="1" applyBorder="1" applyAlignment="1">
      <alignment horizontal="right" vertical="center"/>
    </xf>
    <xf numFmtId="0" fontId="50" fillId="0" borderId="47" xfId="175" applyFont="1" applyBorder="1" applyAlignment="1">
      <alignment vertical="center"/>
    </xf>
    <xf numFmtId="10" fontId="68" fillId="0" borderId="0" xfId="176" applyNumberFormat="1" applyFont="1" applyAlignment="1">
      <alignment vertical="center"/>
    </xf>
    <xf numFmtId="0" fontId="50" fillId="0" borderId="14" xfId="175" applyFont="1" applyBorder="1" applyAlignment="1">
      <alignment vertical="center"/>
    </xf>
    <xf numFmtId="0" fontId="50" fillId="0" borderId="11" xfId="175" applyFont="1" applyBorder="1" applyAlignment="1">
      <alignment vertical="center"/>
    </xf>
    <xf numFmtId="0" fontId="50" fillId="0" borderId="10" xfId="175" applyFont="1" applyBorder="1" applyAlignment="1">
      <alignment horizontal="right" vertical="center"/>
    </xf>
    <xf numFmtId="1" fontId="50" fillId="0" borderId="12" xfId="175" applyNumberFormat="1" applyFont="1" applyBorder="1" applyAlignment="1">
      <alignment vertical="center"/>
    </xf>
    <xf numFmtId="2" fontId="50" fillId="0" borderId="0" xfId="175" applyNumberFormat="1" applyFont="1" applyAlignment="1">
      <alignment horizontal="center" vertical="center"/>
    </xf>
    <xf numFmtId="0" fontId="50" fillId="0" borderId="37" xfId="175" applyFont="1" applyBorder="1" applyAlignment="1">
      <alignment vertical="center"/>
    </xf>
    <xf numFmtId="0" fontId="50" fillId="0" borderId="19" xfId="175" applyFont="1" applyBorder="1" applyAlignment="1">
      <alignment vertical="center"/>
    </xf>
    <xf numFmtId="0" fontId="50" fillId="0" borderId="33" xfId="175" applyFont="1" applyBorder="1" applyAlignment="1">
      <alignment horizontal="right" vertical="center"/>
    </xf>
    <xf numFmtId="169" fontId="50" fillId="0" borderId="20" xfId="175" applyNumberFormat="1" applyFont="1" applyBorder="1" applyAlignment="1">
      <alignment vertical="center"/>
    </xf>
    <xf numFmtId="0" fontId="90" fillId="2" borderId="0" xfId="175" applyFont="1" applyFill="1" applyAlignment="1">
      <alignment vertical="center"/>
    </xf>
    <xf numFmtId="0" fontId="50" fillId="2" borderId="0" xfId="175" applyFont="1" applyFill="1" applyAlignment="1">
      <alignment horizontal="right" vertical="center"/>
    </xf>
    <xf numFmtId="169" fontId="50" fillId="2" borderId="0" xfId="175" applyNumberFormat="1" applyFont="1" applyFill="1" applyAlignment="1">
      <alignment vertical="center"/>
    </xf>
    <xf numFmtId="0" fontId="50" fillId="2" borderId="0" xfId="175" applyFont="1" applyFill="1" applyAlignment="1">
      <alignment horizontal="left" vertical="center"/>
    </xf>
    <xf numFmtId="0" fontId="65" fillId="2" borderId="0" xfId="175" applyFont="1" applyFill="1" applyAlignment="1">
      <alignment vertical="center"/>
    </xf>
    <xf numFmtId="10" fontId="65" fillId="2" borderId="0" xfId="176" applyNumberFormat="1" applyFont="1" applyFill="1" applyAlignment="1">
      <alignment vertical="center"/>
    </xf>
    <xf numFmtId="0" fontId="65" fillId="2" borderId="0" xfId="175" applyFont="1" applyFill="1" applyAlignment="1">
      <alignment horizontal="center" vertical="center"/>
    </xf>
    <xf numFmtId="0" fontId="68" fillId="2" borderId="0" xfId="175" applyFont="1" applyFill="1" applyAlignment="1">
      <alignment horizontal="center" vertical="center"/>
    </xf>
    <xf numFmtId="0" fontId="66" fillId="2" borderId="0" xfId="175" applyFont="1" applyFill="1" applyAlignment="1">
      <alignment vertical="center"/>
    </xf>
    <xf numFmtId="9" fontId="65" fillId="2" borderId="0" xfId="176" applyFont="1" applyFill="1" applyAlignment="1">
      <alignment vertical="center"/>
    </xf>
    <xf numFmtId="0" fontId="91" fillId="2" borderId="0" xfId="175" applyFont="1" applyFill="1" applyAlignment="1">
      <alignment vertical="center"/>
    </xf>
    <xf numFmtId="0" fontId="54" fillId="2" borderId="0" xfId="175" applyFont="1" applyFill="1" applyAlignment="1">
      <alignment vertical="center"/>
    </xf>
    <xf numFmtId="0" fontId="72" fillId="2" borderId="0" xfId="175" applyFont="1" applyFill="1" applyAlignment="1">
      <alignment vertical="center"/>
    </xf>
    <xf numFmtId="0" fontId="68" fillId="2" borderId="0" xfId="175" applyFont="1" applyFill="1" applyAlignment="1">
      <alignment vertical="center"/>
    </xf>
    <xf numFmtId="0" fontId="72" fillId="2" borderId="0" xfId="175" applyFont="1" applyFill="1" applyAlignment="1">
      <alignment horizontal="center" vertical="center"/>
    </xf>
    <xf numFmtId="39" fontId="68" fillId="4" borderId="11" xfId="175" applyNumberFormat="1" applyFont="1" applyFill="1" applyBorder="1" applyAlignment="1">
      <alignment horizontal="center" vertical="center" textRotation="90" wrapText="1"/>
    </xf>
    <xf numFmtId="37" fontId="68" fillId="4" borderId="11" xfId="175" applyNumberFormat="1" applyFont="1" applyFill="1" applyBorder="1" applyAlignment="1">
      <alignment horizontal="center" vertical="center" textRotation="90" wrapText="1"/>
    </xf>
    <xf numFmtId="9" fontId="68" fillId="4" borderId="11" xfId="176" applyFont="1" applyFill="1" applyBorder="1" applyAlignment="1">
      <alignment horizontal="center" vertical="center" textRotation="90" wrapText="1"/>
    </xf>
    <xf numFmtId="4" fontId="50" fillId="2" borderId="0" xfId="175" applyNumberFormat="1" applyFont="1" applyFill="1" applyAlignment="1">
      <alignment vertical="center"/>
    </xf>
    <xf numFmtId="37" fontId="68" fillId="6" borderId="16" xfId="175" applyNumberFormat="1" applyFont="1" applyFill="1" applyBorder="1" applyAlignment="1">
      <alignment horizontal="center" vertical="center" wrapText="1"/>
    </xf>
    <xf numFmtId="4" fontId="73" fillId="2" borderId="11" xfId="175" applyNumberFormat="1" applyFont="1" applyFill="1" applyBorder="1" applyAlignment="1">
      <alignment horizontal="center" vertical="center" wrapText="1"/>
    </xf>
    <xf numFmtId="3" fontId="73" fillId="0" borderId="11" xfId="175" applyNumberFormat="1" applyFont="1" applyBorder="1" applyAlignment="1">
      <alignment horizontal="center" vertical="center" wrapText="1"/>
    </xf>
    <xf numFmtId="0" fontId="73" fillId="0" borderId="11" xfId="175" applyFont="1" applyBorder="1" applyAlignment="1">
      <alignment horizontal="center" vertical="center" wrapText="1"/>
    </xf>
    <xf numFmtId="4" fontId="73" fillId="0" borderId="11" xfId="175" applyNumberFormat="1" applyFont="1" applyBorder="1" applyAlignment="1">
      <alignment horizontal="center" vertical="center" wrapText="1"/>
    </xf>
    <xf numFmtId="1" fontId="73" fillId="0" borderId="11" xfId="175" applyNumberFormat="1" applyFont="1" applyBorder="1" applyAlignment="1">
      <alignment horizontal="center" vertical="center" wrapText="1"/>
    </xf>
    <xf numFmtId="9" fontId="73" fillId="0" borderId="11" xfId="19" applyFont="1" applyBorder="1" applyAlignment="1">
      <alignment horizontal="center" vertical="center" wrapText="1"/>
    </xf>
    <xf numFmtId="9" fontId="73" fillId="0" borderId="11" xfId="176" applyFont="1" applyFill="1" applyBorder="1" applyAlignment="1">
      <alignment horizontal="center" vertical="center" wrapText="1"/>
    </xf>
    <xf numFmtId="4" fontId="73" fillId="0" borderId="12" xfId="175" applyNumberFormat="1" applyFont="1" applyBorder="1" applyAlignment="1">
      <alignment horizontal="center" vertical="center" wrapText="1"/>
    </xf>
    <xf numFmtId="164" fontId="50" fillId="0" borderId="11" xfId="175" applyNumberFormat="1" applyFont="1" applyBorder="1" applyAlignment="1">
      <alignment vertical="center"/>
    </xf>
    <xf numFmtId="49" fontId="49" fillId="6" borderId="16" xfId="175" applyNumberFormat="1" applyFont="1" applyFill="1" applyBorder="1" applyAlignment="1">
      <alignment vertical="center"/>
    </xf>
    <xf numFmtId="4" fontId="50" fillId="0" borderId="11" xfId="175" applyNumberFormat="1" applyFont="1" applyBorder="1" applyAlignment="1">
      <alignment vertical="center"/>
    </xf>
    <xf numFmtId="10" fontId="50" fillId="0" borderId="11" xfId="176" applyNumberFormat="1" applyFont="1" applyFill="1" applyBorder="1" applyAlignment="1">
      <alignment vertical="center"/>
    </xf>
    <xf numFmtId="170" fontId="50" fillId="0" borderId="11" xfId="17" applyNumberFormat="1" applyFont="1" applyFill="1" applyBorder="1" applyAlignment="1">
      <alignment vertical="center"/>
    </xf>
    <xf numFmtId="4" fontId="50" fillId="0" borderId="12" xfId="175" applyNumberFormat="1" applyFont="1" applyBorder="1" applyAlignment="1">
      <alignment vertical="center"/>
    </xf>
    <xf numFmtId="4" fontId="50" fillId="0" borderId="19" xfId="175" applyNumberFormat="1" applyFont="1" applyBorder="1" applyAlignment="1">
      <alignment vertical="center"/>
    </xf>
    <xf numFmtId="164" fontId="50" fillId="0" borderId="19" xfId="175" applyNumberFormat="1" applyFont="1" applyBorder="1" applyAlignment="1">
      <alignment vertical="center"/>
    </xf>
    <xf numFmtId="10" fontId="50" fillId="0" borderId="19" xfId="176" applyNumberFormat="1" applyFont="1" applyFill="1" applyBorder="1" applyAlignment="1">
      <alignment vertical="center"/>
    </xf>
    <xf numFmtId="170" fontId="50" fillId="0" borderId="19" xfId="17" applyNumberFormat="1" applyFont="1" applyFill="1" applyBorder="1" applyAlignment="1">
      <alignment vertical="center"/>
    </xf>
    <xf numFmtId="4" fontId="50" fillId="0" borderId="20" xfId="175" applyNumberFormat="1" applyFont="1" applyBorder="1" applyAlignment="1">
      <alignment vertical="center"/>
    </xf>
    <xf numFmtId="0" fontId="53" fillId="2" borderId="50" xfId="175" applyFont="1" applyFill="1" applyBorder="1" applyAlignment="1">
      <alignment vertical="center"/>
    </xf>
    <xf numFmtId="37" fontId="68" fillId="6" borderId="18" xfId="175" applyNumberFormat="1" applyFont="1" applyFill="1" applyBorder="1" applyAlignment="1">
      <alignment horizontal="center" vertical="center" wrapText="1"/>
    </xf>
    <xf numFmtId="49" fontId="50" fillId="2" borderId="0" xfId="175" applyNumberFormat="1" applyFont="1" applyFill="1" applyAlignment="1">
      <alignment vertical="center"/>
    </xf>
    <xf numFmtId="39" fontId="74" fillId="2" borderId="0" xfId="175" applyNumberFormat="1" applyFont="1" applyFill="1" applyAlignment="1">
      <alignment vertical="center"/>
    </xf>
    <xf numFmtId="39" fontId="74" fillId="2" borderId="0" xfId="175" applyNumberFormat="1" applyFont="1" applyFill="1" applyAlignment="1">
      <alignment vertical="center" wrapText="1"/>
    </xf>
    <xf numFmtId="39" fontId="50" fillId="2" borderId="0" xfId="175" applyNumberFormat="1" applyFont="1" applyFill="1" applyAlignment="1">
      <alignment horizontal="center" vertical="center" wrapText="1"/>
    </xf>
    <xf numFmtId="9" fontId="50" fillId="2" borderId="0" xfId="176" applyFont="1" applyFill="1" applyAlignment="1">
      <alignment horizontal="center" vertical="center" wrapText="1"/>
    </xf>
    <xf numFmtId="0" fontId="50" fillId="2" borderId="0" xfId="175" applyFont="1" applyFill="1" applyAlignment="1">
      <alignment vertical="center" wrapText="1"/>
    </xf>
    <xf numFmtId="0" fontId="50" fillId="2" borderId="0" xfId="175" applyFont="1" applyFill="1" applyAlignment="1">
      <alignment horizontal="center" vertical="center" wrapText="1"/>
    </xf>
    <xf numFmtId="39" fontId="74" fillId="2" borderId="0" xfId="175" applyNumberFormat="1" applyFont="1" applyFill="1" applyAlignment="1">
      <alignment horizontal="center" vertical="center" wrapText="1"/>
    </xf>
    <xf numFmtId="39" fontId="49" fillId="2" borderId="0" xfId="175" applyNumberFormat="1" applyFont="1" applyFill="1" applyAlignment="1">
      <alignment horizontal="center" vertical="center" wrapText="1"/>
    </xf>
    <xf numFmtId="39" fontId="74" fillId="2" borderId="0" xfId="175" applyNumberFormat="1" applyFont="1" applyFill="1" applyAlignment="1">
      <alignment horizontal="left" vertical="center"/>
    </xf>
    <xf numFmtId="37" fontId="50" fillId="2" borderId="0" xfId="175" applyNumberFormat="1" applyFont="1" applyFill="1" applyAlignment="1">
      <alignment horizontal="center" vertical="center" wrapText="1"/>
    </xf>
    <xf numFmtId="171" fontId="50" fillId="2" borderId="0" xfId="175" applyNumberFormat="1" applyFont="1" applyFill="1" applyAlignment="1">
      <alignment horizontal="center" vertical="center" wrapText="1"/>
    </xf>
    <xf numFmtId="0" fontId="49" fillId="2" borderId="0" xfId="7" applyFont="1" applyFill="1" applyAlignment="1">
      <alignment vertical="center"/>
    </xf>
    <xf numFmtId="0" fontId="69" fillId="2" borderId="0" xfId="175" applyFont="1" applyFill="1" applyAlignment="1">
      <alignment vertical="center"/>
    </xf>
    <xf numFmtId="4" fontId="68" fillId="4" borderId="11" xfId="175" applyNumberFormat="1" applyFont="1" applyFill="1" applyBorder="1" applyAlignment="1">
      <alignment horizontal="center" vertical="center" textRotation="90" wrapText="1"/>
    </xf>
    <xf numFmtId="4" fontId="50" fillId="0" borderId="11" xfId="175" applyNumberFormat="1" applyFont="1" applyBorder="1" applyAlignment="1">
      <alignment horizontal="center" vertical="center"/>
    </xf>
    <xf numFmtId="4" fontId="50" fillId="2" borderId="11" xfId="175" applyNumberFormat="1" applyFont="1" applyFill="1" applyBorder="1" applyAlignment="1">
      <alignment horizontal="center" vertical="center"/>
    </xf>
    <xf numFmtId="4" fontId="49" fillId="2" borderId="11" xfId="175" applyNumberFormat="1" applyFont="1" applyFill="1" applyBorder="1" applyAlignment="1">
      <alignment horizontal="center" vertical="center"/>
    </xf>
    <xf numFmtId="4" fontId="49" fillId="2" borderId="11" xfId="16" applyNumberFormat="1" applyFont="1" applyFill="1" applyBorder="1" applyAlignment="1">
      <alignment horizontal="center" vertical="center"/>
    </xf>
    <xf numFmtId="49" fontId="49" fillId="2" borderId="0" xfId="175" applyNumberFormat="1" applyFont="1" applyFill="1" applyAlignment="1">
      <alignment horizontal="center" vertical="center"/>
    </xf>
    <xf numFmtId="2" fontId="50" fillId="2" borderId="0" xfId="175" applyNumberFormat="1" applyFont="1" applyFill="1" applyAlignment="1">
      <alignment horizontal="center" vertical="center"/>
    </xf>
    <xf numFmtId="4" fontId="50" fillId="2" borderId="0" xfId="175" applyNumberFormat="1" applyFont="1" applyFill="1" applyAlignment="1">
      <alignment horizontal="center" vertical="center"/>
    </xf>
    <xf numFmtId="2" fontId="49" fillId="2" borderId="0" xfId="7" applyNumberFormat="1" applyFont="1" applyFill="1" applyAlignment="1">
      <alignment horizontal="right"/>
    </xf>
    <xf numFmtId="4" fontId="49" fillId="2" borderId="0" xfId="175" applyNumberFormat="1" applyFont="1" applyFill="1"/>
    <xf numFmtId="0" fontId="50" fillId="2" borderId="0" xfId="175" applyFont="1" applyFill="1"/>
    <xf numFmtId="2" fontId="75" fillId="2" borderId="0" xfId="175" applyNumberFormat="1" applyFont="1" applyFill="1" applyAlignment="1">
      <alignment horizontal="center" vertical="center"/>
    </xf>
    <xf numFmtId="2" fontId="49" fillId="2" borderId="0" xfId="7" applyNumberFormat="1" applyFont="1" applyFill="1" applyAlignment="1">
      <alignment horizontal="right" vertical="center"/>
    </xf>
    <xf numFmtId="4" fontId="49" fillId="2" borderId="0" xfId="175" applyNumberFormat="1" applyFont="1" applyFill="1" applyAlignment="1">
      <alignment vertical="center"/>
    </xf>
    <xf numFmtId="2" fontId="50" fillId="2" borderId="0" xfId="7" applyNumberFormat="1" applyFont="1" applyFill="1" applyAlignment="1">
      <alignment horizontal="center" vertical="center"/>
    </xf>
    <xf numFmtId="0" fontId="49" fillId="2" borderId="0" xfId="175" applyFont="1" applyFill="1" applyAlignment="1">
      <alignment horizontal="right" vertical="center"/>
    </xf>
    <xf numFmtId="4" fontId="49" fillId="2" borderId="0" xfId="177" applyNumberFormat="1" applyFont="1" applyFill="1" applyAlignment="1">
      <alignment horizontal="center" vertical="center"/>
    </xf>
    <xf numFmtId="0" fontId="49" fillId="2" borderId="0" xfId="177" applyFont="1" applyFill="1" applyAlignment="1">
      <alignment horizontal="center" vertical="center"/>
    </xf>
    <xf numFmtId="49" fontId="49" fillId="2" borderId="0" xfId="177" applyNumberFormat="1" applyFont="1" applyFill="1" applyAlignment="1">
      <alignment horizontal="left" vertical="center"/>
    </xf>
    <xf numFmtId="2" fontId="50" fillId="2" borderId="0" xfId="177" applyNumberFormat="1" applyFont="1" applyFill="1" applyAlignment="1">
      <alignment horizontal="center" vertical="center"/>
    </xf>
    <xf numFmtId="0" fontId="50" fillId="2" borderId="0" xfId="177" applyFont="1" applyFill="1" applyAlignment="1">
      <alignment horizontal="center" vertical="center"/>
    </xf>
    <xf numFmtId="169" fontId="50" fillId="2" borderId="0" xfId="177" applyNumberFormat="1" applyFont="1" applyFill="1" applyAlignment="1">
      <alignment horizontal="center" vertical="center"/>
    </xf>
    <xf numFmtId="0" fontId="69" fillId="2" borderId="0" xfId="175" applyFont="1" applyFill="1" applyAlignment="1">
      <alignment vertical="center" wrapText="1"/>
    </xf>
    <xf numFmtId="9" fontId="69" fillId="2" borderId="0" xfId="176" applyFont="1" applyFill="1" applyAlignment="1">
      <alignment vertical="center" wrapText="1"/>
    </xf>
    <xf numFmtId="49" fontId="49" fillId="2" borderId="0" xfId="178" applyNumberFormat="1" applyFont="1" applyFill="1" applyAlignment="1">
      <alignment horizontal="left" vertical="center"/>
    </xf>
    <xf numFmtId="2" fontId="50" fillId="0" borderId="0" xfId="178" applyNumberFormat="1" applyFont="1" applyAlignment="1">
      <alignment horizontal="center" vertical="center"/>
    </xf>
    <xf numFmtId="169" fontId="50" fillId="2" borderId="0" xfId="178" applyNumberFormat="1" applyFont="1" applyFill="1" applyAlignment="1">
      <alignment horizontal="center" vertical="center"/>
    </xf>
    <xf numFmtId="2" fontId="50" fillId="2" borderId="0" xfId="178" applyNumberFormat="1" applyFont="1" applyFill="1" applyAlignment="1">
      <alignment horizontal="center" vertical="center"/>
    </xf>
    <xf numFmtId="169" fontId="76" fillId="2" borderId="0" xfId="177" applyNumberFormat="1" applyFont="1" applyFill="1" applyAlignment="1">
      <alignment horizontal="center" vertical="center"/>
    </xf>
    <xf numFmtId="4" fontId="50" fillId="2" borderId="0" xfId="177" applyNumberFormat="1" applyFont="1" applyFill="1" applyAlignment="1">
      <alignment horizontal="center" vertical="center"/>
    </xf>
    <xf numFmtId="169" fontId="50" fillId="0" borderId="0" xfId="177" applyNumberFormat="1" applyFont="1" applyAlignment="1">
      <alignment horizontal="center" vertical="center"/>
    </xf>
    <xf numFmtId="0" fontId="74" fillId="2" borderId="0" xfId="8" applyFont="1" applyFill="1" applyAlignment="1">
      <alignment vertical="center"/>
    </xf>
    <xf numFmtId="0" fontId="50" fillId="2" borderId="0" xfId="8" applyFont="1" applyFill="1" applyAlignment="1">
      <alignment vertical="center"/>
    </xf>
    <xf numFmtId="0" fontId="74" fillId="2" borderId="11" xfId="8" applyFont="1" applyFill="1" applyBorder="1" applyAlignment="1">
      <alignment horizontal="center" vertical="center" wrapText="1"/>
    </xf>
    <xf numFmtId="0" fontId="49" fillId="2" borderId="11" xfId="8" applyFont="1" applyFill="1" applyBorder="1" applyAlignment="1">
      <alignment horizontal="center" vertical="center" wrapText="1"/>
    </xf>
    <xf numFmtId="0" fontId="89" fillId="2" borderId="11" xfId="8" applyFont="1" applyFill="1" applyBorder="1" applyAlignment="1">
      <alignment horizontal="center" vertical="center"/>
    </xf>
    <xf numFmtId="0" fontId="50" fillId="2" borderId="11" xfId="8" applyFont="1" applyFill="1" applyBorder="1" applyAlignment="1">
      <alignment horizontal="center" vertical="center" wrapText="1"/>
    </xf>
    <xf numFmtId="0" fontId="50" fillId="2" borderId="11" xfId="8" applyFont="1" applyFill="1" applyBorder="1" applyAlignment="1">
      <alignment horizontal="center" vertical="center"/>
    </xf>
    <xf numFmtId="0" fontId="49" fillId="2" borderId="0" xfId="8" applyFont="1" applyFill="1" applyAlignment="1">
      <alignment horizontal="center" vertical="center" wrapText="1"/>
    </xf>
    <xf numFmtId="0" fontId="89" fillId="2" borderId="11" xfId="8" applyFont="1" applyFill="1" applyBorder="1" applyAlignment="1">
      <alignment horizontal="left" vertical="center" wrapText="1"/>
    </xf>
    <xf numFmtId="0" fontId="89" fillId="2" borderId="11" xfId="8" applyFont="1" applyFill="1" applyBorder="1" applyAlignment="1">
      <alignment horizontal="left" vertical="center"/>
    </xf>
    <xf numFmtId="0" fontId="77" fillId="2" borderId="0" xfId="179" applyFont="1" applyFill="1" applyAlignment="1">
      <alignment vertical="center"/>
    </xf>
    <xf numFmtId="0" fontId="49" fillId="2" borderId="0" xfId="175" applyFont="1" applyFill="1" applyAlignment="1">
      <alignment vertical="center" wrapText="1"/>
    </xf>
    <xf numFmtId="0" fontId="85" fillId="0" borderId="55" xfId="175" applyFont="1" applyBorder="1" applyAlignment="1">
      <alignment horizontal="center" vertical="top" wrapText="1"/>
    </xf>
    <xf numFmtId="10" fontId="0" fillId="0" borderId="55" xfId="176" applyNumberFormat="1" applyFont="1" applyBorder="1" applyAlignment="1">
      <alignment horizontal="center" vertical="top" wrapText="1"/>
    </xf>
    <xf numFmtId="0" fontId="89" fillId="0" borderId="11" xfId="175" applyFont="1" applyBorder="1" applyAlignment="1">
      <alignment horizontal="center" vertical="center" wrapText="1"/>
    </xf>
    <xf numFmtId="0" fontId="50" fillId="0" borderId="11" xfId="175" applyFont="1" applyBorder="1" applyAlignment="1">
      <alignment horizontal="left" vertical="center" wrapText="1"/>
    </xf>
    <xf numFmtId="0" fontId="50" fillId="2" borderId="0" xfId="175" applyFont="1" applyFill="1" applyAlignment="1">
      <alignment horizontal="left" vertical="center" wrapText="1"/>
    </xf>
    <xf numFmtId="170" fontId="87" fillId="0" borderId="56" xfId="175" applyNumberFormat="1" applyFont="1" applyBorder="1" applyAlignment="1">
      <alignment horizontal="center" vertical="top" shrinkToFit="1"/>
    </xf>
    <xf numFmtId="10" fontId="87" fillId="0" borderId="56" xfId="176" applyNumberFormat="1" applyFont="1" applyBorder="1" applyAlignment="1">
      <alignment horizontal="center" vertical="top" shrinkToFit="1"/>
    </xf>
    <xf numFmtId="170" fontId="89" fillId="0" borderId="11" xfId="16" applyNumberFormat="1" applyFont="1" applyBorder="1" applyAlignment="1">
      <alignment horizontal="left" vertical="center" wrapText="1"/>
    </xf>
    <xf numFmtId="170" fontId="62" fillId="0" borderId="11" xfId="16" applyNumberFormat="1" applyFont="1" applyBorder="1" applyAlignment="1">
      <alignment horizontal="left" vertical="center" wrapText="1"/>
    </xf>
    <xf numFmtId="2" fontId="62" fillId="0" borderId="11" xfId="16" applyNumberFormat="1" applyFont="1" applyBorder="1" applyAlignment="1">
      <alignment horizontal="left" vertical="center" wrapText="1"/>
    </xf>
    <xf numFmtId="170" fontId="87" fillId="0" borderId="57" xfId="175" applyNumberFormat="1" applyFont="1" applyBorder="1" applyAlignment="1">
      <alignment horizontal="center" vertical="top" shrinkToFit="1"/>
    </xf>
    <xf numFmtId="10" fontId="87" fillId="0" borderId="57" xfId="176" applyNumberFormat="1" applyFont="1" applyBorder="1" applyAlignment="1">
      <alignment horizontal="center" vertical="top" shrinkToFit="1"/>
    </xf>
    <xf numFmtId="170" fontId="62" fillId="2" borderId="0" xfId="16" applyNumberFormat="1" applyFont="1" applyFill="1" applyBorder="1" applyAlignment="1">
      <alignment horizontal="left" vertical="center" wrapText="1"/>
    </xf>
    <xf numFmtId="2" fontId="62" fillId="2" borderId="0" xfId="16" applyNumberFormat="1" applyFont="1" applyFill="1" applyBorder="1" applyAlignment="1">
      <alignment horizontal="left" vertical="center" wrapText="1"/>
    </xf>
    <xf numFmtId="0" fontId="85" fillId="0" borderId="57" xfId="175" applyFont="1" applyBorder="1" applyAlignment="1">
      <alignment horizontal="center" vertical="top" wrapText="1"/>
    </xf>
    <xf numFmtId="170" fontId="87" fillId="0" borderId="58" xfId="175" applyNumberFormat="1" applyFont="1" applyBorder="1" applyAlignment="1">
      <alignment horizontal="center" vertical="top" shrinkToFit="1"/>
    </xf>
    <xf numFmtId="10" fontId="87" fillId="0" borderId="58" xfId="176" applyNumberFormat="1" applyFont="1" applyBorder="1" applyAlignment="1">
      <alignment horizontal="center" vertical="top" shrinkToFit="1"/>
    </xf>
    <xf numFmtId="49" fontId="49" fillId="6" borderId="18" xfId="175" applyNumberFormat="1" applyFont="1" applyFill="1" applyBorder="1" applyAlignment="1">
      <alignment vertical="center"/>
    </xf>
    <xf numFmtId="2" fontId="56" fillId="0" borderId="0" xfId="174" applyNumberFormat="1" applyFont="1" applyAlignment="1">
      <alignment horizontal="left" vertical="center"/>
    </xf>
    <xf numFmtId="2" fontId="56" fillId="0" borderId="0" xfId="174" applyNumberFormat="1" applyFont="1" applyAlignment="1">
      <alignment horizontal="right" vertical="center"/>
    </xf>
    <xf numFmtId="37" fontId="50" fillId="13" borderId="11" xfId="175" applyNumberFormat="1" applyFont="1" applyFill="1" applyBorder="1" applyAlignment="1">
      <alignment horizontal="center" vertical="center" wrapText="1"/>
    </xf>
    <xf numFmtId="39" fontId="50" fillId="13" borderId="11" xfId="175" applyNumberFormat="1" applyFont="1" applyFill="1" applyBorder="1" applyAlignment="1">
      <alignment horizontal="center" vertical="center" wrapText="1"/>
    </xf>
    <xf numFmtId="0" fontId="62" fillId="0" borderId="0" xfId="0" applyFont="1" applyAlignment="1">
      <alignment horizontal="left" vertical="top"/>
    </xf>
    <xf numFmtId="0" fontId="79" fillId="4" borderId="65" xfId="183" applyFont="1" applyFill="1" applyBorder="1" applyAlignment="1">
      <alignment horizontal="center" vertical="center"/>
    </xf>
    <xf numFmtId="0" fontId="79" fillId="4" borderId="66" xfId="183" applyFont="1" applyFill="1" applyBorder="1" applyAlignment="1">
      <alignment horizontal="center" vertical="center"/>
    </xf>
    <xf numFmtId="0" fontId="79" fillId="4" borderId="67" xfId="183" applyFont="1" applyFill="1" applyBorder="1" applyAlignment="1">
      <alignment horizontal="center" vertical="center"/>
    </xf>
    <xf numFmtId="4" fontId="17" fillId="0" borderId="69" xfId="183" applyNumberFormat="1" applyBorder="1" applyAlignment="1">
      <alignment horizontal="center" vertical="center"/>
    </xf>
    <xf numFmtId="4" fontId="17" fillId="0" borderId="70" xfId="183" applyNumberFormat="1" applyBorder="1" applyAlignment="1">
      <alignment horizontal="center" vertical="center"/>
    </xf>
    <xf numFmtId="4" fontId="17" fillId="0" borderId="72" xfId="183" applyNumberFormat="1" applyBorder="1" applyAlignment="1">
      <alignment horizontal="center" vertical="center"/>
    </xf>
    <xf numFmtId="4" fontId="17" fillId="0" borderId="73" xfId="183" applyNumberFormat="1" applyBorder="1" applyAlignment="1">
      <alignment horizontal="center" vertical="center"/>
    </xf>
    <xf numFmtId="4" fontId="17" fillId="0" borderId="75" xfId="183" applyNumberFormat="1" applyBorder="1" applyAlignment="1">
      <alignment horizontal="center" vertical="center"/>
    </xf>
    <xf numFmtId="4" fontId="17" fillId="0" borderId="76" xfId="183" applyNumberFormat="1" applyBorder="1" applyAlignment="1">
      <alignment horizontal="center" vertical="center"/>
    </xf>
    <xf numFmtId="0" fontId="16" fillId="0" borderId="0" xfId="184" applyAlignment="1">
      <alignment horizontal="center" vertical="center"/>
    </xf>
    <xf numFmtId="0" fontId="84" fillId="4" borderId="77" xfId="184" applyFont="1" applyFill="1" applyBorder="1" applyAlignment="1">
      <alignment horizontal="center" vertical="center"/>
    </xf>
    <xf numFmtId="0" fontId="84" fillId="4" borderId="77" xfId="184" applyFont="1" applyFill="1" applyBorder="1" applyAlignment="1">
      <alignment horizontal="center" vertical="center" wrapText="1"/>
    </xf>
    <xf numFmtId="17" fontId="77" fillId="0" borderId="11" xfId="184" applyNumberFormat="1" applyFont="1" applyBorder="1" applyAlignment="1">
      <alignment horizontal="center" vertical="center"/>
    </xf>
    <xf numFmtId="17" fontId="50" fillId="0" borderId="11" xfId="184" applyNumberFormat="1" applyFont="1" applyBorder="1" applyAlignment="1">
      <alignment horizontal="center" vertical="center"/>
    </xf>
    <xf numFmtId="0" fontId="50" fillId="0" borderId="11" xfId="184" applyFont="1" applyBorder="1" applyAlignment="1">
      <alignment horizontal="center" vertical="center"/>
    </xf>
    <xf numFmtId="172" fontId="50" fillId="0" borderId="11" xfId="185" applyNumberFormat="1" applyFont="1" applyBorder="1" applyAlignment="1">
      <alignment horizontal="center" vertical="center"/>
    </xf>
    <xf numFmtId="4" fontId="50" fillId="0" borderId="11" xfId="184" applyNumberFormat="1" applyFont="1" applyBorder="1" applyAlignment="1">
      <alignment horizontal="center" vertical="center"/>
    </xf>
    <xf numFmtId="4" fontId="77" fillId="0" borderId="11" xfId="184" applyNumberFormat="1" applyFont="1" applyBorder="1" applyAlignment="1">
      <alignment horizontal="center" vertical="center"/>
    </xf>
    <xf numFmtId="0" fontId="56" fillId="0" borderId="0" xfId="184" applyFont="1" applyAlignment="1">
      <alignment horizontal="center" vertical="center"/>
    </xf>
    <xf numFmtId="0" fontId="79" fillId="0" borderId="0" xfId="0" applyFont="1" applyAlignment="1">
      <alignment vertical="center"/>
    </xf>
    <xf numFmtId="0" fontId="84" fillId="4" borderId="11" xfId="0" applyFont="1" applyFill="1" applyBorder="1" applyAlignment="1">
      <alignment horizontal="center" vertical="center"/>
    </xf>
    <xf numFmtId="43" fontId="50" fillId="0" borderId="11" xfId="186" applyFont="1" applyBorder="1" applyAlignment="1">
      <alignment horizontal="center" vertical="center"/>
    </xf>
    <xf numFmtId="43" fontId="49" fillId="4" borderId="11" xfId="186" applyFont="1" applyFill="1" applyBorder="1" applyAlignment="1">
      <alignment horizontal="center" vertical="center"/>
    </xf>
    <xf numFmtId="0" fontId="77" fillId="0" borderId="0" xfId="184" applyFont="1" applyAlignment="1">
      <alignment horizontal="left" vertical="center"/>
    </xf>
    <xf numFmtId="2" fontId="56" fillId="0" borderId="0" xfId="174" applyNumberFormat="1" applyFont="1" applyAlignment="1">
      <alignment horizontal="center" vertical="center"/>
    </xf>
    <xf numFmtId="4" fontId="56" fillId="0" borderId="53" xfId="174" applyNumberFormat="1" applyFont="1" applyBorder="1" applyAlignment="1">
      <alignment vertical="center" wrapText="1"/>
    </xf>
    <xf numFmtId="4" fontId="56" fillId="0" borderId="34" xfId="174" applyNumberFormat="1" applyFont="1" applyBorder="1" applyAlignment="1">
      <alignment vertical="center" wrapText="1"/>
    </xf>
    <xf numFmtId="4" fontId="56" fillId="0" borderId="19" xfId="174" applyNumberFormat="1" applyFont="1" applyBorder="1" applyAlignment="1">
      <alignment horizontal="center" vertical="center" wrapText="1"/>
    </xf>
    <xf numFmtId="0" fontId="88" fillId="0" borderId="0" xfId="7" applyFont="1" applyAlignment="1">
      <alignment vertical="center"/>
    </xf>
    <xf numFmtId="39" fontId="95" fillId="2" borderId="0" xfId="175" applyNumberFormat="1" applyFont="1" applyFill="1" applyAlignment="1">
      <alignment horizontal="center" vertical="center" wrapText="1"/>
    </xf>
    <xf numFmtId="4" fontId="50" fillId="2" borderId="0" xfId="175" applyNumberFormat="1" applyFont="1" applyFill="1" applyAlignment="1">
      <alignment vertical="center" wrapText="1"/>
    </xf>
    <xf numFmtId="4" fontId="53" fillId="2" borderId="0" xfId="12" applyNumberFormat="1" applyFont="1" applyFill="1" applyAlignment="1">
      <alignment horizontal="center" vertical="center"/>
    </xf>
    <xf numFmtId="164" fontId="96" fillId="0" borderId="0" xfId="175" applyNumberFormat="1" applyFont="1" applyAlignment="1">
      <alignment vertical="center"/>
    </xf>
    <xf numFmtId="3" fontId="49" fillId="0" borderId="11" xfId="175" applyNumberFormat="1" applyFont="1" applyBorder="1" applyAlignment="1">
      <alignment horizontal="center" vertical="center"/>
    </xf>
    <xf numFmtId="164" fontId="64" fillId="0" borderId="11" xfId="175" applyNumberFormat="1" applyFont="1" applyBorder="1" applyAlignment="1">
      <alignment vertical="center"/>
    </xf>
    <xf numFmtId="3" fontId="49" fillId="0" borderId="19" xfId="175" applyNumberFormat="1" applyFont="1" applyBorder="1" applyAlignment="1">
      <alignment horizontal="center" vertical="center"/>
    </xf>
    <xf numFmtId="164" fontId="64" fillId="0" borderId="19" xfId="175" applyNumberFormat="1" applyFont="1" applyBorder="1" applyAlignment="1">
      <alignment vertical="center"/>
    </xf>
    <xf numFmtId="164" fontId="97" fillId="7" borderId="11" xfId="175" applyNumberFormat="1" applyFont="1" applyFill="1" applyBorder="1" applyAlignment="1">
      <alignment horizontal="center" vertical="center"/>
    </xf>
    <xf numFmtId="164" fontId="97" fillId="7" borderId="19" xfId="175" applyNumberFormat="1" applyFont="1" applyFill="1" applyBorder="1" applyAlignment="1">
      <alignment horizontal="center" vertical="center"/>
    </xf>
    <xf numFmtId="4" fontId="97" fillId="7" borderId="11" xfId="175" applyNumberFormat="1" applyFont="1" applyFill="1" applyBorder="1" applyAlignment="1">
      <alignment horizontal="center" vertical="center"/>
    </xf>
    <xf numFmtId="4" fontId="97" fillId="7" borderId="19" xfId="175" applyNumberFormat="1" applyFont="1" applyFill="1" applyBorder="1" applyAlignment="1">
      <alignment horizontal="center" vertical="center"/>
    </xf>
    <xf numFmtId="4" fontId="55" fillId="2" borderId="0" xfId="174" applyNumberFormat="1" applyFont="1" applyFill="1" applyAlignment="1">
      <alignment vertical="center"/>
    </xf>
    <xf numFmtId="0" fontId="80" fillId="0" borderId="0" xfId="194" applyFont="1" applyAlignment="1">
      <alignment vertical="center"/>
    </xf>
    <xf numFmtId="0" fontId="80" fillId="0" borderId="0" xfId="194" applyFont="1" applyAlignment="1">
      <alignment horizontal="center" vertical="center"/>
    </xf>
    <xf numFmtId="0" fontId="13" fillId="0" borderId="0" xfId="194" applyAlignment="1">
      <alignment horizontal="center" vertical="center"/>
    </xf>
    <xf numFmtId="0" fontId="82" fillId="0" borderId="0" xfId="194" applyFont="1" applyAlignment="1">
      <alignment horizontal="center" vertical="center"/>
    </xf>
    <xf numFmtId="0" fontId="82" fillId="0" borderId="0" xfId="194" applyFont="1" applyAlignment="1">
      <alignment vertical="center"/>
    </xf>
    <xf numFmtId="0" fontId="81" fillId="0" borderId="0" xfId="194" applyFont="1" applyAlignment="1">
      <alignment vertical="center"/>
    </xf>
    <xf numFmtId="0" fontId="93" fillId="0" borderId="0" xfId="194" applyFont="1" applyAlignment="1">
      <alignment vertical="center"/>
    </xf>
    <xf numFmtId="0" fontId="13" fillId="0" borderId="0" xfId="194" applyAlignment="1">
      <alignment vertical="center"/>
    </xf>
    <xf numFmtId="0" fontId="81" fillId="0" borderId="0" xfId="194" applyFont="1" applyAlignment="1">
      <alignment horizontal="right" vertical="center"/>
    </xf>
    <xf numFmtId="0" fontId="81" fillId="0" borderId="0" xfId="194" applyFont="1" applyAlignment="1">
      <alignment horizontal="left" vertical="center"/>
    </xf>
    <xf numFmtId="4" fontId="81" fillId="0" borderId="0" xfId="196" applyNumberFormat="1" applyFont="1" applyFill="1" applyBorder="1" applyAlignment="1">
      <alignment horizontal="center" vertical="center"/>
    </xf>
    <xf numFmtId="0" fontId="94" fillId="0" borderId="0" xfId="194" applyFont="1" applyAlignment="1">
      <alignment vertical="center"/>
    </xf>
    <xf numFmtId="0" fontId="93" fillId="0" borderId="0" xfId="194" applyFont="1" applyAlignment="1">
      <alignment horizontal="center" vertical="center"/>
    </xf>
    <xf numFmtId="4" fontId="81" fillId="0" borderId="0" xfId="194" applyNumberFormat="1" applyFont="1" applyAlignment="1">
      <alignment horizontal="right" vertical="center"/>
    </xf>
    <xf numFmtId="4" fontId="89" fillId="2" borderId="0" xfId="175" applyNumberFormat="1" applyFont="1" applyFill="1" applyAlignment="1">
      <alignment vertical="center"/>
    </xf>
    <xf numFmtId="39" fontId="89" fillId="2" borderId="0" xfId="175" applyNumberFormat="1" applyFont="1" applyFill="1" applyAlignment="1">
      <alignment horizontal="center" vertical="center" wrapText="1"/>
    </xf>
    <xf numFmtId="0" fontId="89" fillId="2" borderId="0" xfId="175" applyFont="1" applyFill="1" applyAlignment="1">
      <alignment vertical="center" wrapText="1"/>
    </xf>
    <xf numFmtId="0" fontId="95" fillId="2" borderId="0" xfId="175" applyFont="1" applyFill="1" applyAlignment="1">
      <alignment vertical="center" wrapText="1"/>
    </xf>
    <xf numFmtId="0" fontId="12" fillId="0" borderId="68" xfId="183" applyFont="1" applyBorder="1" applyAlignment="1">
      <alignment horizontal="center" vertical="center"/>
    </xf>
    <xf numFmtId="0" fontId="12" fillId="0" borderId="71" xfId="183" applyFont="1" applyBorder="1" applyAlignment="1">
      <alignment horizontal="center" vertical="center"/>
    </xf>
    <xf numFmtId="0" fontId="12" fillId="0" borderId="74" xfId="183" applyFont="1" applyBorder="1" applyAlignment="1">
      <alignment horizontal="center" vertical="center"/>
    </xf>
    <xf numFmtId="0" fontId="49" fillId="0" borderId="6" xfId="177" applyFont="1" applyBorder="1" applyAlignment="1">
      <alignment vertical="center"/>
    </xf>
    <xf numFmtId="0" fontId="50" fillId="0" borderId="8" xfId="177" applyFont="1" applyBorder="1" applyAlignment="1">
      <alignment vertical="center"/>
    </xf>
    <xf numFmtId="0" fontId="50" fillId="0" borderId="8" xfId="177" applyFont="1" applyBorder="1" applyAlignment="1">
      <alignment horizontal="left" vertical="center"/>
    </xf>
    <xf numFmtId="0" fontId="49" fillId="10" borderId="8" xfId="177" applyFont="1" applyFill="1" applyBorder="1" applyAlignment="1">
      <alignment horizontal="left" vertical="center"/>
    </xf>
    <xf numFmtId="0" fontId="50" fillId="10" borderId="9" xfId="177" applyFont="1" applyFill="1" applyBorder="1" applyAlignment="1">
      <alignment vertical="center"/>
    </xf>
    <xf numFmtId="0" fontId="49" fillId="0" borderId="47" xfId="177" applyFont="1" applyBorder="1" applyAlignment="1">
      <alignment vertical="center"/>
    </xf>
    <xf numFmtId="0" fontId="50" fillId="0" borderId="0" xfId="177" applyFont="1" applyAlignment="1">
      <alignment vertical="center"/>
    </xf>
    <xf numFmtId="0" fontId="49" fillId="10" borderId="0" xfId="177" applyFont="1" applyFill="1" applyAlignment="1">
      <alignment horizontal="left" vertical="center"/>
    </xf>
    <xf numFmtId="0" fontId="50" fillId="10" borderId="48" xfId="177" applyFont="1" applyFill="1" applyBorder="1" applyAlignment="1">
      <alignment vertical="center"/>
    </xf>
    <xf numFmtId="0" fontId="50" fillId="0" borderId="0" xfId="177" applyFont="1" applyAlignment="1">
      <alignment vertical="center" wrapText="1"/>
    </xf>
    <xf numFmtId="4" fontId="49" fillId="10" borderId="0" xfId="177" applyNumberFormat="1" applyFont="1" applyFill="1" applyAlignment="1">
      <alignment horizontal="left" vertical="center"/>
    </xf>
    <xf numFmtId="0" fontId="65" fillId="10" borderId="48" xfId="177" applyFont="1" applyFill="1" applyBorder="1" applyAlignment="1">
      <alignment vertical="center"/>
    </xf>
    <xf numFmtId="0" fontId="49" fillId="0" borderId="45" xfId="177" applyFont="1" applyBorder="1" applyAlignment="1">
      <alignment vertical="center"/>
    </xf>
    <xf numFmtId="0" fontId="50" fillId="0" borderId="32" xfId="177" applyFont="1" applyBorder="1" applyAlignment="1">
      <alignment vertical="center"/>
    </xf>
    <xf numFmtId="0" fontId="49" fillId="10" borderId="32" xfId="177" applyFont="1" applyFill="1" applyBorder="1" applyAlignment="1">
      <alignment horizontal="left" vertical="center"/>
    </xf>
    <xf numFmtId="0" fontId="65" fillId="10" borderId="46" xfId="177" applyFont="1" applyFill="1" applyBorder="1" applyAlignment="1">
      <alignment vertical="center"/>
    </xf>
    <xf numFmtId="175" fontId="82" fillId="0" borderId="0" xfId="67" applyNumberFormat="1" applyFont="1" applyAlignment="1">
      <alignment horizontal="center" wrapText="1"/>
    </xf>
    <xf numFmtId="0" fontId="82" fillId="0" borderId="0" xfId="199" applyFont="1" applyAlignment="1">
      <alignment horizontal="center" wrapText="1"/>
    </xf>
    <xf numFmtId="0" fontId="54" fillId="4" borderId="3" xfId="199" applyFont="1" applyFill="1" applyBorder="1" applyAlignment="1">
      <alignment horizontal="center" vertical="center" wrapText="1"/>
    </xf>
    <xf numFmtId="0" fontId="54" fillId="4" borderId="4" xfId="199" applyFont="1" applyFill="1" applyBorder="1" applyAlignment="1">
      <alignment horizontal="center" vertical="center" wrapText="1"/>
    </xf>
    <xf numFmtId="0" fontId="54" fillId="4" borderId="5" xfId="199" applyFont="1" applyFill="1" applyBorder="1" applyAlignment="1">
      <alignment horizontal="center" vertical="center" wrapText="1"/>
    </xf>
    <xf numFmtId="0" fontId="81" fillId="0" borderId="63" xfId="199" applyFont="1" applyBorder="1" applyAlignment="1">
      <alignment horizontal="left" vertical="center" wrapText="1"/>
    </xf>
    <xf numFmtId="0" fontId="81" fillId="0" borderId="26" xfId="199" applyFont="1" applyBorder="1" applyAlignment="1">
      <alignment horizontal="center" vertical="center" wrapText="1"/>
    </xf>
    <xf numFmtId="4" fontId="81" fillId="0" borderId="26" xfId="199" applyNumberFormat="1" applyFont="1" applyBorder="1" applyAlignment="1">
      <alignment horizontal="center" vertical="center" wrapText="1"/>
    </xf>
    <xf numFmtId="4" fontId="81" fillId="0" borderId="54" xfId="199" applyNumberFormat="1" applyFont="1" applyBorder="1" applyAlignment="1">
      <alignment horizontal="center" vertical="center" wrapText="1"/>
    </xf>
    <xf numFmtId="0" fontId="81" fillId="0" borderId="59" xfId="199" applyFont="1" applyBorder="1" applyAlignment="1">
      <alignment horizontal="left" vertical="center" wrapText="1"/>
    </xf>
    <xf numFmtId="0" fontId="81" fillId="0" borderId="1" xfId="199" applyFont="1" applyBorder="1" applyAlignment="1">
      <alignment horizontal="center" vertical="center" wrapText="1"/>
    </xf>
    <xf numFmtId="4" fontId="81" fillId="0" borderId="1" xfId="199" applyNumberFormat="1" applyFont="1" applyBorder="1" applyAlignment="1">
      <alignment horizontal="center" vertical="center" wrapText="1"/>
    </xf>
    <xf numFmtId="4" fontId="81" fillId="0" borderId="79" xfId="199" applyNumberFormat="1" applyFont="1" applyBorder="1" applyAlignment="1">
      <alignment horizontal="center" vertical="center" wrapText="1"/>
    </xf>
    <xf numFmtId="0" fontId="81" fillId="0" borderId="14" xfId="199" applyFont="1" applyBorder="1" applyAlignment="1">
      <alignment horizontal="left" vertical="center" wrapText="1"/>
    </xf>
    <xf numFmtId="0" fontId="81" fillId="0" borderId="2" xfId="199" applyFont="1" applyBorder="1" applyAlignment="1">
      <alignment horizontal="center" vertical="center" wrapText="1"/>
    </xf>
    <xf numFmtId="4" fontId="81" fillId="0" borderId="2" xfId="199" applyNumberFormat="1" applyFont="1" applyBorder="1" applyAlignment="1">
      <alignment horizontal="center" vertical="center" wrapText="1"/>
    </xf>
    <xf numFmtId="4" fontId="81" fillId="0" borderId="27" xfId="199" applyNumberFormat="1" applyFont="1" applyBorder="1" applyAlignment="1">
      <alignment horizontal="center" vertical="center" wrapText="1"/>
    </xf>
    <xf numFmtId="4" fontId="81" fillId="2" borderId="2" xfId="6" applyNumberFormat="1" applyFont="1" applyFill="1" applyBorder="1" applyAlignment="1">
      <alignment horizontal="center" vertical="center" wrapText="1"/>
    </xf>
    <xf numFmtId="4" fontId="81" fillId="2" borderId="59" xfId="6" applyNumberFormat="1" applyFont="1" applyFill="1" applyBorder="1" applyAlignment="1">
      <alignment horizontal="left" vertical="center" wrapText="1"/>
    </xf>
    <xf numFmtId="4" fontId="81" fillId="2" borderId="1" xfId="6" applyNumberFormat="1" applyFont="1" applyFill="1" applyBorder="1" applyAlignment="1">
      <alignment horizontal="center" vertical="center" wrapText="1"/>
    </xf>
    <xf numFmtId="4" fontId="81" fillId="2" borderId="79" xfId="6" applyNumberFormat="1" applyFont="1" applyFill="1" applyBorder="1" applyAlignment="1">
      <alignment horizontal="center" vertical="center" wrapText="1"/>
    </xf>
    <xf numFmtId="4" fontId="81" fillId="0" borderId="35" xfId="199" applyNumberFormat="1" applyFont="1" applyBorder="1" applyAlignment="1">
      <alignment horizontal="left" vertical="center" wrapText="1"/>
    </xf>
    <xf numFmtId="4" fontId="81" fillId="0" borderId="38" xfId="199" applyNumberFormat="1" applyFont="1" applyBorder="1" applyAlignment="1">
      <alignment horizontal="center" vertical="center" wrapText="1"/>
    </xf>
    <xf numFmtId="4" fontId="81" fillId="0" borderId="15" xfId="199" applyNumberFormat="1" applyFont="1" applyBorder="1" applyAlignment="1">
      <alignment horizontal="center" vertical="center" wrapText="1"/>
    </xf>
    <xf numFmtId="4" fontId="81" fillId="0" borderId="59" xfId="199" applyNumberFormat="1" applyFont="1" applyBorder="1" applyAlignment="1">
      <alignment horizontal="left" vertical="center" wrapText="1"/>
    </xf>
    <xf numFmtId="4" fontId="82" fillId="0" borderId="0" xfId="199" applyNumberFormat="1" applyFont="1" applyAlignment="1">
      <alignment horizontal="center" wrapText="1"/>
    </xf>
    <xf numFmtId="4" fontId="81" fillId="2" borderId="27" xfId="6" applyNumberFormat="1" applyFont="1" applyFill="1" applyBorder="1" applyAlignment="1">
      <alignment horizontal="center" vertical="center" wrapText="1"/>
    </xf>
    <xf numFmtId="4" fontId="81" fillId="2" borderId="14" xfId="6" applyNumberFormat="1" applyFont="1" applyFill="1" applyBorder="1" applyAlignment="1">
      <alignment horizontal="left" vertical="center" wrapText="1"/>
    </xf>
    <xf numFmtId="4" fontId="81" fillId="2" borderId="45" xfId="6" applyNumberFormat="1" applyFont="1" applyFill="1" applyBorder="1" applyAlignment="1">
      <alignment horizontal="left" vertical="center" wrapText="1"/>
    </xf>
    <xf numFmtId="4" fontId="81" fillId="2" borderId="32" xfId="6" applyNumberFormat="1" applyFont="1" applyFill="1" applyBorder="1" applyAlignment="1">
      <alignment horizontal="center" vertical="center" wrapText="1"/>
    </xf>
    <xf numFmtId="4" fontId="81" fillId="2" borderId="46" xfId="6" applyNumberFormat="1" applyFont="1" applyFill="1" applyBorder="1" applyAlignment="1">
      <alignment horizontal="center" vertical="center" wrapText="1"/>
    </xf>
    <xf numFmtId="4" fontId="99" fillId="0" borderId="0" xfId="199" applyNumberFormat="1" applyFont="1" applyAlignment="1">
      <alignment horizontal="left" vertical="center" wrapText="1"/>
    </xf>
    <xf numFmtId="0" fontId="102" fillId="11" borderId="9" xfId="199" applyFont="1" applyFill="1" applyBorder="1" applyAlignment="1">
      <alignment horizontal="left" vertical="center" wrapText="1"/>
    </xf>
    <xf numFmtId="0" fontId="102" fillId="11" borderId="48" xfId="199" applyFont="1" applyFill="1" applyBorder="1" applyAlignment="1">
      <alignment horizontal="left" vertical="center" wrapText="1"/>
    </xf>
    <xf numFmtId="0" fontId="102" fillId="11" borderId="46" xfId="199" applyFont="1" applyFill="1" applyBorder="1" applyAlignment="1">
      <alignment horizontal="left" vertical="center" wrapText="1"/>
    </xf>
    <xf numFmtId="4" fontId="81" fillId="0" borderId="14" xfId="199" applyNumberFormat="1" applyFont="1" applyBorder="1" applyAlignment="1">
      <alignment horizontal="left" vertical="center" wrapText="1"/>
    </xf>
    <xf numFmtId="4" fontId="54" fillId="0" borderId="2" xfId="199" applyNumberFormat="1" applyFont="1" applyBorder="1" applyAlignment="1">
      <alignment horizontal="center" vertical="center" wrapText="1"/>
    </xf>
    <xf numFmtId="0" fontId="82" fillId="0" borderId="2" xfId="199" applyFont="1" applyBorder="1"/>
    <xf numFmtId="4" fontId="81" fillId="2" borderId="59" xfId="199" applyNumberFormat="1" applyFont="1" applyFill="1" applyBorder="1" applyAlignment="1">
      <alignment horizontal="center" vertical="center" wrapText="1"/>
    </xf>
    <xf numFmtId="4" fontId="81" fillId="2" borderId="1" xfId="199" applyNumberFormat="1" applyFont="1" applyFill="1" applyBorder="1" applyAlignment="1">
      <alignment horizontal="center" vertical="center" wrapText="1"/>
    </xf>
    <xf numFmtId="164" fontId="81" fillId="2" borderId="1" xfId="199" applyNumberFormat="1" applyFont="1" applyFill="1" applyBorder="1" applyAlignment="1">
      <alignment horizontal="center" vertical="center" wrapText="1"/>
    </xf>
    <xf numFmtId="4" fontId="81" fillId="2" borderId="79" xfId="199" applyNumberFormat="1" applyFont="1" applyFill="1" applyBorder="1" applyAlignment="1">
      <alignment horizontal="center" vertical="center" wrapText="1"/>
    </xf>
    <xf numFmtId="4" fontId="102" fillId="11" borderId="8" xfId="199" applyNumberFormat="1" applyFont="1" applyFill="1" applyBorder="1" applyAlignment="1">
      <alignment vertical="center" wrapText="1"/>
    </xf>
    <xf numFmtId="4" fontId="102" fillId="11" borderId="32" xfId="199" applyNumberFormat="1" applyFont="1" applyFill="1" applyBorder="1" applyAlignment="1">
      <alignment vertical="center" wrapText="1"/>
    </xf>
    <xf numFmtId="0" fontId="54" fillId="2" borderId="16" xfId="12" applyFont="1" applyFill="1" applyBorder="1" applyAlignment="1">
      <alignment horizontal="left" vertical="center"/>
    </xf>
    <xf numFmtId="0" fontId="54" fillId="2" borderId="18" xfId="12" applyFont="1" applyFill="1" applyBorder="1" applyAlignment="1">
      <alignment horizontal="left" vertical="center"/>
    </xf>
    <xf numFmtId="0" fontId="49" fillId="4" borderId="11" xfId="8" applyFont="1" applyFill="1" applyBorder="1" applyAlignment="1">
      <alignment horizontal="center" vertical="center" wrapText="1"/>
    </xf>
    <xf numFmtId="4" fontId="50" fillId="0" borderId="11" xfId="8" applyNumberFormat="1" applyFont="1" applyBorder="1" applyAlignment="1">
      <alignment horizontal="center" vertical="center"/>
    </xf>
    <xf numFmtId="4" fontId="50" fillId="0" borderId="11" xfId="192" applyNumberFormat="1" applyFont="1" applyBorder="1" applyAlignment="1">
      <alignment horizontal="center" vertical="center"/>
    </xf>
    <xf numFmtId="4" fontId="50" fillId="0" borderId="12" xfId="192" applyNumberFormat="1" applyFont="1" applyBorder="1" applyAlignment="1">
      <alignment horizontal="center" vertical="center"/>
    </xf>
    <xf numFmtId="3" fontId="50" fillId="0" borderId="11" xfId="8" applyNumberFormat="1" applyFont="1" applyBorder="1" applyAlignment="1">
      <alignment horizontal="center" vertical="center"/>
    </xf>
    <xf numFmtId="0" fontId="50" fillId="0" borderId="11" xfId="8" applyFont="1" applyBorder="1" applyAlignment="1">
      <alignment vertical="center"/>
    </xf>
    <xf numFmtId="164" fontId="50" fillId="0" borderId="11" xfId="9" applyNumberFormat="1" applyFont="1" applyFill="1" applyBorder="1" applyAlignment="1">
      <alignment horizontal="center" vertical="center"/>
    </xf>
    <xf numFmtId="4" fontId="81" fillId="0" borderId="32" xfId="199" applyNumberFormat="1" applyFont="1" applyBorder="1" applyAlignment="1">
      <alignment horizontal="center" vertical="center" wrapText="1"/>
    </xf>
    <xf numFmtId="43" fontId="49" fillId="0" borderId="18" xfId="9" applyFont="1" applyFill="1" applyBorder="1" applyAlignment="1">
      <alignment horizontal="center" vertical="center"/>
    </xf>
    <xf numFmtId="4" fontId="49" fillId="0" borderId="19" xfId="9" applyNumberFormat="1" applyFont="1" applyFill="1" applyBorder="1" applyAlignment="1">
      <alignment horizontal="center" vertical="center"/>
    </xf>
    <xf numFmtId="4" fontId="49" fillId="0" borderId="20" xfId="9" applyNumberFormat="1" applyFont="1" applyFill="1" applyBorder="1" applyAlignment="1">
      <alignment horizontal="center" vertical="center"/>
    </xf>
    <xf numFmtId="4" fontId="49" fillId="0" borderId="53" xfId="9" applyNumberFormat="1" applyFont="1" applyFill="1" applyBorder="1" applyAlignment="1">
      <alignment horizontal="center" vertical="center"/>
    </xf>
    <xf numFmtId="4" fontId="49" fillId="0" borderId="33" xfId="9" applyNumberFormat="1" applyFont="1" applyFill="1" applyBorder="1" applyAlignment="1">
      <alignment horizontal="center" vertical="center"/>
    </xf>
    <xf numFmtId="4" fontId="49" fillId="0" borderId="34" xfId="9" applyNumberFormat="1" applyFont="1" applyFill="1" applyBorder="1" applyAlignment="1">
      <alignment horizontal="center" vertical="center"/>
    </xf>
    <xf numFmtId="0" fontId="56" fillId="4" borderId="11" xfId="194" applyFont="1" applyFill="1" applyBorder="1" applyAlignment="1">
      <alignment horizontal="center" vertical="center" wrapText="1"/>
    </xf>
    <xf numFmtId="0" fontId="56" fillId="4" borderId="16" xfId="194" applyFont="1" applyFill="1" applyBorder="1" applyAlignment="1">
      <alignment horizontal="center" vertical="center" wrapText="1"/>
    </xf>
    <xf numFmtId="0" fontId="56" fillId="4" borderId="12" xfId="194" applyFont="1" applyFill="1" applyBorder="1" applyAlignment="1">
      <alignment horizontal="center" vertical="center" wrapText="1"/>
    </xf>
    <xf numFmtId="0" fontId="55" fillId="0" borderId="11" xfId="8" applyFont="1" applyBorder="1" applyAlignment="1">
      <alignment horizontal="center" vertical="center" wrapText="1"/>
    </xf>
    <xf numFmtId="0" fontId="55" fillId="0" borderId="11" xfId="194" applyFont="1" applyBorder="1" applyAlignment="1">
      <alignment horizontal="center" vertical="center"/>
    </xf>
    <xf numFmtId="3" fontId="55" fillId="0" borderId="11" xfId="8" applyNumberFormat="1" applyFont="1" applyBorder="1" applyAlignment="1">
      <alignment horizontal="center" vertical="center"/>
    </xf>
    <xf numFmtId="4" fontId="55" fillId="11" borderId="11" xfId="196" applyNumberFormat="1" applyFont="1" applyFill="1" applyBorder="1" applyAlignment="1">
      <alignment horizontal="center" vertical="center"/>
    </xf>
    <xf numFmtId="3" fontId="55" fillId="0" borderId="12" xfId="8" applyNumberFormat="1" applyFont="1" applyBorder="1" applyAlignment="1">
      <alignment horizontal="center" vertical="center"/>
    </xf>
    <xf numFmtId="4" fontId="55" fillId="11" borderId="12" xfId="196" applyNumberFormat="1" applyFont="1" applyFill="1" applyBorder="1" applyAlignment="1">
      <alignment horizontal="center" vertical="center"/>
    </xf>
    <xf numFmtId="0" fontId="8" fillId="0" borderId="0" xfId="194" applyFont="1" applyAlignment="1">
      <alignment vertical="center"/>
    </xf>
    <xf numFmtId="0" fontId="56" fillId="0" borderId="0" xfId="194" applyFont="1" applyAlignment="1">
      <alignment horizontal="right" vertical="center"/>
    </xf>
    <xf numFmtId="4" fontId="56" fillId="0" borderId="0" xfId="194" applyNumberFormat="1" applyFont="1" applyAlignment="1">
      <alignment horizontal="right" vertical="center"/>
    </xf>
    <xf numFmtId="3" fontId="56" fillId="0" borderId="0" xfId="194" applyNumberFormat="1" applyFont="1" applyAlignment="1">
      <alignment horizontal="left" vertical="center"/>
    </xf>
    <xf numFmtId="0" fontId="8" fillId="0" borderId="0" xfId="194" applyFont="1" applyAlignment="1">
      <alignment horizontal="center" vertical="center"/>
    </xf>
    <xf numFmtId="0" fontId="63" fillId="0" borderId="0" xfId="0" applyFont="1" applyAlignment="1">
      <alignment horizontal="left" vertical="top"/>
    </xf>
    <xf numFmtId="4" fontId="79" fillId="0" borderId="0" xfId="196" applyNumberFormat="1" applyFont="1" applyFill="1" applyAlignment="1">
      <alignment horizontal="right" vertical="center"/>
    </xf>
    <xf numFmtId="3" fontId="79" fillId="0" borderId="0" xfId="194" applyNumberFormat="1" applyFont="1" applyAlignment="1">
      <alignment horizontal="left" vertical="center"/>
    </xf>
    <xf numFmtId="0" fontId="79" fillId="0" borderId="0" xfId="194" applyFont="1" applyAlignment="1">
      <alignment horizontal="right" vertical="center"/>
    </xf>
    <xf numFmtId="4" fontId="79" fillId="0" borderId="0" xfId="196" applyNumberFormat="1" applyFont="1" applyFill="1" applyBorder="1" applyAlignment="1">
      <alignment horizontal="right" vertical="center"/>
    </xf>
    <xf numFmtId="0" fontId="79" fillId="0" borderId="0" xfId="194" applyFont="1" applyAlignment="1">
      <alignment horizontal="left" vertical="center"/>
    </xf>
    <xf numFmtId="43" fontId="56" fillId="2" borderId="0" xfId="9" applyFont="1" applyFill="1" applyAlignment="1">
      <alignment horizontal="right" vertical="center"/>
    </xf>
    <xf numFmtId="2" fontId="79" fillId="0" borderId="0" xfId="194" applyNumberFormat="1" applyFont="1" applyAlignment="1">
      <alignment horizontal="right" vertical="center"/>
    </xf>
    <xf numFmtId="169" fontId="49" fillId="0" borderId="11" xfId="175" applyNumberFormat="1" applyFont="1" applyBorder="1" applyAlignment="1">
      <alignment horizontal="right" vertical="center"/>
    </xf>
    <xf numFmtId="169" fontId="49" fillId="0" borderId="19" xfId="175" applyNumberFormat="1" applyFont="1" applyBorder="1" applyAlignment="1">
      <alignment horizontal="right" vertical="center"/>
    </xf>
    <xf numFmtId="4" fontId="50" fillId="0" borderId="19" xfId="175" applyNumberFormat="1" applyFont="1" applyBorder="1" applyAlignment="1">
      <alignment horizontal="center" vertical="center"/>
    </xf>
    <xf numFmtId="49" fontId="54" fillId="0" borderId="0" xfId="175" applyNumberFormat="1" applyFont="1" applyAlignment="1">
      <alignment vertical="center"/>
    </xf>
    <xf numFmtId="0" fontId="57" fillId="0" borderId="0" xfId="175" applyFont="1" applyAlignment="1">
      <alignment vertical="center"/>
    </xf>
    <xf numFmtId="2" fontId="50" fillId="0" borderId="11" xfId="16" applyNumberFormat="1" applyFont="1" applyFill="1" applyBorder="1" applyAlignment="1">
      <alignment vertical="center"/>
    </xf>
    <xf numFmtId="2" fontId="50" fillId="0" borderId="19" xfId="16" applyNumberFormat="1" applyFont="1" applyFill="1" applyBorder="1" applyAlignment="1">
      <alignment vertical="center"/>
    </xf>
    <xf numFmtId="0" fontId="50" fillId="4" borderId="47" xfId="175" applyFont="1" applyFill="1" applyBorder="1" applyAlignment="1">
      <alignment vertical="center"/>
    </xf>
    <xf numFmtId="10" fontId="50" fillId="4" borderId="0" xfId="176" applyNumberFormat="1" applyFont="1" applyFill="1" applyBorder="1" applyAlignment="1">
      <alignment vertical="center"/>
    </xf>
    <xf numFmtId="0" fontId="50" fillId="4" borderId="48" xfId="175" applyFont="1" applyFill="1" applyBorder="1" applyAlignment="1">
      <alignment vertical="center"/>
    </xf>
    <xf numFmtId="0" fontId="68" fillId="4" borderId="11" xfId="175" applyFont="1" applyFill="1" applyBorder="1" applyAlignment="1">
      <alignment horizontal="center" vertical="center" textRotation="90" wrapText="1"/>
    </xf>
    <xf numFmtId="0" fontId="68" fillId="4" borderId="11" xfId="175" applyFont="1" applyFill="1" applyBorder="1" applyAlignment="1">
      <alignment horizontal="center" vertical="center" wrapText="1"/>
    </xf>
    <xf numFmtId="0" fontId="71" fillId="7" borderId="11" xfId="175" applyFont="1" applyFill="1" applyBorder="1" applyAlignment="1">
      <alignment horizontal="center" vertical="center" wrapText="1"/>
    </xf>
    <xf numFmtId="0" fontId="71" fillId="9" borderId="11" xfId="175" applyFont="1" applyFill="1" applyBorder="1" applyAlignment="1">
      <alignment horizontal="center" vertical="center" wrapText="1"/>
    </xf>
    <xf numFmtId="0" fontId="68" fillId="4" borderId="12" xfId="175" applyFont="1" applyFill="1" applyBorder="1" applyAlignment="1">
      <alignment horizontal="center" vertical="center" wrapText="1"/>
    </xf>
    <xf numFmtId="4" fontId="103" fillId="7" borderId="11" xfId="175" applyNumberFormat="1" applyFont="1" applyFill="1" applyBorder="1" applyAlignment="1">
      <alignment horizontal="center" vertical="center"/>
    </xf>
    <xf numFmtId="4" fontId="49" fillId="2" borderId="30" xfId="175" applyNumberFormat="1" applyFont="1" applyFill="1" applyBorder="1" applyAlignment="1">
      <alignment vertical="center"/>
    </xf>
    <xf numFmtId="4" fontId="49" fillId="2" borderId="44" xfId="175" applyNumberFormat="1" applyFont="1" applyFill="1" applyBorder="1" applyAlignment="1">
      <alignment vertical="center"/>
    </xf>
    <xf numFmtId="4" fontId="49" fillId="0" borderId="44" xfId="175" applyNumberFormat="1" applyFont="1" applyBorder="1" applyAlignment="1">
      <alignment vertical="center"/>
    </xf>
    <xf numFmtId="4" fontId="49" fillId="0" borderId="28" xfId="175" applyNumberFormat="1" applyFont="1" applyBorder="1" applyAlignment="1">
      <alignment vertical="center"/>
    </xf>
    <xf numFmtId="4" fontId="73" fillId="4" borderId="11" xfId="175" applyNumberFormat="1" applyFont="1" applyFill="1" applyBorder="1" applyAlignment="1">
      <alignment horizontal="center" vertical="center" wrapText="1"/>
    </xf>
    <xf numFmtId="3" fontId="73" fillId="4" borderId="11" xfId="175" applyNumberFormat="1" applyFont="1" applyFill="1" applyBorder="1" applyAlignment="1">
      <alignment horizontal="center" vertical="center" wrapText="1"/>
    </xf>
    <xf numFmtId="0" fontId="73" fillId="4" borderId="11" xfId="175" applyFont="1" applyFill="1" applyBorder="1" applyAlignment="1">
      <alignment horizontal="center" vertical="center" wrapText="1"/>
    </xf>
    <xf numFmtId="1" fontId="73" fillId="4" borderId="11" xfId="175" applyNumberFormat="1" applyFont="1" applyFill="1" applyBorder="1" applyAlignment="1">
      <alignment horizontal="center" vertical="center" wrapText="1"/>
    </xf>
    <xf numFmtId="9" fontId="73" fillId="4" borderId="11" xfId="19" applyFont="1" applyFill="1" applyBorder="1" applyAlignment="1">
      <alignment horizontal="center" vertical="center" wrapText="1"/>
    </xf>
    <xf numFmtId="9" fontId="73" fillId="4" borderId="11" xfId="176" applyFont="1" applyFill="1" applyBorder="1" applyAlignment="1">
      <alignment horizontal="center" vertical="center" wrapText="1"/>
    </xf>
    <xf numFmtId="4" fontId="83" fillId="4" borderId="19" xfId="175" applyNumberFormat="1" applyFont="1" applyFill="1" applyBorder="1" applyAlignment="1">
      <alignment horizontal="center" vertical="center" wrapText="1"/>
    </xf>
    <xf numFmtId="3" fontId="83" fillId="4" borderId="19" xfId="175" applyNumberFormat="1" applyFont="1" applyFill="1" applyBorder="1" applyAlignment="1">
      <alignment horizontal="center" vertical="center" wrapText="1"/>
    </xf>
    <xf numFmtId="4" fontId="83" fillId="4" borderId="20" xfId="175" applyNumberFormat="1" applyFont="1" applyFill="1" applyBorder="1" applyAlignment="1">
      <alignment horizontal="center" vertical="center" wrapText="1"/>
    </xf>
    <xf numFmtId="39" fontId="68" fillId="4" borderId="28" xfId="175" applyNumberFormat="1" applyFont="1" applyFill="1" applyBorder="1" applyAlignment="1">
      <alignment horizontal="center" vertical="center" textRotation="90" wrapText="1"/>
    </xf>
    <xf numFmtId="4" fontId="73" fillId="4" borderId="12" xfId="175" applyNumberFormat="1" applyFont="1" applyFill="1" applyBorder="1" applyAlignment="1">
      <alignment horizontal="center" vertical="center" wrapText="1"/>
    </xf>
    <xf numFmtId="165" fontId="54" fillId="5" borderId="11" xfId="12" applyNumberFormat="1" applyFont="1" applyFill="1" applyBorder="1" applyAlignment="1">
      <alignment horizontal="center" vertical="center"/>
    </xf>
    <xf numFmtId="165" fontId="57" fillId="2" borderId="11" xfId="12" applyNumberFormat="1" applyFont="1" applyFill="1" applyBorder="1" applyAlignment="1">
      <alignment horizontal="center" vertical="center"/>
    </xf>
    <xf numFmtId="0" fontId="54" fillId="3" borderId="16" xfId="12" applyFont="1" applyFill="1" applyBorder="1" applyAlignment="1">
      <alignment horizontal="center" vertical="center"/>
    </xf>
    <xf numFmtId="0" fontId="54" fillId="3" borderId="12" xfId="12" applyFont="1" applyFill="1" applyBorder="1" applyAlignment="1">
      <alignment horizontal="center" vertical="center"/>
    </xf>
    <xf numFmtId="166" fontId="54" fillId="2" borderId="12" xfId="12" applyNumberFormat="1" applyFont="1" applyFill="1" applyBorder="1" applyAlignment="1">
      <alignment horizontal="center" vertical="center"/>
    </xf>
    <xf numFmtId="167" fontId="54" fillId="2" borderId="12" xfId="12" applyNumberFormat="1" applyFont="1" applyFill="1" applyBorder="1" applyAlignment="1">
      <alignment horizontal="center" vertical="center"/>
    </xf>
    <xf numFmtId="165" fontId="57" fillId="2" borderId="19" xfId="12" applyNumberFormat="1" applyFont="1" applyFill="1" applyBorder="1" applyAlignment="1">
      <alignment horizontal="center" vertical="center"/>
    </xf>
    <xf numFmtId="165" fontId="54" fillId="2" borderId="20" xfId="12" applyNumberFormat="1" applyFont="1" applyFill="1" applyBorder="1" applyAlignment="1">
      <alignment horizontal="center" vertical="center"/>
    </xf>
    <xf numFmtId="0" fontId="57" fillId="2" borderId="63" xfId="12" applyFont="1" applyFill="1" applyBorder="1" applyAlignment="1">
      <alignment vertical="center"/>
    </xf>
    <xf numFmtId="0" fontId="57" fillId="2" borderId="38" xfId="12" applyFont="1" applyFill="1" applyBorder="1" applyAlignment="1">
      <alignment vertical="center"/>
    </xf>
    <xf numFmtId="0" fontId="57" fillId="2" borderId="14" xfId="12" applyFont="1" applyFill="1" applyBorder="1" applyAlignment="1">
      <alignment vertical="center"/>
    </xf>
    <xf numFmtId="165" fontId="57" fillId="2" borderId="2" xfId="12" applyNumberFormat="1" applyFont="1" applyFill="1" applyBorder="1" applyAlignment="1">
      <alignment horizontal="center" vertical="center"/>
    </xf>
    <xf numFmtId="0" fontId="57" fillId="2" borderId="26" xfId="12" applyFont="1" applyFill="1" applyBorder="1" applyAlignment="1">
      <alignment vertical="center"/>
    </xf>
    <xf numFmtId="0" fontId="57" fillId="2" borderId="54" xfId="12" applyFont="1" applyFill="1" applyBorder="1"/>
    <xf numFmtId="0" fontId="57" fillId="2" borderId="26" xfId="12" applyFont="1" applyFill="1" applyBorder="1"/>
    <xf numFmtId="0" fontId="57" fillId="2" borderId="8" xfId="12" applyFont="1" applyFill="1" applyBorder="1"/>
    <xf numFmtId="0" fontId="57" fillId="2" borderId="9" xfId="12" applyFont="1" applyFill="1" applyBorder="1"/>
    <xf numFmtId="0" fontId="57" fillId="2" borderId="50" xfId="12" applyFont="1" applyFill="1" applyBorder="1"/>
    <xf numFmtId="9" fontId="57" fillId="2" borderId="52" xfId="12" applyNumberFormat="1" applyFont="1" applyFill="1" applyBorder="1"/>
    <xf numFmtId="4" fontId="57" fillId="2" borderId="30" xfId="12" applyNumberFormat="1" applyFont="1" applyFill="1" applyBorder="1"/>
    <xf numFmtId="9" fontId="57" fillId="2" borderId="44" xfId="12" applyNumberFormat="1" applyFont="1" applyFill="1" applyBorder="1"/>
    <xf numFmtId="0" fontId="8" fillId="0" borderId="0" xfId="200" applyAlignment="1">
      <alignment vertical="center"/>
    </xf>
    <xf numFmtId="0" fontId="79" fillId="4" borderId="11" xfId="200" applyFont="1" applyFill="1" applyBorder="1" applyAlignment="1">
      <alignment horizontal="center" vertical="center" wrapText="1"/>
    </xf>
    <xf numFmtId="0" fontId="100" fillId="4" borderId="11" xfId="200" applyFont="1" applyFill="1" applyBorder="1" applyAlignment="1">
      <alignment horizontal="center" vertical="center" wrapText="1"/>
    </xf>
    <xf numFmtId="2" fontId="8" fillId="0" borderId="11" xfId="200" applyNumberFormat="1" applyBorder="1" applyAlignment="1">
      <alignment horizontal="center" vertical="center"/>
    </xf>
    <xf numFmtId="170" fontId="8" fillId="0" borderId="11" xfId="200" applyNumberFormat="1" applyBorder="1" applyAlignment="1">
      <alignment horizontal="center" vertical="center"/>
    </xf>
    <xf numFmtId="169" fontId="8" fillId="0" borderId="11" xfId="200" applyNumberFormat="1" applyBorder="1" applyAlignment="1">
      <alignment horizontal="center" vertical="center"/>
    </xf>
    <xf numFmtId="2" fontId="53" fillId="0" borderId="11" xfId="200" applyNumberFormat="1" applyFont="1" applyBorder="1" applyAlignment="1">
      <alignment horizontal="center" vertical="center"/>
    </xf>
    <xf numFmtId="2" fontId="8" fillId="0" borderId="30" xfId="200" applyNumberFormat="1" applyBorder="1" applyAlignment="1">
      <alignment horizontal="center" vertical="center"/>
    </xf>
    <xf numFmtId="170" fontId="8" fillId="0" borderId="30" xfId="200" applyNumberFormat="1" applyBorder="1" applyAlignment="1">
      <alignment horizontal="center" vertical="center"/>
    </xf>
    <xf numFmtId="169" fontId="8" fillId="0" borderId="30" xfId="200" applyNumberFormat="1" applyBorder="1" applyAlignment="1">
      <alignment horizontal="center" vertical="center"/>
    </xf>
    <xf numFmtId="0" fontId="84" fillId="0" borderId="0" xfId="200" applyFont="1" applyAlignment="1">
      <alignment horizontal="right" vertical="center"/>
    </xf>
    <xf numFmtId="4" fontId="84" fillId="0" borderId="0" xfId="200" applyNumberFormat="1" applyFont="1" applyAlignment="1">
      <alignment horizontal="center" vertical="center"/>
    </xf>
    <xf numFmtId="0" fontId="84" fillId="0" borderId="0" xfId="200" applyFont="1" applyAlignment="1">
      <alignment horizontal="left" vertical="center"/>
    </xf>
    <xf numFmtId="43" fontId="49" fillId="2" borderId="0" xfId="9" applyFont="1" applyFill="1" applyAlignment="1">
      <alignment horizontal="right" vertical="center"/>
    </xf>
    <xf numFmtId="4" fontId="49" fillId="2" borderId="0" xfId="9" applyNumberFormat="1" applyFont="1" applyFill="1" applyAlignment="1">
      <alignment horizontal="right" vertical="center"/>
    </xf>
    <xf numFmtId="43" fontId="49" fillId="2" borderId="0" xfId="9" applyFont="1" applyFill="1" applyAlignment="1">
      <alignment vertical="center"/>
    </xf>
    <xf numFmtId="43" fontId="49" fillId="2" borderId="0" xfId="9" applyFont="1" applyFill="1" applyAlignment="1">
      <alignment horizontal="left" vertical="center"/>
    </xf>
    <xf numFmtId="4" fontId="49" fillId="0" borderId="0" xfId="7" applyNumberFormat="1" applyFont="1" applyAlignment="1">
      <alignment horizontal="right" vertical="center"/>
    </xf>
    <xf numFmtId="4" fontId="49" fillId="0" borderId="0" xfId="9" applyNumberFormat="1" applyFont="1" applyFill="1" applyAlignment="1">
      <alignment horizontal="right" vertical="center"/>
    </xf>
    <xf numFmtId="0" fontId="56" fillId="4" borderId="11" xfId="12" applyFont="1" applyFill="1" applyBorder="1" applyAlignment="1">
      <alignment horizontal="center" vertical="center"/>
    </xf>
    <xf numFmtId="0" fontId="19" fillId="0" borderId="11" xfId="131" applyFont="1" applyBorder="1" applyAlignment="1">
      <alignment horizontal="center" vertical="center"/>
    </xf>
    <xf numFmtId="2" fontId="19" fillId="0" borderId="11" xfId="12" applyNumberFormat="1" applyFont="1" applyBorder="1" applyAlignment="1">
      <alignment horizontal="center" vertical="center"/>
    </xf>
    <xf numFmtId="0" fontId="55" fillId="2" borderId="11" xfId="12" applyFont="1" applyFill="1" applyBorder="1" applyAlignment="1">
      <alignment horizontal="center" vertical="center"/>
    </xf>
    <xf numFmtId="0" fontId="38" fillId="2" borderId="11" xfId="12" applyFont="1" applyFill="1" applyBorder="1" applyAlignment="1">
      <alignment horizontal="center" vertical="center"/>
    </xf>
    <xf numFmtId="2" fontId="55" fillId="0" borderId="11" xfId="12" applyNumberFormat="1" applyFont="1" applyBorder="1" applyAlignment="1">
      <alignment horizontal="center" vertical="center"/>
    </xf>
    <xf numFmtId="0" fontId="55" fillId="2" borderId="11" xfId="131" applyFont="1" applyFill="1" applyBorder="1" applyAlignment="1">
      <alignment horizontal="center" vertical="center"/>
    </xf>
    <xf numFmtId="0" fontId="63" fillId="0" borderId="11" xfId="131" applyFont="1" applyBorder="1" applyAlignment="1">
      <alignment horizontal="center" vertical="center" wrapText="1"/>
    </xf>
    <xf numFmtId="0" fontId="19" fillId="2" borderId="11" xfId="131" applyFont="1" applyFill="1" applyBorder="1" applyAlignment="1">
      <alignment horizontal="center" vertical="center"/>
    </xf>
    <xf numFmtId="0" fontId="24" fillId="2" borderId="11" xfId="131" applyFill="1" applyBorder="1" applyAlignment="1">
      <alignment horizontal="center" vertical="center"/>
    </xf>
    <xf numFmtId="2" fontId="19" fillId="0" borderId="12" xfId="12" applyNumberFormat="1" applyFont="1" applyBorder="1" applyAlignment="1">
      <alignment horizontal="center" vertical="center"/>
    </xf>
    <xf numFmtId="0" fontId="19" fillId="2" borderId="19" xfId="131" applyFont="1" applyFill="1" applyBorder="1" applyAlignment="1">
      <alignment horizontal="center" vertical="center"/>
    </xf>
    <xf numFmtId="0" fontId="19" fillId="0" borderId="19" xfId="131" applyFont="1" applyBorder="1" applyAlignment="1">
      <alignment horizontal="center" vertical="center"/>
    </xf>
    <xf numFmtId="2" fontId="55" fillId="0" borderId="19" xfId="12" applyNumberFormat="1" applyFont="1" applyBorder="1" applyAlignment="1">
      <alignment horizontal="center" vertical="center"/>
    </xf>
    <xf numFmtId="2" fontId="38" fillId="0" borderId="20" xfId="12" applyNumberFormat="1" applyFont="1" applyBorder="1" applyAlignment="1">
      <alignment horizontal="center" vertical="center"/>
    </xf>
    <xf numFmtId="0" fontId="19" fillId="0" borderId="16" xfId="12" applyFont="1" applyBorder="1" applyAlignment="1">
      <alignment horizontal="center" vertical="center"/>
    </xf>
    <xf numFmtId="0" fontId="55" fillId="2" borderId="16" xfId="12" applyFont="1" applyFill="1" applyBorder="1" applyAlignment="1">
      <alignment horizontal="center" vertical="center" wrapText="1"/>
    </xf>
    <xf numFmtId="0" fontId="19" fillId="2" borderId="16" xfId="12" applyFont="1" applyFill="1" applyBorder="1" applyAlignment="1">
      <alignment horizontal="center" vertical="center" wrapText="1"/>
    </xf>
    <xf numFmtId="0" fontId="19" fillId="2" borderId="16" xfId="12" applyFont="1" applyFill="1" applyBorder="1" applyAlignment="1">
      <alignment horizontal="center" vertical="center"/>
    </xf>
    <xf numFmtId="0" fontId="16" fillId="2" borderId="16" xfId="12" applyFont="1" applyFill="1" applyBorder="1" applyAlignment="1">
      <alignment horizontal="center" vertical="center"/>
    </xf>
    <xf numFmtId="0" fontId="38" fillId="2" borderId="16" xfId="12" applyFont="1" applyFill="1" applyBorder="1" applyAlignment="1">
      <alignment horizontal="center" vertical="center"/>
    </xf>
    <xf numFmtId="0" fontId="63" fillId="2" borderId="16" xfId="12" applyFont="1" applyFill="1" applyBorder="1" applyAlignment="1">
      <alignment horizontal="center" vertical="center"/>
    </xf>
    <xf numFmtId="0" fontId="63" fillId="2" borderId="18" xfId="12" applyFont="1" applyFill="1" applyBorder="1" applyAlignment="1">
      <alignment horizontal="center" vertical="center"/>
    </xf>
    <xf numFmtId="0" fontId="7" fillId="2" borderId="0" xfId="202" applyFill="1" applyAlignment="1">
      <alignment horizontal="center" vertical="center"/>
    </xf>
    <xf numFmtId="169" fontId="49" fillId="4" borderId="81" xfId="202" applyNumberFormat="1" applyFont="1" applyFill="1" applyBorder="1" applyAlignment="1">
      <alignment horizontal="center" vertical="center" wrapText="1"/>
    </xf>
    <xf numFmtId="169" fontId="49" fillId="4" borderId="21" xfId="202" applyNumberFormat="1" applyFont="1" applyFill="1" applyBorder="1" applyAlignment="1">
      <alignment horizontal="center" vertical="center" wrapText="1"/>
    </xf>
    <xf numFmtId="169" fontId="49" fillId="4" borderId="22" xfId="202" applyNumberFormat="1" applyFont="1" applyFill="1" applyBorder="1" applyAlignment="1">
      <alignment horizontal="center" vertical="center" wrapText="1"/>
    </xf>
    <xf numFmtId="169" fontId="49" fillId="4" borderId="23" xfId="202" applyNumberFormat="1" applyFont="1" applyFill="1" applyBorder="1" applyAlignment="1">
      <alignment horizontal="center" vertical="center" wrapText="1"/>
    </xf>
    <xf numFmtId="169" fontId="49" fillId="4" borderId="49" xfId="202" applyNumberFormat="1" applyFont="1" applyFill="1" applyBorder="1" applyAlignment="1">
      <alignment horizontal="center" vertical="center" wrapText="1"/>
    </xf>
    <xf numFmtId="169" fontId="49" fillId="4" borderId="35" xfId="202" applyNumberFormat="1" applyFont="1" applyFill="1" applyBorder="1" applyAlignment="1">
      <alignment horizontal="center" vertical="center" wrapText="1"/>
    </xf>
    <xf numFmtId="169" fontId="49" fillId="4" borderId="26" xfId="202" applyNumberFormat="1" applyFont="1" applyFill="1" applyBorder="1" applyAlignment="1">
      <alignment horizontal="center" vertical="center" wrapText="1"/>
    </xf>
    <xf numFmtId="169" fontId="49" fillId="4" borderId="29" xfId="202" applyNumberFormat="1" applyFont="1" applyFill="1" applyBorder="1" applyAlignment="1">
      <alignment horizontal="center" vertical="center" wrapText="1"/>
    </xf>
    <xf numFmtId="0" fontId="50" fillId="2" borderId="14" xfId="202" applyFont="1" applyFill="1" applyBorder="1" applyAlignment="1">
      <alignment horizontal="center" vertical="center"/>
    </xf>
    <xf numFmtId="4" fontId="50" fillId="0" borderId="82" xfId="202" applyNumberFormat="1" applyFont="1" applyBorder="1" applyAlignment="1">
      <alignment horizontal="center" vertical="center"/>
    </xf>
    <xf numFmtId="4" fontId="50" fillId="0" borderId="16" xfId="203" applyNumberFormat="1" applyFont="1" applyFill="1" applyBorder="1" applyAlignment="1">
      <alignment horizontal="center" vertical="center"/>
    </xf>
    <xf numFmtId="4" fontId="50" fillId="0" borderId="11" xfId="202" applyNumberFormat="1" applyFont="1" applyBorder="1" applyAlignment="1">
      <alignment horizontal="center" vertical="center"/>
    </xf>
    <xf numFmtId="4" fontId="50" fillId="0" borderId="12" xfId="202" applyNumberFormat="1" applyFont="1" applyBorder="1" applyAlignment="1">
      <alignment horizontal="center" vertical="center"/>
    </xf>
    <xf numFmtId="4" fontId="50" fillId="2" borderId="16" xfId="203" applyNumberFormat="1" applyFont="1" applyFill="1" applyBorder="1" applyAlignment="1">
      <alignment horizontal="center" vertical="center"/>
    </xf>
    <xf numFmtId="4" fontId="50" fillId="2" borderId="11" xfId="203" applyNumberFormat="1" applyFont="1" applyFill="1" applyBorder="1" applyAlignment="1">
      <alignment horizontal="center" vertical="center"/>
    </xf>
    <xf numFmtId="4" fontId="50" fillId="2" borderId="13" xfId="203" applyNumberFormat="1" applyFont="1" applyFill="1" applyBorder="1" applyAlignment="1">
      <alignment horizontal="center" vertical="center"/>
    </xf>
    <xf numFmtId="4" fontId="50" fillId="2" borderId="12" xfId="203" applyNumberFormat="1" applyFont="1" applyFill="1" applyBorder="1" applyAlignment="1">
      <alignment horizontal="center" vertical="center"/>
    </xf>
    <xf numFmtId="4" fontId="50" fillId="2" borderId="14" xfId="203" applyNumberFormat="1" applyFont="1" applyFill="1" applyBorder="1" applyAlignment="1">
      <alignment horizontal="center" vertical="center"/>
    </xf>
    <xf numFmtId="4" fontId="50" fillId="2" borderId="2" xfId="203" applyNumberFormat="1" applyFont="1" applyFill="1" applyBorder="1" applyAlignment="1">
      <alignment horizontal="center" vertical="center"/>
    </xf>
    <xf numFmtId="0" fontId="55" fillId="2" borderId="0" xfId="202" applyFont="1" applyFill="1" applyAlignment="1">
      <alignment horizontal="center" vertical="center"/>
    </xf>
    <xf numFmtId="0" fontId="84" fillId="2" borderId="37" xfId="202" applyFont="1" applyFill="1" applyBorder="1" applyAlignment="1">
      <alignment horizontal="center" vertical="center"/>
    </xf>
    <xf numFmtId="4" fontId="84" fillId="2" borderId="83" xfId="202" applyNumberFormat="1" applyFont="1" applyFill="1" applyBorder="1" applyAlignment="1">
      <alignment horizontal="center" vertical="center"/>
    </xf>
    <xf numFmtId="4" fontId="84" fillId="2" borderId="18" xfId="202" applyNumberFormat="1" applyFont="1" applyFill="1" applyBorder="1" applyAlignment="1">
      <alignment horizontal="center" vertical="center"/>
    </xf>
    <xf numFmtId="4" fontId="84" fillId="2" borderId="19" xfId="202" applyNumberFormat="1" applyFont="1" applyFill="1" applyBorder="1" applyAlignment="1">
      <alignment horizontal="center" vertical="center"/>
    </xf>
    <xf numFmtId="4" fontId="84" fillId="2" borderId="20" xfId="202" applyNumberFormat="1" applyFont="1" applyFill="1" applyBorder="1" applyAlignment="1">
      <alignment horizontal="center" vertical="center"/>
    </xf>
    <xf numFmtId="4" fontId="84" fillId="2" borderId="53" xfId="202" applyNumberFormat="1" applyFont="1" applyFill="1" applyBorder="1" applyAlignment="1">
      <alignment horizontal="center" vertical="center"/>
    </xf>
    <xf numFmtId="4" fontId="84" fillId="2" borderId="37" xfId="202" applyNumberFormat="1" applyFont="1" applyFill="1" applyBorder="1" applyAlignment="1">
      <alignment horizontal="center" vertical="center"/>
    </xf>
    <xf numFmtId="4" fontId="84" fillId="2" borderId="34" xfId="202" applyNumberFormat="1" applyFont="1" applyFill="1" applyBorder="1" applyAlignment="1">
      <alignment horizontal="center" vertical="center"/>
    </xf>
    <xf numFmtId="0" fontId="84" fillId="2" borderId="0" xfId="202" applyFont="1" applyFill="1" applyAlignment="1">
      <alignment horizontal="right" vertical="center"/>
    </xf>
    <xf numFmtId="2" fontId="84" fillId="2" borderId="0" xfId="202" applyNumberFormat="1" applyFont="1" applyFill="1" applyAlignment="1">
      <alignment horizontal="center" vertical="center"/>
    </xf>
    <xf numFmtId="0" fontId="84" fillId="2" borderId="0" xfId="202" applyFont="1" applyFill="1" applyAlignment="1">
      <alignment horizontal="left" vertical="center"/>
    </xf>
    <xf numFmtId="4" fontId="73" fillId="4" borderId="13" xfId="175" applyNumberFormat="1" applyFont="1" applyFill="1" applyBorder="1" applyAlignment="1">
      <alignment horizontal="center" vertical="center" wrapText="1"/>
    </xf>
    <xf numFmtId="4" fontId="73" fillId="0" borderId="13" xfId="175" applyNumberFormat="1" applyFont="1" applyBorder="1" applyAlignment="1">
      <alignment horizontal="center" vertical="center" wrapText="1"/>
    </xf>
    <xf numFmtId="4" fontId="83" fillId="4" borderId="53" xfId="175" applyNumberFormat="1" applyFont="1" applyFill="1" applyBorder="1" applyAlignment="1">
      <alignment horizontal="center" vertical="center" wrapText="1"/>
    </xf>
    <xf numFmtId="4" fontId="50" fillId="0" borderId="30" xfId="9" applyNumberFormat="1" applyFont="1" applyFill="1" applyBorder="1" applyAlignment="1">
      <alignment horizontal="center" vertical="center"/>
    </xf>
    <xf numFmtId="4" fontId="50" fillId="0" borderId="30" xfId="192" applyNumberFormat="1" applyFont="1" applyBorder="1" applyAlignment="1">
      <alignment horizontal="center" vertical="center"/>
    </xf>
    <xf numFmtId="0" fontId="77" fillId="2" borderId="0" xfId="204" applyFont="1" applyFill="1" applyAlignment="1">
      <alignment horizontal="center" vertical="center"/>
    </xf>
    <xf numFmtId="4" fontId="77" fillId="2" borderId="0" xfId="204" applyNumberFormat="1" applyFont="1" applyFill="1" applyAlignment="1">
      <alignment horizontal="center" vertical="center"/>
    </xf>
    <xf numFmtId="0" fontId="84" fillId="2" borderId="0" xfId="204" applyFont="1" applyFill="1" applyAlignment="1">
      <alignment horizontal="left" vertical="center"/>
    </xf>
    <xf numFmtId="4" fontId="84" fillId="2" borderId="0" xfId="204" applyNumberFormat="1" applyFont="1" applyFill="1" applyAlignment="1">
      <alignment horizontal="right" vertical="center"/>
    </xf>
    <xf numFmtId="0" fontId="49" fillId="2" borderId="0" xfId="7" applyFont="1" applyFill="1" applyAlignment="1">
      <alignment horizontal="right" vertical="center"/>
    </xf>
    <xf numFmtId="0" fontId="50" fillId="2" borderId="0" xfId="7" applyFont="1" applyFill="1" applyAlignment="1">
      <alignment vertical="center"/>
    </xf>
    <xf numFmtId="0" fontId="84" fillId="2" borderId="0" xfId="204" applyFont="1" applyFill="1" applyAlignment="1">
      <alignment horizontal="right" vertical="center"/>
    </xf>
    <xf numFmtId="0" fontId="104" fillId="2" borderId="0" xfId="204" applyFont="1" applyFill="1" applyAlignment="1">
      <alignment horizontal="center" vertical="center"/>
    </xf>
    <xf numFmtId="4" fontId="104" fillId="2" borderId="0" xfId="204" applyNumberFormat="1" applyFont="1" applyFill="1" applyAlignment="1">
      <alignment horizontal="center" vertical="center"/>
    </xf>
    <xf numFmtId="0" fontId="84" fillId="2" borderId="0" xfId="204" applyFont="1" applyFill="1" applyAlignment="1">
      <alignment horizontal="center" vertical="center"/>
    </xf>
    <xf numFmtId="2" fontId="84" fillId="2" borderId="0" xfId="204" applyNumberFormat="1" applyFont="1" applyFill="1" applyAlignment="1">
      <alignment horizontal="left" vertical="center"/>
    </xf>
    <xf numFmtId="2" fontId="84" fillId="2" borderId="0" xfId="204" applyNumberFormat="1" applyFont="1" applyFill="1" applyAlignment="1">
      <alignment horizontal="center" vertical="center"/>
    </xf>
    <xf numFmtId="2" fontId="84" fillId="2" borderId="0" xfId="204" applyNumberFormat="1" applyFont="1" applyFill="1" applyAlignment="1">
      <alignment horizontal="right" vertical="center"/>
    </xf>
    <xf numFmtId="0" fontId="50" fillId="0" borderId="0" xfId="204" applyFont="1" applyAlignment="1">
      <alignment horizontal="center" vertical="center"/>
    </xf>
    <xf numFmtId="0" fontId="6" fillId="0" borderId="0" xfId="204" applyAlignment="1">
      <alignment horizontal="center" vertical="center"/>
    </xf>
    <xf numFmtId="0" fontId="6" fillId="2" borderId="0" xfId="204" applyFill="1" applyAlignment="1">
      <alignment horizontal="center" vertical="center"/>
    </xf>
    <xf numFmtId="0" fontId="79" fillId="2" borderId="0" xfId="204" applyFont="1" applyFill="1" applyAlignment="1">
      <alignment vertical="center"/>
    </xf>
    <xf numFmtId="2" fontId="79" fillId="2" borderId="0" xfId="204" applyNumberFormat="1" applyFont="1" applyFill="1" applyAlignment="1">
      <alignment horizontal="center" vertical="center"/>
    </xf>
    <xf numFmtId="0" fontId="79" fillId="2" borderId="0" xfId="204" applyFont="1" applyFill="1" applyAlignment="1">
      <alignment horizontal="center" vertical="center"/>
    </xf>
    <xf numFmtId="0" fontId="79" fillId="2" borderId="0" xfId="204" applyFont="1" applyFill="1" applyAlignment="1">
      <alignment horizontal="right" vertical="center"/>
    </xf>
    <xf numFmtId="0" fontId="77" fillId="0" borderId="0" xfId="204" applyFont="1" applyAlignment="1">
      <alignment horizontal="center" vertical="center"/>
    </xf>
    <xf numFmtId="4" fontId="77" fillId="0" borderId="11" xfId="204" applyNumberFormat="1" applyFont="1" applyBorder="1" applyAlignment="1">
      <alignment horizontal="center" vertical="center"/>
    </xf>
    <xf numFmtId="4" fontId="77" fillId="15" borderId="11" xfId="204" applyNumberFormat="1" applyFont="1" applyFill="1" applyBorder="1" applyAlignment="1">
      <alignment horizontal="center" vertical="center"/>
    </xf>
    <xf numFmtId="4" fontId="77" fillId="0" borderId="30" xfId="204" applyNumberFormat="1" applyFont="1" applyBorder="1" applyAlignment="1">
      <alignment horizontal="center" vertical="center"/>
    </xf>
    <xf numFmtId="10" fontId="77" fillId="0" borderId="30" xfId="205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4" fontId="77" fillId="0" borderId="11" xfId="0" applyNumberFormat="1" applyFont="1" applyBorder="1" applyAlignment="1">
      <alignment horizontal="center" vertical="center"/>
    </xf>
    <xf numFmtId="169" fontId="49" fillId="4" borderId="11" xfId="204" applyNumberFormat="1" applyFont="1" applyFill="1" applyBorder="1" applyAlignment="1">
      <alignment horizontal="center" vertical="center" wrapText="1"/>
    </xf>
    <xf numFmtId="0" fontId="84" fillId="2" borderId="0" xfId="204" applyFont="1" applyFill="1" applyAlignment="1">
      <alignment vertical="center"/>
    </xf>
    <xf numFmtId="0" fontId="50" fillId="0" borderId="16" xfId="8" applyFont="1" applyBorder="1" applyAlignment="1">
      <alignment horizontal="center" vertical="center" wrapText="1"/>
    </xf>
    <xf numFmtId="0" fontId="50" fillId="0" borderId="17" xfId="8" applyFont="1" applyBorder="1" applyAlignment="1">
      <alignment horizontal="center" vertical="center" wrapText="1"/>
    </xf>
    <xf numFmtId="4" fontId="103" fillId="7" borderId="19" xfId="175" applyNumberFormat="1" applyFont="1" applyFill="1" applyBorder="1" applyAlignment="1">
      <alignment horizontal="center" vertical="center"/>
    </xf>
    <xf numFmtId="4" fontId="55" fillId="11" borderId="16" xfId="196" applyNumberFormat="1" applyFont="1" applyFill="1" applyBorder="1" applyAlignment="1">
      <alignment horizontal="center" vertical="center"/>
    </xf>
    <xf numFmtId="0" fontId="5" fillId="0" borderId="11" xfId="131" applyFont="1" applyBorder="1" applyAlignment="1">
      <alignment horizontal="center" vertical="center"/>
    </xf>
    <xf numFmtId="17" fontId="50" fillId="0" borderId="28" xfId="184" applyNumberFormat="1" applyFont="1" applyBorder="1" applyAlignment="1">
      <alignment horizontal="center" vertical="center"/>
    </xf>
    <xf numFmtId="0" fontId="50" fillId="0" borderId="28" xfId="184" applyFont="1" applyBorder="1" applyAlignment="1">
      <alignment horizontal="center" vertical="center"/>
    </xf>
    <xf numFmtId="172" fontId="50" fillId="0" borderId="28" xfId="185" applyNumberFormat="1" applyFont="1" applyBorder="1" applyAlignment="1">
      <alignment horizontal="center" vertical="center"/>
    </xf>
    <xf numFmtId="4" fontId="50" fillId="0" borderId="28" xfId="184" applyNumberFormat="1" applyFont="1" applyBorder="1" applyAlignment="1">
      <alignment horizontal="center" vertical="center"/>
    </xf>
    <xf numFmtId="17" fontId="74" fillId="0" borderId="77" xfId="184" applyNumberFormat="1" applyFont="1" applyBorder="1" applyAlignment="1">
      <alignment horizontal="center" vertical="center"/>
    </xf>
    <xf numFmtId="0" fontId="74" fillId="0" borderId="77" xfId="184" applyFont="1" applyBorder="1" applyAlignment="1">
      <alignment horizontal="center" vertical="center"/>
    </xf>
    <xf numFmtId="172" fontId="74" fillId="0" borderId="77" xfId="185" applyNumberFormat="1" applyFont="1" applyBorder="1" applyAlignment="1">
      <alignment horizontal="center" vertical="center"/>
    </xf>
    <xf numFmtId="4" fontId="74" fillId="0" borderId="77" xfId="184" applyNumberFormat="1" applyFont="1" applyBorder="1" applyAlignment="1">
      <alignment horizontal="center" vertical="center"/>
    </xf>
    <xf numFmtId="0" fontId="4" fillId="2" borderId="16" xfId="12" applyFont="1" applyFill="1" applyBorder="1" applyAlignment="1">
      <alignment horizontal="center" vertical="center"/>
    </xf>
    <xf numFmtId="4" fontId="49" fillId="0" borderId="86" xfId="175" applyNumberFormat="1" applyFont="1" applyBorder="1" applyAlignment="1">
      <alignment vertical="center"/>
    </xf>
    <xf numFmtId="2" fontId="56" fillId="2" borderId="0" xfId="7" applyNumberFormat="1" applyFont="1" applyFill="1" applyAlignment="1">
      <alignment horizontal="right" vertical="center"/>
    </xf>
    <xf numFmtId="4" fontId="56" fillId="2" borderId="0" xfId="175" applyNumberFormat="1" applyFont="1" applyFill="1" applyAlignment="1">
      <alignment vertical="center"/>
    </xf>
    <xf numFmtId="0" fontId="56" fillId="2" borderId="0" xfId="7" applyFont="1" applyFill="1" applyAlignment="1">
      <alignment vertical="center"/>
    </xf>
    <xf numFmtId="39" fontId="56" fillId="4" borderId="13" xfId="174" applyNumberFormat="1" applyFont="1" applyFill="1" applyBorder="1" applyAlignment="1">
      <alignment horizontal="center" vertical="center" wrapText="1"/>
    </xf>
    <xf numFmtId="4" fontId="55" fillId="0" borderId="13" xfId="174" applyNumberFormat="1" applyFont="1" applyBorder="1" applyAlignment="1">
      <alignment horizontal="center" vertical="center" wrapText="1"/>
    </xf>
    <xf numFmtId="4" fontId="56" fillId="0" borderId="53" xfId="174" applyNumberFormat="1" applyFont="1" applyBorder="1" applyAlignment="1">
      <alignment horizontal="center" vertical="center" wrapText="1"/>
    </xf>
    <xf numFmtId="169" fontId="49" fillId="4" borderId="11" xfId="206" applyNumberFormat="1" applyFont="1" applyFill="1" applyBorder="1" applyAlignment="1">
      <alignment horizontal="center" vertical="center" wrapText="1"/>
    </xf>
    <xf numFmtId="4" fontId="55" fillId="0" borderId="11" xfId="8" applyNumberFormat="1" applyFont="1" applyBorder="1" applyAlignment="1">
      <alignment horizontal="center" vertical="center"/>
    </xf>
    <xf numFmtId="0" fontId="84" fillId="2" borderId="0" xfId="204" applyFont="1" applyFill="1" applyAlignment="1">
      <alignment horizontal="right" vertical="center" wrapText="1"/>
    </xf>
    <xf numFmtId="4" fontId="55" fillId="0" borderId="11" xfId="196" applyNumberFormat="1" applyFont="1" applyFill="1" applyBorder="1" applyAlignment="1">
      <alignment horizontal="center" vertical="center"/>
    </xf>
    <xf numFmtId="4" fontId="102" fillId="11" borderId="32" xfId="199" applyNumberFormat="1" applyFont="1" applyFill="1" applyBorder="1" applyAlignment="1">
      <alignment horizontal="right" vertical="center" wrapText="1"/>
    </xf>
    <xf numFmtId="4" fontId="102" fillId="11" borderId="8" xfId="199" applyNumberFormat="1" applyFont="1" applyFill="1" applyBorder="1" applyAlignment="1">
      <alignment horizontal="right" vertical="center" wrapText="1"/>
    </xf>
    <xf numFmtId="4" fontId="50" fillId="2" borderId="82" xfId="202" applyNumberFormat="1" applyFont="1" applyFill="1" applyBorder="1" applyAlignment="1">
      <alignment horizontal="center" vertical="center"/>
    </xf>
    <xf numFmtId="4" fontId="50" fillId="2" borderId="11" xfId="202" applyNumberFormat="1" applyFont="1" applyFill="1" applyBorder="1" applyAlignment="1">
      <alignment horizontal="center" vertical="center"/>
    </xf>
    <xf numFmtId="4" fontId="50" fillId="2" borderId="12" xfId="202" applyNumberFormat="1" applyFont="1" applyFill="1" applyBorder="1" applyAlignment="1">
      <alignment horizontal="center" vertical="center"/>
    </xf>
    <xf numFmtId="0" fontId="79" fillId="4" borderId="11" xfId="200" applyFont="1" applyFill="1" applyBorder="1" applyAlignment="1">
      <alignment horizontal="center" vertical="center"/>
    </xf>
    <xf numFmtId="0" fontId="8" fillId="0" borderId="11" xfId="200" applyBorder="1" applyAlignment="1">
      <alignment vertical="center"/>
    </xf>
    <xf numFmtId="0" fontId="8" fillId="0" borderId="30" xfId="200" applyBorder="1" applyAlignment="1">
      <alignment vertical="center"/>
    </xf>
    <xf numFmtId="2" fontId="100" fillId="0" borderId="11" xfId="200" applyNumberFormat="1" applyFont="1" applyBorder="1" applyAlignment="1">
      <alignment horizontal="center" vertical="center"/>
    </xf>
    <xf numFmtId="4" fontId="50" fillId="0" borderId="11" xfId="204" applyNumberFormat="1" applyFont="1" applyBorder="1" applyAlignment="1">
      <alignment horizontal="center" vertical="center"/>
    </xf>
    <xf numFmtId="4" fontId="84" fillId="2" borderId="11" xfId="204" applyNumberFormat="1" applyFont="1" applyFill="1" applyBorder="1" applyAlignment="1">
      <alignment horizontal="center" vertical="center"/>
    </xf>
    <xf numFmtId="4" fontId="84" fillId="0" borderId="11" xfId="204" applyNumberFormat="1" applyFont="1" applyBorder="1" applyAlignment="1">
      <alignment horizontal="center" vertical="center"/>
    </xf>
    <xf numFmtId="4" fontId="84" fillId="0" borderId="10" xfId="204" applyNumberFormat="1" applyFont="1" applyBorder="1" applyAlignment="1">
      <alignment horizontal="center" vertical="center"/>
    </xf>
    <xf numFmtId="169" fontId="49" fillId="4" borderId="10" xfId="204" applyNumberFormat="1" applyFont="1" applyFill="1" applyBorder="1" applyAlignment="1">
      <alignment horizontal="center" vertical="center" wrapText="1"/>
    </xf>
    <xf numFmtId="4" fontId="77" fillId="0" borderId="10" xfId="0" applyNumberFormat="1" applyFont="1" applyBorder="1" applyAlignment="1">
      <alignment horizontal="center" vertical="center"/>
    </xf>
    <xf numFmtId="4" fontId="77" fillId="0" borderId="10" xfId="204" applyNumberFormat="1" applyFont="1" applyBorder="1" applyAlignment="1">
      <alignment horizontal="center" vertical="center"/>
    </xf>
    <xf numFmtId="2" fontId="79" fillId="2" borderId="0" xfId="202" applyNumberFormat="1" applyFont="1" applyFill="1" applyAlignment="1">
      <alignment horizontal="center" vertical="center"/>
    </xf>
    <xf numFmtId="0" fontId="56" fillId="4" borderId="50" xfId="194" applyFont="1" applyFill="1" applyBorder="1" applyAlignment="1">
      <alignment horizontal="center" vertical="center"/>
    </xf>
    <xf numFmtId="0" fontId="56" fillId="4" borderId="0" xfId="194" applyFont="1" applyFill="1" applyAlignment="1">
      <alignment horizontal="center" vertical="center"/>
    </xf>
    <xf numFmtId="0" fontId="56" fillId="4" borderId="85" xfId="194" applyFont="1" applyFill="1" applyBorder="1" applyAlignment="1">
      <alignment horizontal="center" vertical="center"/>
    </xf>
    <xf numFmtId="0" fontId="56" fillId="4" borderId="44" xfId="194" applyFont="1" applyFill="1" applyBorder="1" applyAlignment="1">
      <alignment horizontal="center" vertical="center"/>
    </xf>
    <xf numFmtId="0" fontId="56" fillId="4" borderId="30" xfId="194" applyFont="1" applyFill="1" applyBorder="1" applyAlignment="1">
      <alignment horizontal="center" vertical="center" wrapText="1"/>
    </xf>
    <xf numFmtId="0" fontId="56" fillId="4" borderId="31" xfId="194" applyFont="1" applyFill="1" applyBorder="1" applyAlignment="1">
      <alignment horizontal="center" vertical="center" wrapText="1"/>
    </xf>
    <xf numFmtId="0" fontId="56" fillId="4" borderId="17" xfId="194" applyFont="1" applyFill="1" applyBorder="1" applyAlignment="1">
      <alignment horizontal="center" vertical="center" wrapText="1"/>
    </xf>
    <xf numFmtId="0" fontId="55" fillId="0" borderId="22" xfId="8" applyFont="1" applyBorder="1" applyAlignment="1">
      <alignment horizontal="center" vertical="center" wrapText="1"/>
    </xf>
    <xf numFmtId="0" fontId="55" fillId="0" borderId="22" xfId="194" applyFont="1" applyBorder="1" applyAlignment="1">
      <alignment horizontal="center" vertical="center"/>
    </xf>
    <xf numFmtId="3" fontId="55" fillId="0" borderId="22" xfId="8" applyNumberFormat="1" applyFont="1" applyBorder="1" applyAlignment="1">
      <alignment horizontal="center" vertical="center"/>
    </xf>
    <xf numFmtId="4" fontId="55" fillId="11" borderId="21" xfId="196" applyNumberFormat="1" applyFont="1" applyFill="1" applyBorder="1" applyAlignment="1">
      <alignment horizontal="center" vertical="center"/>
    </xf>
    <xf numFmtId="4" fontId="55" fillId="0" borderId="22" xfId="196" applyNumberFormat="1" applyFont="1" applyFill="1" applyBorder="1" applyAlignment="1">
      <alignment horizontal="center" vertical="center"/>
    </xf>
    <xf numFmtId="4" fontId="55" fillId="0" borderId="22" xfId="8" applyNumberFormat="1" applyFont="1" applyBorder="1" applyAlignment="1">
      <alignment horizontal="center" vertical="center"/>
    </xf>
    <xf numFmtId="3" fontId="55" fillId="0" borderId="23" xfId="8" applyNumberFormat="1" applyFont="1" applyBorder="1" applyAlignment="1">
      <alignment horizontal="center" vertical="center"/>
    </xf>
    <xf numFmtId="4" fontId="55" fillId="11" borderId="22" xfId="196" applyNumberFormat="1" applyFont="1" applyFill="1" applyBorder="1" applyAlignment="1">
      <alignment horizontal="center" vertical="center"/>
    </xf>
    <xf numFmtId="4" fontId="55" fillId="11" borderId="23" xfId="196" applyNumberFormat="1" applyFont="1" applyFill="1" applyBorder="1" applyAlignment="1">
      <alignment horizontal="center" vertical="center"/>
    </xf>
    <xf numFmtId="0" fontId="55" fillId="0" borderId="19" xfId="8" applyFont="1" applyBorder="1" applyAlignment="1">
      <alignment horizontal="center" vertical="center" wrapText="1"/>
    </xf>
    <xf numFmtId="0" fontId="55" fillId="0" borderId="19" xfId="194" applyFont="1" applyBorder="1" applyAlignment="1">
      <alignment horizontal="center" vertical="center"/>
    </xf>
    <xf numFmtId="3" fontId="55" fillId="0" borderId="19" xfId="8" applyNumberFormat="1" applyFont="1" applyBorder="1" applyAlignment="1">
      <alignment horizontal="center" vertical="center"/>
    </xf>
    <xf numFmtId="4" fontId="55" fillId="11" borderId="18" xfId="196" applyNumberFormat="1" applyFont="1" applyFill="1" applyBorder="1" applyAlignment="1">
      <alignment horizontal="center" vertical="center"/>
    </xf>
    <xf numFmtId="4" fontId="55" fillId="0" borderId="19" xfId="196" applyNumberFormat="1" applyFont="1" applyFill="1" applyBorder="1" applyAlignment="1">
      <alignment horizontal="center" vertical="center"/>
    </xf>
    <xf numFmtId="4" fontId="55" fillId="0" borderId="19" xfId="8" applyNumberFormat="1" applyFont="1" applyBorder="1" applyAlignment="1">
      <alignment horizontal="center" vertical="center"/>
    </xf>
    <xf numFmtId="3" fontId="55" fillId="0" borderId="20" xfId="8" applyNumberFormat="1" applyFont="1" applyBorder="1" applyAlignment="1">
      <alignment horizontal="center" vertical="center"/>
    </xf>
    <xf numFmtId="4" fontId="55" fillId="11" borderId="19" xfId="196" applyNumberFormat="1" applyFont="1" applyFill="1" applyBorder="1" applyAlignment="1">
      <alignment horizontal="center" vertical="center"/>
    </xf>
    <xf numFmtId="4" fontId="55" fillId="11" borderId="20" xfId="196" applyNumberFormat="1" applyFont="1" applyFill="1" applyBorder="1" applyAlignment="1">
      <alignment horizontal="center" vertical="center"/>
    </xf>
    <xf numFmtId="0" fontId="81" fillId="10" borderId="87" xfId="194" applyFont="1" applyFill="1" applyBorder="1" applyAlignment="1">
      <alignment horizontal="left" vertical="center"/>
    </xf>
    <xf numFmtId="0" fontId="81" fillId="10" borderId="52" xfId="194" applyFont="1" applyFill="1" applyBorder="1" applyAlignment="1">
      <alignment horizontal="left" vertical="center"/>
    </xf>
    <xf numFmtId="0" fontId="81" fillId="10" borderId="89" xfId="194" applyFont="1" applyFill="1" applyBorder="1" applyAlignment="1">
      <alignment horizontal="left" vertical="center"/>
    </xf>
    <xf numFmtId="4" fontId="57" fillId="10" borderId="32" xfId="6" applyNumberFormat="1" applyFont="1" applyFill="1" applyBorder="1" applyAlignment="1">
      <alignment horizontal="center" vertical="center"/>
    </xf>
    <xf numFmtId="4" fontId="81" fillId="10" borderId="32" xfId="196" applyNumberFormat="1" applyFont="1" applyFill="1" applyBorder="1" applyAlignment="1">
      <alignment horizontal="center" vertical="center"/>
    </xf>
    <xf numFmtId="4" fontId="81" fillId="10" borderId="90" xfId="196" applyNumberFormat="1" applyFont="1" applyFill="1" applyBorder="1" applyAlignment="1">
      <alignment horizontal="center" vertical="center"/>
    </xf>
    <xf numFmtId="4" fontId="81" fillId="10" borderId="52" xfId="196" applyNumberFormat="1" applyFont="1" applyFill="1" applyBorder="1" applyAlignment="1">
      <alignment horizontal="center" vertical="center"/>
    </xf>
    <xf numFmtId="4" fontId="81" fillId="10" borderId="88" xfId="196" applyNumberFormat="1" applyFont="1" applyFill="1" applyBorder="1" applyAlignment="1">
      <alignment horizontal="center" vertical="center"/>
    </xf>
    <xf numFmtId="4" fontId="81" fillId="10" borderId="87" xfId="196" applyNumberFormat="1" applyFont="1" applyFill="1" applyBorder="1" applyAlignment="1">
      <alignment horizontal="center" vertical="center"/>
    </xf>
    <xf numFmtId="4" fontId="81" fillId="10" borderId="89" xfId="196" applyNumberFormat="1" applyFont="1" applyFill="1" applyBorder="1" applyAlignment="1">
      <alignment horizontal="center" vertical="center"/>
    </xf>
    <xf numFmtId="4" fontId="81" fillId="0" borderId="0" xfId="199" applyNumberFormat="1" applyFont="1" applyAlignment="1">
      <alignment horizontal="center" vertical="center" wrapText="1"/>
    </xf>
    <xf numFmtId="4" fontId="102" fillId="11" borderId="0" xfId="199" applyNumberFormat="1" applyFont="1" applyFill="1" applyAlignment="1">
      <alignment horizontal="right" vertical="center" wrapText="1"/>
    </xf>
    <xf numFmtId="4" fontId="81" fillId="0" borderId="47" xfId="199" applyNumberFormat="1" applyFont="1" applyBorder="1" applyAlignment="1">
      <alignment vertical="center" wrapText="1"/>
    </xf>
    <xf numFmtId="4" fontId="81" fillId="0" borderId="0" xfId="199" applyNumberFormat="1" applyFont="1" applyAlignment="1">
      <alignment vertical="center" wrapText="1"/>
    </xf>
    <xf numFmtId="4" fontId="81" fillId="0" borderId="48" xfId="199" applyNumberFormat="1" applyFont="1" applyBorder="1" applyAlignment="1">
      <alignment horizontal="center" vertical="center" wrapText="1"/>
    </xf>
    <xf numFmtId="0" fontId="82" fillId="0" borderId="0" xfId="199" applyFont="1"/>
    <xf numFmtId="0" fontId="3" fillId="0" borderId="0" xfId="207" applyAlignment="1">
      <alignment horizontal="center" vertical="center"/>
    </xf>
    <xf numFmtId="0" fontId="84" fillId="4" borderId="77" xfId="207" applyFont="1" applyFill="1" applyBorder="1" applyAlignment="1">
      <alignment horizontal="center" vertical="center"/>
    </xf>
    <xf numFmtId="0" fontId="84" fillId="4" borderId="77" xfId="207" applyFont="1" applyFill="1" applyBorder="1" applyAlignment="1">
      <alignment horizontal="center" vertical="center" wrapText="1"/>
    </xf>
    <xf numFmtId="17" fontId="50" fillId="0" borderId="28" xfId="207" applyNumberFormat="1" applyFont="1" applyBorder="1" applyAlignment="1">
      <alignment horizontal="center" vertical="center"/>
    </xf>
    <xf numFmtId="0" fontId="50" fillId="0" borderId="28" xfId="207" applyFont="1" applyBorder="1" applyAlignment="1">
      <alignment horizontal="center" vertical="center"/>
    </xf>
    <xf numFmtId="4" fontId="50" fillId="0" borderId="28" xfId="207" applyNumberFormat="1" applyFont="1" applyBorder="1" applyAlignment="1">
      <alignment horizontal="center" vertical="center"/>
    </xf>
    <xf numFmtId="17" fontId="74" fillId="0" borderId="28" xfId="207" applyNumberFormat="1" applyFont="1" applyBorder="1" applyAlignment="1">
      <alignment horizontal="center" vertical="center"/>
    </xf>
    <xf numFmtId="17" fontId="74" fillId="0" borderId="11" xfId="207" applyNumberFormat="1" applyFont="1" applyBorder="1" applyAlignment="1">
      <alignment horizontal="center" vertical="center"/>
    </xf>
    <xf numFmtId="0" fontId="74" fillId="0" borderId="11" xfId="207" applyFont="1" applyBorder="1" applyAlignment="1">
      <alignment horizontal="center" vertical="center"/>
    </xf>
    <xf numFmtId="4" fontId="74" fillId="0" borderId="28" xfId="207" applyNumberFormat="1" applyFont="1" applyBorder="1" applyAlignment="1">
      <alignment horizontal="center" vertical="center"/>
    </xf>
    <xf numFmtId="4" fontId="74" fillId="0" borderId="11" xfId="207" applyNumberFormat="1" applyFont="1" applyBorder="1" applyAlignment="1">
      <alignment horizontal="center" vertical="center"/>
    </xf>
    <xf numFmtId="17" fontId="50" fillId="0" borderId="77" xfId="207" applyNumberFormat="1" applyFont="1" applyBorder="1" applyAlignment="1">
      <alignment horizontal="center" vertical="center"/>
    </xf>
    <xf numFmtId="0" fontId="50" fillId="0" borderId="77" xfId="207" applyFont="1" applyBorder="1" applyAlignment="1">
      <alignment horizontal="center" vertical="center"/>
    </xf>
    <xf numFmtId="4" fontId="50" fillId="0" borderId="77" xfId="207" applyNumberFormat="1" applyFont="1" applyBorder="1" applyAlignment="1">
      <alignment horizontal="center" vertical="center"/>
    </xf>
    <xf numFmtId="0" fontId="56" fillId="0" borderId="0" xfId="207" applyFont="1" applyAlignment="1">
      <alignment horizontal="center" vertical="center"/>
    </xf>
    <xf numFmtId="0" fontId="3" fillId="0" borderId="22" xfId="207" applyBorder="1" applyAlignment="1">
      <alignment horizontal="center" vertical="center"/>
    </xf>
    <xf numFmtId="0" fontId="3" fillId="0" borderId="23" xfId="207" applyBorder="1" applyAlignment="1">
      <alignment horizontal="left" vertical="center"/>
    </xf>
    <xf numFmtId="0" fontId="3" fillId="0" borderId="11" xfId="207" applyBorder="1" applyAlignment="1">
      <alignment horizontal="center" vertical="center"/>
    </xf>
    <xf numFmtId="0" fontId="3" fillId="0" borderId="12" xfId="207" applyBorder="1" applyAlignment="1">
      <alignment horizontal="left" vertical="center"/>
    </xf>
    <xf numFmtId="0" fontId="56" fillId="4" borderId="19" xfId="207" applyFont="1" applyFill="1" applyBorder="1" applyAlignment="1">
      <alignment vertical="center"/>
    </xf>
    <xf numFmtId="0" fontId="56" fillId="4" borderId="20" xfId="207" applyFont="1" applyFill="1" applyBorder="1" applyAlignment="1">
      <alignment horizontal="left" vertical="center"/>
    </xf>
    <xf numFmtId="43" fontId="50" fillId="0" borderId="11" xfId="209" applyFont="1" applyBorder="1" applyAlignment="1">
      <alignment horizontal="center" vertical="center"/>
    </xf>
    <xf numFmtId="43" fontId="49" fillId="4" borderId="11" xfId="209" applyFont="1" applyFill="1" applyBorder="1" applyAlignment="1">
      <alignment horizontal="center" vertical="center"/>
    </xf>
    <xf numFmtId="0" fontId="77" fillId="0" borderId="0" xfId="207" applyFont="1" applyAlignment="1">
      <alignment horizontal="left" vertical="center"/>
    </xf>
    <xf numFmtId="0" fontId="3" fillId="2" borderId="11" xfId="131" applyFont="1" applyFill="1" applyBorder="1" applyAlignment="1">
      <alignment horizontal="center" vertical="center"/>
    </xf>
    <xf numFmtId="2" fontId="56" fillId="2" borderId="0" xfId="174" applyNumberFormat="1" applyFont="1" applyFill="1" applyAlignment="1">
      <alignment vertical="center"/>
    </xf>
    <xf numFmtId="0" fontId="49" fillId="4" borderId="11" xfId="7" applyFont="1" applyFill="1" applyBorder="1" applyAlignment="1">
      <alignment horizontal="center" vertical="center" wrapText="1"/>
    </xf>
    <xf numFmtId="0" fontId="2" fillId="0" borderId="0" xfId="184" applyFont="1" applyAlignment="1">
      <alignment horizontal="center" vertical="center"/>
    </xf>
    <xf numFmtId="0" fontId="50" fillId="0" borderId="35" xfId="213" applyFont="1" applyBorder="1" applyAlignment="1">
      <alignment vertical="center"/>
    </xf>
    <xf numFmtId="0" fontId="50" fillId="0" borderId="36" xfId="213" applyFont="1" applyBorder="1" applyAlignment="1">
      <alignment horizontal="right" vertical="center"/>
    </xf>
    <xf numFmtId="0" fontId="50" fillId="0" borderId="14" xfId="213" applyFont="1" applyBorder="1" applyAlignment="1">
      <alignment vertical="center"/>
    </xf>
    <xf numFmtId="0" fontId="50" fillId="0" borderId="10" xfId="213" applyFont="1" applyBorder="1" applyAlignment="1">
      <alignment horizontal="right" vertical="center"/>
    </xf>
    <xf numFmtId="0" fontId="50" fillId="0" borderId="37" xfId="213" applyFont="1" applyBorder="1" applyAlignment="1">
      <alignment vertical="center"/>
    </xf>
    <xf numFmtId="0" fontId="50" fillId="0" borderId="33" xfId="213" applyFont="1" applyBorder="1" applyAlignment="1">
      <alignment horizontal="right" vertical="center"/>
    </xf>
    <xf numFmtId="37" fontId="49" fillId="6" borderId="51" xfId="215" applyNumberFormat="1" applyFont="1" applyFill="1" applyBorder="1" applyAlignment="1" applyProtection="1">
      <alignment horizontal="center" vertical="center" wrapText="1"/>
    </xf>
    <xf numFmtId="9" fontId="73" fillId="0" borderId="22" xfId="19" applyFont="1" applyBorder="1" applyAlignment="1">
      <alignment horizontal="center" vertical="center" wrapText="1"/>
    </xf>
    <xf numFmtId="2" fontId="49" fillId="2" borderId="0" xfId="7" applyNumberFormat="1" applyFont="1" applyFill="1" applyAlignment="1">
      <alignment horizontal="left" vertical="center"/>
    </xf>
    <xf numFmtId="2" fontId="49" fillId="0" borderId="0" xfId="7" applyNumberFormat="1" applyFont="1" applyAlignment="1">
      <alignment horizontal="center" vertical="center"/>
    </xf>
    <xf numFmtId="2" fontId="50" fillId="0" borderId="0" xfId="217" applyNumberFormat="1" applyFont="1" applyAlignment="1">
      <alignment horizontal="center" vertical="center"/>
    </xf>
    <xf numFmtId="169" fontId="50" fillId="0" borderId="0" xfId="217" applyNumberFormat="1" applyFont="1" applyAlignment="1">
      <alignment horizontal="center" vertical="center"/>
    </xf>
    <xf numFmtId="0" fontId="49" fillId="2" borderId="0" xfId="8" applyFont="1" applyFill="1" applyAlignment="1">
      <alignment vertical="center"/>
    </xf>
    <xf numFmtId="0" fontId="50" fillId="2" borderId="11" xfId="8" applyFont="1" applyFill="1" applyBorder="1" applyAlignment="1">
      <alignment horizontal="left" vertical="center" wrapText="1"/>
    </xf>
    <xf numFmtId="0" fontId="50" fillId="2" borderId="11" xfId="8" applyFont="1" applyFill="1" applyBorder="1" applyAlignment="1">
      <alignment horizontal="left" vertical="center"/>
    </xf>
    <xf numFmtId="0" fontId="77" fillId="2" borderId="0" xfId="218" applyFont="1" applyFill="1" applyAlignment="1">
      <alignment vertical="center"/>
    </xf>
    <xf numFmtId="0" fontId="1" fillId="0" borderId="0" xfId="219" applyAlignment="1">
      <alignment horizontal="center" vertical="center"/>
    </xf>
    <xf numFmtId="4" fontId="49" fillId="0" borderId="10" xfId="7" applyNumberFormat="1" applyFont="1" applyBorder="1" applyAlignment="1">
      <alignment horizontal="right" vertical="center"/>
    </xf>
    <xf numFmtId="0" fontId="1" fillId="0" borderId="0" xfId="219" applyAlignment="1">
      <alignment horizontal="left" vertical="center"/>
    </xf>
    <xf numFmtId="0" fontId="109" fillId="0" borderId="0" xfId="219" applyFont="1" applyAlignment="1">
      <alignment horizontal="left" vertical="center"/>
    </xf>
    <xf numFmtId="4" fontId="1" fillId="0" borderId="0" xfId="219" applyNumberFormat="1" applyAlignment="1">
      <alignment horizontal="center" vertical="center"/>
    </xf>
    <xf numFmtId="4" fontId="84" fillId="4" borderId="11" xfId="9" applyNumberFormat="1" applyFont="1" applyFill="1" applyBorder="1" applyAlignment="1">
      <alignment horizontal="center" vertical="center"/>
    </xf>
    <xf numFmtId="4" fontId="49" fillId="0" borderId="11" xfId="9" applyNumberFormat="1" applyFont="1" applyFill="1" applyBorder="1" applyAlignment="1">
      <alignment horizontal="center" vertical="center"/>
    </xf>
    <xf numFmtId="4" fontId="84" fillId="0" borderId="10" xfId="9" applyNumberFormat="1" applyFont="1" applyFill="1" applyBorder="1" applyAlignment="1">
      <alignment horizontal="center" vertical="center"/>
    </xf>
    <xf numFmtId="4" fontId="84" fillId="0" borderId="13" xfId="9" applyNumberFormat="1" applyFont="1" applyFill="1" applyBorder="1" applyAlignment="1">
      <alignment horizontal="center" vertical="center"/>
    </xf>
    <xf numFmtId="4" fontId="84" fillId="0" borderId="11" xfId="9" applyNumberFormat="1" applyFont="1" applyFill="1" applyBorder="1" applyAlignment="1">
      <alignment horizontal="center" vertical="center"/>
    </xf>
    <xf numFmtId="4" fontId="49" fillId="4" borderId="11" xfId="9" applyNumberFormat="1" applyFont="1" applyFill="1" applyBorder="1" applyAlignment="1">
      <alignment horizontal="center" vertical="center"/>
    </xf>
    <xf numFmtId="4" fontId="49" fillId="0" borderId="10" xfId="9" applyNumberFormat="1" applyFont="1" applyFill="1" applyBorder="1" applyAlignment="1">
      <alignment horizontal="center" vertical="center"/>
    </xf>
    <xf numFmtId="4" fontId="49" fillId="0" borderId="13" xfId="9" applyNumberFormat="1" applyFont="1" applyFill="1" applyBorder="1" applyAlignment="1">
      <alignment horizontal="center" vertical="center"/>
    </xf>
    <xf numFmtId="176" fontId="50" fillId="0" borderId="11" xfId="9" applyNumberFormat="1" applyFont="1" applyFill="1" applyBorder="1" applyAlignment="1">
      <alignment horizontal="center" vertical="center"/>
    </xf>
    <xf numFmtId="4" fontId="50" fillId="0" borderId="10" xfId="8" applyNumberFormat="1" applyFont="1" applyBorder="1" applyAlignment="1">
      <alignment horizontal="center" vertical="center"/>
    </xf>
    <xf numFmtId="0" fontId="50" fillId="0" borderId="2" xfId="8" applyFont="1" applyBorder="1" applyAlignment="1">
      <alignment horizontal="center" vertical="center"/>
    </xf>
    <xf numFmtId="3" fontId="50" fillId="0" borderId="13" xfId="8" applyNumberFormat="1" applyFont="1" applyBorder="1" applyAlignment="1">
      <alignment horizontal="center" vertical="center"/>
    </xf>
    <xf numFmtId="0" fontId="50" fillId="0" borderId="11" xfId="8" applyFont="1" applyBorder="1" applyAlignment="1">
      <alignment horizontal="left" vertical="center" wrapText="1"/>
    </xf>
    <xf numFmtId="3" fontId="50" fillId="0" borderId="2" xfId="8" applyNumberFormat="1" applyFont="1" applyBorder="1" applyAlignment="1">
      <alignment horizontal="center" vertical="center"/>
    </xf>
    <xf numFmtId="0" fontId="55" fillId="2" borderId="0" xfId="220" applyFont="1" applyFill="1" applyAlignment="1">
      <alignment vertical="center"/>
    </xf>
    <xf numFmtId="0" fontId="55" fillId="2" borderId="0" xfId="220" applyFont="1" applyFill="1" applyAlignment="1">
      <alignment horizontal="left" vertical="center"/>
    </xf>
    <xf numFmtId="0" fontId="56" fillId="2" borderId="0" xfId="220" applyFont="1" applyFill="1" applyAlignment="1">
      <alignment vertical="center"/>
    </xf>
    <xf numFmtId="0" fontId="56" fillId="2" borderId="0" xfId="220" applyFont="1" applyFill="1" applyAlignment="1">
      <alignment horizontal="center" vertical="center"/>
    </xf>
    <xf numFmtId="39" fontId="56" fillId="4" borderId="51" xfId="220" applyNumberFormat="1" applyFont="1" applyFill="1" applyBorder="1" applyAlignment="1">
      <alignment horizontal="center" vertical="center" wrapText="1"/>
    </xf>
    <xf numFmtId="39" fontId="56" fillId="4" borderId="44" xfId="220" applyNumberFormat="1" applyFont="1" applyFill="1" applyBorder="1" applyAlignment="1">
      <alignment horizontal="center" vertical="center" wrapText="1"/>
    </xf>
    <xf numFmtId="39" fontId="56" fillId="4" borderId="11" xfId="220" applyNumberFormat="1" applyFont="1" applyFill="1" applyBorder="1" applyAlignment="1">
      <alignment horizontal="center" vertical="center" wrapText="1"/>
    </xf>
    <xf numFmtId="39" fontId="56" fillId="4" borderId="12" xfId="220" applyNumberFormat="1" applyFont="1" applyFill="1" applyBorder="1" applyAlignment="1">
      <alignment horizontal="center" vertical="center" wrapText="1"/>
    </xf>
    <xf numFmtId="37" fontId="56" fillId="0" borderId="16" xfId="220" applyNumberFormat="1" applyFont="1" applyBorder="1" applyAlignment="1">
      <alignment horizontal="left" vertical="center" wrapText="1"/>
    </xf>
    <xf numFmtId="4" fontId="55" fillId="0" borderId="11" xfId="220" applyNumberFormat="1" applyFont="1" applyBorder="1" applyAlignment="1">
      <alignment horizontal="center" vertical="center" wrapText="1"/>
    </xf>
    <xf numFmtId="4" fontId="55" fillId="2" borderId="11" xfId="220" applyNumberFormat="1" applyFont="1" applyFill="1" applyBorder="1" applyAlignment="1">
      <alignment horizontal="center" vertical="center" wrapText="1"/>
    </xf>
    <xf numFmtId="4" fontId="55" fillId="0" borderId="12" xfId="220" applyNumberFormat="1" applyFont="1" applyBorder="1" applyAlignment="1">
      <alignment horizontal="center" vertical="center" wrapText="1"/>
    </xf>
    <xf numFmtId="0" fontId="55" fillId="2" borderId="0" xfId="220" applyFont="1" applyFill="1" applyAlignment="1">
      <alignment horizontal="center" vertical="center" textRotation="90"/>
    </xf>
    <xf numFmtId="0" fontId="55" fillId="0" borderId="0" xfId="220" applyFont="1" applyAlignment="1">
      <alignment vertical="center"/>
    </xf>
    <xf numFmtId="37" fontId="56" fillId="0" borderId="18" xfId="220" applyNumberFormat="1" applyFont="1" applyBorder="1" applyAlignment="1">
      <alignment horizontal="center" vertical="center" wrapText="1"/>
    </xf>
    <xf numFmtId="4" fontId="56" fillId="0" borderId="34" xfId="220" applyNumberFormat="1" applyFont="1" applyBorder="1" applyAlignment="1">
      <alignment vertical="center" wrapText="1"/>
    </xf>
    <xf numFmtId="4" fontId="56" fillId="0" borderId="19" xfId="220" applyNumberFormat="1" applyFont="1" applyBorder="1" applyAlignment="1">
      <alignment horizontal="center" vertical="center" wrapText="1"/>
    </xf>
    <xf numFmtId="4" fontId="56" fillId="0" borderId="20" xfId="220" applyNumberFormat="1" applyFont="1" applyBorder="1" applyAlignment="1">
      <alignment horizontal="center" vertical="center" wrapText="1"/>
    </xf>
    <xf numFmtId="2" fontId="56" fillId="0" borderId="0" xfId="220" applyNumberFormat="1" applyFont="1" applyAlignment="1">
      <alignment horizontal="center" vertical="center"/>
    </xf>
    <xf numFmtId="2" fontId="56" fillId="0" borderId="0" xfId="220" applyNumberFormat="1" applyFont="1" applyAlignment="1">
      <alignment horizontal="left" vertical="center"/>
    </xf>
    <xf numFmtId="4" fontId="55" fillId="2" borderId="0" xfId="220" applyNumberFormat="1" applyFont="1" applyFill="1" applyAlignment="1">
      <alignment horizontal="center" vertical="center"/>
    </xf>
    <xf numFmtId="4" fontId="56" fillId="2" borderId="0" xfId="214" applyNumberFormat="1" applyFont="1" applyFill="1" applyAlignment="1">
      <alignment vertical="center"/>
    </xf>
    <xf numFmtId="4" fontId="55" fillId="2" borderId="0" xfId="220" applyNumberFormat="1" applyFont="1" applyFill="1" applyAlignment="1">
      <alignment vertical="center"/>
    </xf>
    <xf numFmtId="0" fontId="49" fillId="4" borderId="6" xfId="7" applyFont="1" applyFill="1" applyBorder="1" applyAlignment="1">
      <alignment horizontal="center" vertical="center" wrapText="1"/>
    </xf>
    <xf numFmtId="0" fontId="49" fillId="4" borderId="7" xfId="7" applyFont="1" applyFill="1" applyBorder="1" applyAlignment="1">
      <alignment horizontal="center" vertical="center" wrapText="1"/>
    </xf>
    <xf numFmtId="0" fontId="49" fillId="4" borderId="32" xfId="8" applyFont="1" applyFill="1" applyBorder="1" applyAlignment="1">
      <alignment horizontal="center" vertical="center" wrapText="1"/>
    </xf>
    <xf numFmtId="2" fontId="49" fillId="4" borderId="46" xfId="8" applyNumberFormat="1" applyFont="1" applyFill="1" applyBorder="1" applyAlignment="1">
      <alignment horizontal="center" vertical="center" wrapText="1"/>
    </xf>
    <xf numFmtId="0" fontId="49" fillId="4" borderId="91" xfId="8" applyFont="1" applyFill="1" applyBorder="1" applyAlignment="1">
      <alignment horizontal="center" vertical="center" wrapText="1"/>
    </xf>
    <xf numFmtId="0" fontId="49" fillId="4" borderId="45" xfId="8" applyFont="1" applyFill="1" applyBorder="1" applyAlignment="1">
      <alignment horizontal="center" vertical="center"/>
    </xf>
    <xf numFmtId="0" fontId="49" fillId="4" borderId="91" xfId="7" applyFont="1" applyFill="1" applyBorder="1" applyAlignment="1">
      <alignment horizontal="center" vertical="center" wrapText="1"/>
    </xf>
    <xf numFmtId="0" fontId="49" fillId="4" borderId="32" xfId="7" applyFont="1" applyFill="1" applyBorder="1" applyAlignment="1">
      <alignment horizontal="center" vertical="center" wrapText="1"/>
    </xf>
    <xf numFmtId="0" fontId="49" fillId="4" borderId="45" xfId="7" applyFont="1" applyFill="1" applyBorder="1" applyAlignment="1">
      <alignment horizontal="center" vertical="center" wrapText="1"/>
    </xf>
    <xf numFmtId="0" fontId="50" fillId="0" borderId="14" xfId="8" applyFont="1" applyBorder="1" applyAlignment="1">
      <alignment horizontal="center" vertical="center" wrapText="1"/>
    </xf>
    <xf numFmtId="3" fontId="50" fillId="0" borderId="14" xfId="8" applyNumberFormat="1" applyFont="1" applyBorder="1" applyAlignment="1">
      <alignment horizontal="center" vertical="center"/>
    </xf>
    <xf numFmtId="0" fontId="50" fillId="0" borderId="2" xfId="8" applyFont="1" applyBorder="1" applyAlignment="1">
      <alignment vertical="center"/>
    </xf>
    <xf numFmtId="4" fontId="50" fillId="0" borderId="27" xfId="8" applyNumberFormat="1" applyFont="1" applyBorder="1" applyAlignment="1">
      <alignment horizontal="center" vertical="center"/>
    </xf>
    <xf numFmtId="4" fontId="50" fillId="0" borderId="13" xfId="8" applyNumberFormat="1" applyFont="1" applyBorder="1" applyAlignment="1">
      <alignment horizontal="center" vertical="center"/>
    </xf>
    <xf numFmtId="4" fontId="50" fillId="0" borderId="16" xfId="9" applyNumberFormat="1" applyFont="1" applyFill="1" applyBorder="1" applyAlignment="1">
      <alignment horizontal="center" vertical="center"/>
    </xf>
    <xf numFmtId="4" fontId="50" fillId="0" borderId="12" xfId="9" applyNumberFormat="1" applyFont="1" applyFill="1" applyBorder="1" applyAlignment="1">
      <alignment horizontal="center" vertical="center"/>
    </xf>
    <xf numFmtId="4" fontId="50" fillId="0" borderId="10" xfId="9" applyNumberFormat="1" applyFont="1" applyFill="1" applyBorder="1" applyAlignment="1">
      <alignment horizontal="center" vertical="center"/>
    </xf>
    <xf numFmtId="4" fontId="50" fillId="0" borderId="23" xfId="9" applyNumberFormat="1" applyFont="1" applyFill="1" applyBorder="1" applyAlignment="1">
      <alignment horizontal="center" vertical="center"/>
    </xf>
    <xf numFmtId="4" fontId="50" fillId="0" borderId="13" xfId="9" applyNumberFormat="1" applyFont="1" applyFill="1" applyBorder="1" applyAlignment="1">
      <alignment horizontal="center" vertical="center"/>
    </xf>
    <xf numFmtId="4" fontId="50" fillId="0" borderId="10" xfId="221" applyNumberFormat="1" applyFont="1" applyBorder="1" applyAlignment="1">
      <alignment horizontal="center" vertical="center"/>
    </xf>
    <xf numFmtId="4" fontId="50" fillId="0" borderId="12" xfId="7" applyNumberFormat="1" applyFont="1" applyBorder="1" applyAlignment="1">
      <alignment horizontal="center" vertical="center" wrapText="1"/>
    </xf>
    <xf numFmtId="4" fontId="49" fillId="0" borderId="60" xfId="9" applyNumberFormat="1" applyFont="1" applyFill="1" applyBorder="1" applyAlignment="1">
      <alignment horizontal="center" vertical="center"/>
    </xf>
    <xf numFmtId="4" fontId="49" fillId="0" borderId="96" xfId="9" applyNumberFormat="1" applyFont="1" applyFill="1" applyBorder="1" applyAlignment="1">
      <alignment horizontal="center" vertical="center"/>
    </xf>
    <xf numFmtId="4" fontId="49" fillId="0" borderId="24" xfId="9" applyNumberFormat="1" applyFont="1" applyFill="1" applyBorder="1" applyAlignment="1">
      <alignment horizontal="center" vertical="center"/>
    </xf>
    <xf numFmtId="4" fontId="49" fillId="0" borderId="97" xfId="9" applyNumberFormat="1" applyFont="1" applyFill="1" applyBorder="1" applyAlignment="1">
      <alignment horizontal="center" vertical="center"/>
    </xf>
    <xf numFmtId="4" fontId="49" fillId="0" borderId="25" xfId="9" applyNumberFormat="1" applyFont="1" applyFill="1" applyBorder="1" applyAlignment="1">
      <alignment horizontal="center" vertical="center"/>
    </xf>
    <xf numFmtId="2" fontId="49" fillId="0" borderId="0" xfId="9" applyNumberFormat="1" applyFont="1" applyFill="1" applyAlignment="1">
      <alignment horizontal="right" vertical="center"/>
    </xf>
    <xf numFmtId="4" fontId="49" fillId="0" borderId="0" xfId="7" applyNumberFormat="1" applyFont="1" applyAlignment="1">
      <alignment vertical="center"/>
    </xf>
    <xf numFmtId="4" fontId="50" fillId="0" borderId="0" xfId="7" applyNumberFormat="1" applyFont="1" applyAlignment="1">
      <alignment vertical="center"/>
    </xf>
    <xf numFmtId="4" fontId="50" fillId="0" borderId="0" xfId="222" applyNumberFormat="1" applyFont="1" applyFill="1" applyAlignment="1">
      <alignment vertical="center"/>
    </xf>
    <xf numFmtId="0" fontId="52" fillId="0" borderId="0" xfId="6"/>
    <xf numFmtId="0" fontId="56" fillId="3" borderId="30" xfId="6" applyFont="1" applyFill="1" applyBorder="1" applyAlignment="1">
      <alignment horizontal="center" vertical="center" wrapText="1"/>
    </xf>
    <xf numFmtId="43" fontId="55" fillId="2" borderId="22" xfId="35" applyFont="1" applyFill="1" applyBorder="1" applyAlignment="1">
      <alignment vertical="center"/>
    </xf>
    <xf numFmtId="1" fontId="56" fillId="2" borderId="22" xfId="35" applyNumberFormat="1" applyFont="1" applyFill="1" applyBorder="1" applyAlignment="1">
      <alignment horizontal="center" vertical="center"/>
    </xf>
    <xf numFmtId="4" fontId="55" fillId="4" borderId="22" xfId="35" applyNumberFormat="1" applyFont="1" applyFill="1" applyBorder="1" applyAlignment="1">
      <alignment vertical="center"/>
    </xf>
    <xf numFmtId="43" fontId="55" fillId="2" borderId="11" xfId="35" applyFont="1" applyFill="1" applyBorder="1" applyAlignment="1">
      <alignment vertical="center"/>
    </xf>
    <xf numFmtId="1" fontId="56" fillId="2" borderId="11" xfId="35" applyNumberFormat="1" applyFont="1" applyFill="1" applyBorder="1" applyAlignment="1">
      <alignment horizontal="center" vertical="center"/>
    </xf>
    <xf numFmtId="4" fontId="55" fillId="4" borderId="11" xfId="35" applyNumberFormat="1" applyFont="1" applyFill="1" applyBorder="1" applyAlignment="1">
      <alignment vertical="center"/>
    </xf>
    <xf numFmtId="43" fontId="55" fillId="2" borderId="28" xfId="35" applyFont="1" applyFill="1" applyBorder="1" applyAlignment="1">
      <alignment vertical="center"/>
    </xf>
    <xf numFmtId="1" fontId="56" fillId="2" borderId="28" xfId="35" applyNumberFormat="1" applyFont="1" applyFill="1" applyBorder="1" applyAlignment="1">
      <alignment horizontal="center" vertical="center"/>
    </xf>
    <xf numFmtId="4" fontId="55" fillId="4" borderId="28" xfId="35" applyNumberFormat="1" applyFont="1" applyFill="1" applyBorder="1" applyAlignment="1">
      <alignment vertical="center"/>
    </xf>
    <xf numFmtId="43" fontId="55" fillId="2" borderId="19" xfId="35" applyFont="1" applyFill="1" applyBorder="1" applyAlignment="1">
      <alignment vertical="center"/>
    </xf>
    <xf numFmtId="1" fontId="56" fillId="2" borderId="19" xfId="35" applyNumberFormat="1" applyFont="1" applyFill="1" applyBorder="1" applyAlignment="1">
      <alignment horizontal="center" vertical="center"/>
    </xf>
    <xf numFmtId="4" fontId="55" fillId="4" borderId="19" xfId="35" applyNumberFormat="1" applyFont="1" applyFill="1" applyBorder="1" applyAlignment="1">
      <alignment vertical="center"/>
    </xf>
    <xf numFmtId="0" fontId="79" fillId="0" borderId="45" xfId="6" applyFont="1" applyBorder="1" applyAlignment="1">
      <alignment horizontal="center" vertical="center"/>
    </xf>
    <xf numFmtId="0" fontId="79" fillId="0" borderId="32" xfId="6" applyFont="1" applyBorder="1" applyAlignment="1">
      <alignment horizontal="center" vertical="center" wrapText="1"/>
    </xf>
    <xf numFmtId="0" fontId="79" fillId="0" borderId="90" xfId="6" applyFont="1" applyBorder="1" applyAlignment="1">
      <alignment horizontal="center" vertical="center" wrapText="1"/>
    </xf>
    <xf numFmtId="0" fontId="79" fillId="0" borderId="52" xfId="6" applyFont="1" applyBorder="1" applyAlignment="1">
      <alignment horizontal="center" vertical="center"/>
    </xf>
    <xf numFmtId="4" fontId="79" fillId="2" borderId="52" xfId="35" applyNumberFormat="1" applyFont="1" applyFill="1" applyBorder="1" applyAlignment="1">
      <alignment horizontal="center" vertical="center"/>
    </xf>
    <xf numFmtId="4" fontId="79" fillId="11" borderId="89" xfId="35" applyNumberFormat="1" applyFont="1" applyFill="1" applyBorder="1" applyAlignment="1">
      <alignment horizontal="right" vertical="center"/>
    </xf>
    <xf numFmtId="4" fontId="79" fillId="11" borderId="90" xfId="35" applyNumberFormat="1" applyFont="1" applyFill="1" applyBorder="1" applyAlignment="1">
      <alignment horizontal="right" vertical="center"/>
    </xf>
    <xf numFmtId="4" fontId="79" fillId="4" borderId="52" xfId="35" applyNumberFormat="1" applyFont="1" applyFill="1" applyBorder="1" applyAlignment="1">
      <alignment vertical="center"/>
    </xf>
    <xf numFmtId="4" fontId="79" fillId="2" borderId="52" xfId="35" applyNumberFormat="1" applyFont="1" applyFill="1" applyBorder="1" applyAlignment="1">
      <alignment vertical="center"/>
    </xf>
    <xf numFmtId="4" fontId="79" fillId="2" borderId="89" xfId="35" applyNumberFormat="1" applyFont="1" applyFill="1" applyBorder="1" applyAlignment="1">
      <alignment horizontal="center" vertical="center"/>
    </xf>
    <xf numFmtId="4" fontId="79" fillId="0" borderId="32" xfId="35" applyNumberFormat="1" applyFont="1" applyFill="1" applyBorder="1" applyAlignment="1">
      <alignment horizontal="center" vertical="center"/>
    </xf>
    <xf numFmtId="4" fontId="79" fillId="0" borderId="90" xfId="35" applyNumberFormat="1" applyFont="1" applyFill="1" applyBorder="1" applyAlignment="1">
      <alignment horizontal="center" vertical="center"/>
    </xf>
    <xf numFmtId="0" fontId="79" fillId="0" borderId="0" xfId="6" applyFont="1" applyAlignment="1">
      <alignment horizontal="center" vertical="center"/>
    </xf>
    <xf numFmtId="0" fontId="79" fillId="0" borderId="0" xfId="6" applyFont="1" applyAlignment="1">
      <alignment horizontal="center" vertical="center" wrapText="1"/>
    </xf>
    <xf numFmtId="4" fontId="79" fillId="2" borderId="0" xfId="35" applyNumberFormat="1" applyFont="1" applyFill="1" applyAlignment="1">
      <alignment horizontal="center" vertical="center"/>
    </xf>
    <xf numFmtId="4" fontId="79" fillId="0" borderId="0" xfId="35" applyNumberFormat="1" applyFont="1" applyAlignment="1">
      <alignment horizontal="right" vertical="center"/>
    </xf>
    <xf numFmtId="4" fontId="79" fillId="0" borderId="0" xfId="35" applyNumberFormat="1" applyFont="1" applyAlignment="1">
      <alignment vertical="center"/>
    </xf>
    <xf numFmtId="4" fontId="79" fillId="2" borderId="0" xfId="35" applyNumberFormat="1" applyFont="1" applyFill="1" applyAlignment="1">
      <alignment vertical="center"/>
    </xf>
    <xf numFmtId="4" fontId="79" fillId="0" borderId="0" xfId="35" applyNumberFormat="1" applyFont="1" applyAlignment="1">
      <alignment horizontal="center" vertical="center"/>
    </xf>
    <xf numFmtId="4" fontId="79" fillId="2" borderId="32" xfId="35" applyNumberFormat="1" applyFont="1" applyFill="1" applyBorder="1" applyAlignment="1">
      <alignment horizontal="center" vertical="center"/>
    </xf>
    <xf numFmtId="4" fontId="79" fillId="0" borderId="32" xfId="35" applyNumberFormat="1" applyFont="1" applyBorder="1" applyAlignment="1">
      <alignment horizontal="right" vertical="center"/>
    </xf>
    <xf numFmtId="4" fontId="79" fillId="0" borderId="32" xfId="35" applyNumberFormat="1" applyFont="1" applyBorder="1" applyAlignment="1">
      <alignment vertical="center"/>
    </xf>
    <xf numFmtId="4" fontId="79" fillId="0" borderId="32" xfId="35" applyNumberFormat="1" applyFont="1" applyBorder="1" applyAlignment="1">
      <alignment horizontal="center" vertical="center"/>
    </xf>
    <xf numFmtId="0" fontId="52" fillId="0" borderId="0" xfId="6" applyAlignment="1">
      <alignment horizontal="center"/>
    </xf>
    <xf numFmtId="0" fontId="52" fillId="0" borderId="0" xfId="6" applyAlignment="1">
      <alignment horizontal="center" wrapText="1"/>
    </xf>
    <xf numFmtId="0" fontId="52" fillId="0" borderId="0" xfId="6" applyAlignment="1">
      <alignment wrapText="1"/>
    </xf>
    <xf numFmtId="0" fontId="52" fillId="0" borderId="0" xfId="6" applyAlignment="1">
      <alignment horizontal="center" vertical="center"/>
    </xf>
    <xf numFmtId="0" fontId="52" fillId="0" borderId="0" xfId="6" applyAlignment="1">
      <alignment vertical="center"/>
    </xf>
    <xf numFmtId="0" fontId="52" fillId="2" borderId="0" xfId="6" applyFill="1" applyAlignment="1">
      <alignment vertical="center"/>
    </xf>
    <xf numFmtId="0" fontId="111" fillId="0" borderId="0" xfId="0" applyFont="1" applyAlignment="1">
      <alignment horizontal="left" vertical="top"/>
    </xf>
    <xf numFmtId="0" fontId="79" fillId="0" borderId="0" xfId="6" applyFont="1" applyAlignment="1">
      <alignment horizontal="right" vertical="center"/>
    </xf>
    <xf numFmtId="0" fontId="79" fillId="0" borderId="0" xfId="6" applyFont="1" applyAlignment="1">
      <alignment horizontal="left" vertical="center"/>
    </xf>
    <xf numFmtId="0" fontId="79" fillId="0" borderId="0" xfId="6" applyFont="1" applyAlignment="1">
      <alignment vertical="center"/>
    </xf>
    <xf numFmtId="3" fontId="79" fillId="0" borderId="0" xfId="6" applyNumberFormat="1" applyFont="1" applyAlignment="1">
      <alignment horizontal="left" vertical="center"/>
    </xf>
    <xf numFmtId="0" fontId="100" fillId="0" borderId="0" xfId="6" applyFont="1" applyAlignment="1">
      <alignment vertical="center"/>
    </xf>
    <xf numFmtId="0" fontId="52" fillId="2" borderId="0" xfId="6" applyFill="1"/>
    <xf numFmtId="0" fontId="1" fillId="0" borderId="0" xfId="220"/>
    <xf numFmtId="0" fontId="54" fillId="4" borderId="24" xfId="220" applyFont="1" applyFill="1" applyBorder="1" applyAlignment="1">
      <alignment horizontal="center" vertical="center" wrapText="1"/>
    </xf>
    <xf numFmtId="0" fontId="54" fillId="4" borderId="60" xfId="220" applyFont="1" applyFill="1" applyBorder="1" applyAlignment="1">
      <alignment horizontal="center" vertical="center" wrapText="1"/>
    </xf>
    <xf numFmtId="0" fontId="54" fillId="4" borderId="25" xfId="220" applyFont="1" applyFill="1" applyBorder="1" applyAlignment="1">
      <alignment horizontal="center" vertical="center" wrapText="1"/>
    </xf>
    <xf numFmtId="0" fontId="81" fillId="0" borderId="63" xfId="220" applyFont="1" applyBorder="1" applyAlignment="1">
      <alignment horizontal="left" vertical="center" wrapText="1"/>
    </xf>
    <xf numFmtId="0" fontId="81" fillId="0" borderId="26" xfId="220" applyFont="1" applyBorder="1" applyAlignment="1">
      <alignment horizontal="center" vertical="center" wrapText="1"/>
    </xf>
    <xf numFmtId="4" fontId="81" fillId="0" borderId="26" xfId="220" applyNumberFormat="1" applyFont="1" applyBorder="1" applyAlignment="1">
      <alignment horizontal="center" vertical="center" wrapText="1"/>
    </xf>
    <xf numFmtId="4" fontId="81" fillId="0" borderId="0" xfId="220" applyNumberFormat="1" applyFont="1" applyAlignment="1">
      <alignment horizontal="center" vertical="center" wrapText="1"/>
    </xf>
    <xf numFmtId="4" fontId="81" fillId="0" borderId="54" xfId="220" applyNumberFormat="1" applyFont="1" applyBorder="1" applyAlignment="1">
      <alignment horizontal="center" vertical="center" wrapText="1"/>
    </xf>
    <xf numFmtId="0" fontId="81" fillId="0" borderId="59" xfId="220" applyFont="1" applyBorder="1" applyAlignment="1">
      <alignment horizontal="left" vertical="center" wrapText="1"/>
    </xf>
    <xf numFmtId="0" fontId="81" fillId="0" borderId="1" xfId="220" applyFont="1" applyBorder="1" applyAlignment="1">
      <alignment horizontal="center" vertical="center" wrapText="1"/>
    </xf>
    <xf numFmtId="4" fontId="81" fillId="0" borderId="1" xfId="220" applyNumberFormat="1" applyFont="1" applyBorder="1" applyAlignment="1">
      <alignment horizontal="center" vertical="center" wrapText="1"/>
    </xf>
    <xf numFmtId="4" fontId="81" fillId="0" borderId="79" xfId="220" applyNumberFormat="1" applyFont="1" applyBorder="1" applyAlignment="1">
      <alignment horizontal="center" vertical="center" wrapText="1"/>
    </xf>
    <xf numFmtId="0" fontId="81" fillId="0" borderId="59" xfId="220" applyFont="1" applyBorder="1" applyAlignment="1">
      <alignment vertical="center" wrapText="1"/>
    </xf>
    <xf numFmtId="0" fontId="81" fillId="0" borderId="1" xfId="220" applyFont="1" applyBorder="1" applyAlignment="1">
      <alignment vertical="center" wrapText="1"/>
    </xf>
    <xf numFmtId="0" fontId="54" fillId="4" borderId="18" xfId="220" applyFont="1" applyFill="1" applyBorder="1" applyAlignment="1">
      <alignment horizontal="center" vertical="center" wrapText="1"/>
    </xf>
    <xf numFmtId="0" fontId="54" fillId="4" borderId="19" xfId="220" applyFont="1" applyFill="1" applyBorder="1" applyAlignment="1">
      <alignment horizontal="center" vertical="center" wrapText="1"/>
    </xf>
    <xf numFmtId="0" fontId="54" fillId="4" borderId="20" xfId="220" applyFont="1" applyFill="1" applyBorder="1" applyAlignment="1">
      <alignment horizontal="center" vertical="center" wrapText="1"/>
    </xf>
    <xf numFmtId="4" fontId="81" fillId="0" borderId="47" xfId="220" applyNumberFormat="1" applyFont="1" applyBorder="1" applyAlignment="1">
      <alignment horizontal="left" vertical="center" wrapText="1"/>
    </xf>
    <xf numFmtId="4" fontId="81" fillId="2" borderId="0" xfId="220" applyNumberFormat="1" applyFont="1" applyFill="1" applyAlignment="1">
      <alignment horizontal="center" vertical="center" wrapText="1"/>
    </xf>
    <xf numFmtId="4" fontId="81" fillId="0" borderId="14" xfId="220" applyNumberFormat="1" applyFont="1" applyBorder="1" applyAlignment="1">
      <alignment horizontal="left" vertical="center" wrapText="1"/>
    </xf>
    <xf numFmtId="4" fontId="81" fillId="0" borderId="2" xfId="220" applyNumberFormat="1" applyFont="1" applyBorder="1" applyAlignment="1">
      <alignment horizontal="center" vertical="center" wrapText="1"/>
    </xf>
    <xf numFmtId="4" fontId="81" fillId="0" borderId="27" xfId="220" applyNumberFormat="1" applyFont="1" applyBorder="1" applyAlignment="1">
      <alignment horizontal="center" vertical="center" wrapText="1"/>
    </xf>
    <xf numFmtId="4" fontId="82" fillId="0" borderId="0" xfId="220" applyNumberFormat="1" applyFont="1" applyAlignment="1">
      <alignment horizontal="center" vertical="center" wrapText="1"/>
    </xf>
    <xf numFmtId="4" fontId="81" fillId="0" borderId="59" xfId="220" applyNumberFormat="1" applyFont="1" applyBorder="1" applyAlignment="1">
      <alignment vertical="center" wrapText="1"/>
    </xf>
    <xf numFmtId="4" fontId="81" fillId="0" borderId="1" xfId="220" applyNumberFormat="1" applyFont="1" applyBorder="1" applyAlignment="1">
      <alignment vertical="center" wrapText="1"/>
    </xf>
    <xf numFmtId="4" fontId="82" fillId="0" borderId="0" xfId="220" applyNumberFormat="1" applyFont="1" applyAlignment="1">
      <alignment horizontal="center" wrapText="1"/>
    </xf>
    <xf numFmtId="0" fontId="82" fillId="0" borderId="0" xfId="220" applyFont="1" applyAlignment="1">
      <alignment horizontal="center" wrapText="1"/>
    </xf>
    <xf numFmtId="4" fontId="81" fillId="0" borderId="63" xfId="220" applyNumberFormat="1" applyFont="1" applyBorder="1" applyAlignment="1">
      <alignment horizontal="left" vertical="center" wrapText="1"/>
    </xf>
    <xf numFmtId="4" fontId="81" fillId="0" borderId="37" xfId="220" applyNumberFormat="1" applyFont="1" applyBorder="1" applyAlignment="1">
      <alignment horizontal="left" vertical="center" wrapText="1"/>
    </xf>
    <xf numFmtId="4" fontId="81" fillId="0" borderId="34" xfId="220" applyNumberFormat="1" applyFont="1" applyBorder="1" applyAlignment="1">
      <alignment vertical="center" wrapText="1"/>
    </xf>
    <xf numFmtId="4" fontId="81" fillId="0" borderId="34" xfId="220" applyNumberFormat="1" applyFont="1" applyBorder="1" applyAlignment="1">
      <alignment horizontal="center" vertical="center" wrapText="1"/>
    </xf>
    <xf numFmtId="4" fontId="81" fillId="0" borderId="98" xfId="220" applyNumberFormat="1" applyFont="1" applyBorder="1" applyAlignment="1">
      <alignment horizontal="center" vertical="center" wrapText="1"/>
    </xf>
    <xf numFmtId="0" fontId="54" fillId="4" borderId="16" xfId="220" applyFont="1" applyFill="1" applyBorder="1" applyAlignment="1">
      <alignment horizontal="center" vertical="center" wrapText="1"/>
    </xf>
    <xf numFmtId="0" fontId="54" fillId="4" borderId="11" xfId="220" applyFont="1" applyFill="1" applyBorder="1" applyAlignment="1">
      <alignment horizontal="center" vertical="center" wrapText="1"/>
    </xf>
    <xf numFmtId="0" fontId="54" fillId="4" borderId="12" xfId="220" applyFont="1" applyFill="1" applyBorder="1" applyAlignment="1">
      <alignment horizontal="center" vertical="center" wrapText="1"/>
    </xf>
    <xf numFmtId="4" fontId="81" fillId="2" borderId="37" xfId="220" applyNumberFormat="1" applyFont="1" applyFill="1" applyBorder="1" applyAlignment="1">
      <alignment horizontal="center" vertical="center" wrapText="1"/>
    </xf>
    <xf numFmtId="4" fontId="81" fillId="2" borderId="34" xfId="220" applyNumberFormat="1" applyFont="1" applyFill="1" applyBorder="1" applyAlignment="1">
      <alignment horizontal="center" vertical="center" wrapText="1"/>
    </xf>
    <xf numFmtId="164" fontId="81" fillId="2" borderId="34" xfId="220" applyNumberFormat="1" applyFont="1" applyFill="1" applyBorder="1" applyAlignment="1">
      <alignment horizontal="center" vertical="center" wrapText="1"/>
    </xf>
    <xf numFmtId="4" fontId="81" fillId="2" borderId="98" xfId="220" applyNumberFormat="1" applyFont="1" applyFill="1" applyBorder="1" applyAlignment="1">
      <alignment horizontal="center" vertical="center" wrapText="1"/>
    </xf>
    <xf numFmtId="0" fontId="54" fillId="4" borderId="24" xfId="0" applyFont="1" applyFill="1" applyBorder="1" applyAlignment="1">
      <alignment horizontal="center" vertical="center" wrapText="1"/>
    </xf>
    <xf numFmtId="0" fontId="54" fillId="4" borderId="60" xfId="0" applyFont="1" applyFill="1" applyBorder="1" applyAlignment="1">
      <alignment horizontal="center" vertical="center" wrapText="1"/>
    </xf>
    <xf numFmtId="0" fontId="54" fillId="4" borderId="25" xfId="0" applyFont="1" applyFill="1" applyBorder="1" applyAlignment="1">
      <alignment horizontal="center" vertical="center" wrapText="1"/>
    </xf>
    <xf numFmtId="0" fontId="1" fillId="0" borderId="0" xfId="220" quotePrefix="1"/>
    <xf numFmtId="4" fontId="81" fillId="2" borderId="45" xfId="0" applyNumberFormat="1" applyFont="1" applyFill="1" applyBorder="1" applyAlignment="1">
      <alignment horizontal="center" vertical="center" wrapText="1"/>
    </xf>
    <xf numFmtId="4" fontId="81" fillId="2" borderId="32" xfId="0" applyNumberFormat="1" applyFont="1" applyFill="1" applyBorder="1" applyAlignment="1">
      <alignment horizontal="center" vertical="center" wrapText="1"/>
    </xf>
    <xf numFmtId="4" fontId="81" fillId="0" borderId="32" xfId="0" applyNumberFormat="1" applyFont="1" applyBorder="1" applyAlignment="1">
      <alignment horizontal="center" vertical="center" wrapText="1"/>
    </xf>
    <xf numFmtId="164" fontId="81" fillId="2" borderId="32" xfId="0" applyNumberFormat="1" applyFont="1" applyFill="1" applyBorder="1" applyAlignment="1">
      <alignment horizontal="center" vertical="center" wrapText="1"/>
    </xf>
    <xf numFmtId="4" fontId="81" fillId="2" borderId="46" xfId="0" applyNumberFormat="1" applyFont="1" applyFill="1" applyBorder="1" applyAlignment="1">
      <alignment horizontal="center" vertical="center" wrapText="1"/>
    </xf>
    <xf numFmtId="0" fontId="109" fillId="0" borderId="1" xfId="219" applyFont="1" applyBorder="1" applyAlignment="1">
      <alignment vertical="center" wrapText="1"/>
    </xf>
    <xf numFmtId="2" fontId="56" fillId="0" borderId="0" xfId="220" applyNumberFormat="1" applyFont="1" applyAlignment="1">
      <alignment horizontal="right" vertical="center"/>
    </xf>
    <xf numFmtId="0" fontId="1" fillId="2" borderId="16" xfId="12" applyFont="1" applyFill="1" applyBorder="1" applyAlignment="1">
      <alignment horizontal="center" vertical="center" wrapText="1"/>
    </xf>
    <xf numFmtId="4" fontId="50" fillId="0" borderId="28" xfId="208" applyNumberFormat="1" applyFont="1" applyBorder="1" applyAlignment="1">
      <alignment horizontal="center" vertical="center"/>
    </xf>
    <xf numFmtId="4" fontId="74" fillId="0" borderId="11" xfId="208" applyNumberFormat="1" applyFont="1" applyBorder="1" applyAlignment="1">
      <alignment horizontal="center" vertical="center"/>
    </xf>
    <xf numFmtId="4" fontId="50" fillId="0" borderId="77" xfId="208" applyNumberFormat="1" applyFont="1" applyBorder="1" applyAlignment="1">
      <alignment horizontal="center" vertical="center"/>
    </xf>
    <xf numFmtId="4" fontId="52" fillId="0" borderId="0" xfId="6" applyNumberFormat="1"/>
    <xf numFmtId="4" fontId="79" fillId="0" borderId="0" xfId="35" applyNumberFormat="1" applyFont="1" applyFill="1" applyAlignment="1">
      <alignment horizontal="center" vertical="center"/>
    </xf>
    <xf numFmtId="0" fontId="79" fillId="0" borderId="8" xfId="6" applyFont="1" applyBorder="1" applyAlignment="1">
      <alignment horizontal="right" vertical="center"/>
    </xf>
    <xf numFmtId="4" fontId="79" fillId="0" borderId="0" xfId="6" applyNumberFormat="1" applyFont="1" applyAlignment="1">
      <alignment horizontal="center" vertical="center"/>
    </xf>
    <xf numFmtId="2" fontId="79" fillId="0" borderId="0" xfId="6" applyNumberFormat="1" applyFont="1" applyAlignment="1">
      <alignment horizontal="center" vertical="center"/>
    </xf>
    <xf numFmtId="0" fontId="52" fillId="0" borderId="0" xfId="6" applyAlignment="1">
      <alignment horizontal="right" vertical="center"/>
    </xf>
    <xf numFmtId="0" fontId="100" fillId="0" borderId="0" xfId="6" applyFont="1" applyAlignment="1">
      <alignment horizontal="right" vertical="center"/>
    </xf>
    <xf numFmtId="4" fontId="100" fillId="0" borderId="0" xfId="6" applyNumberFormat="1" applyFont="1" applyAlignment="1">
      <alignment horizontal="center" vertical="center"/>
    </xf>
    <xf numFmtId="0" fontId="53" fillId="0" borderId="0" xfId="12" applyFont="1" applyAlignment="1">
      <alignment horizontal="center" vertical="center"/>
    </xf>
    <xf numFmtId="0" fontId="7" fillId="0" borderId="0" xfId="202" applyAlignment="1">
      <alignment horizontal="center" vertical="center"/>
    </xf>
    <xf numFmtId="0" fontId="57" fillId="0" borderId="0" xfId="12" applyFont="1"/>
    <xf numFmtId="4" fontId="56" fillId="0" borderId="53" xfId="220" applyNumberFormat="1" applyFont="1" applyBorder="1" applyAlignment="1">
      <alignment vertical="center" wrapText="1"/>
    </xf>
    <xf numFmtId="0" fontId="95" fillId="2" borderId="0" xfId="175" applyFont="1" applyFill="1" applyAlignment="1">
      <alignment vertical="center"/>
    </xf>
    <xf numFmtId="4" fontId="95" fillId="2" borderId="0" xfId="175" applyNumberFormat="1" applyFont="1" applyFill="1" applyAlignment="1">
      <alignment vertical="center"/>
    </xf>
    <xf numFmtId="39" fontId="112" fillId="2" borderId="0" xfId="175" applyNumberFormat="1" applyFont="1" applyFill="1" applyAlignment="1">
      <alignment horizontal="center" vertical="center" wrapText="1"/>
    </xf>
    <xf numFmtId="37" fontId="113" fillId="11" borderId="11" xfId="175" applyNumberFormat="1" applyFont="1" applyFill="1" applyBorder="1" applyAlignment="1">
      <alignment horizontal="center" vertical="center" wrapText="1"/>
    </xf>
    <xf numFmtId="171" fontId="113" fillId="11" borderId="11" xfId="175" applyNumberFormat="1" applyFont="1" applyFill="1" applyBorder="1" applyAlignment="1">
      <alignment horizontal="center" vertical="center" wrapText="1"/>
    </xf>
    <xf numFmtId="0" fontId="50" fillId="4" borderId="0" xfId="175" applyFont="1" applyFill="1" applyAlignment="1">
      <alignment vertical="center"/>
    </xf>
    <xf numFmtId="0" fontId="50" fillId="4" borderId="0" xfId="175" applyFont="1" applyFill="1" applyAlignment="1">
      <alignment horizontal="center" vertical="center"/>
    </xf>
    <xf numFmtId="0" fontId="49" fillId="4" borderId="0" xfId="175" applyFont="1" applyFill="1" applyAlignment="1">
      <alignment horizontal="center" vertical="center"/>
    </xf>
    <xf numFmtId="0" fontId="64" fillId="4" borderId="0" xfId="175" applyFont="1" applyFill="1" applyAlignment="1">
      <alignment vertical="center"/>
    </xf>
    <xf numFmtId="4" fontId="50" fillId="4" borderId="0" xfId="175" applyNumberFormat="1" applyFont="1" applyFill="1" applyAlignment="1">
      <alignment horizontal="center" vertical="center" wrapText="1"/>
    </xf>
    <xf numFmtId="164" fontId="50" fillId="0" borderId="52" xfId="175" applyNumberFormat="1" applyFont="1" applyBorder="1" applyAlignment="1">
      <alignment vertical="center"/>
    </xf>
    <xf numFmtId="0" fontId="50" fillId="2" borderId="0" xfId="166" applyFont="1" applyFill="1" applyAlignment="1">
      <alignment vertical="center"/>
    </xf>
    <xf numFmtId="49" fontId="54" fillId="2" borderId="0" xfId="166" applyNumberFormat="1" applyFont="1" applyFill="1" applyAlignment="1">
      <alignment vertical="center"/>
    </xf>
    <xf numFmtId="0" fontId="57" fillId="2" borderId="0" xfId="166" applyFont="1" applyFill="1" applyAlignment="1">
      <alignment vertical="center"/>
    </xf>
    <xf numFmtId="10" fontId="50" fillId="2" borderId="0" xfId="167" applyNumberFormat="1" applyFont="1" applyFill="1" applyAlignment="1">
      <alignment vertical="center"/>
    </xf>
    <xf numFmtId="0" fontId="50" fillId="2" borderId="0" xfId="166" applyFont="1" applyFill="1" applyAlignment="1">
      <alignment horizontal="center" vertical="center"/>
    </xf>
    <xf numFmtId="0" fontId="49" fillId="2" borderId="0" xfId="166" applyFont="1" applyFill="1" applyAlignment="1">
      <alignment horizontal="center" vertical="center"/>
    </xf>
    <xf numFmtId="2" fontId="49" fillId="2" borderId="0" xfId="166" applyNumberFormat="1" applyFont="1" applyFill="1" applyAlignment="1">
      <alignment horizontal="center" vertical="center"/>
    </xf>
    <xf numFmtId="0" fontId="64" fillId="2" borderId="0" xfId="166" applyFont="1" applyFill="1" applyAlignment="1">
      <alignment vertical="center"/>
    </xf>
    <xf numFmtId="9" fontId="50" fillId="2" borderId="0" xfId="167" applyFont="1" applyFill="1" applyAlignment="1">
      <alignment vertical="center"/>
    </xf>
    <xf numFmtId="0" fontId="57" fillId="2" borderId="0" xfId="166" applyFont="1" applyFill="1"/>
    <xf numFmtId="0" fontId="50" fillId="0" borderId="0" xfId="166" applyFont="1" applyAlignment="1">
      <alignment vertical="center"/>
    </xf>
    <xf numFmtId="49" fontId="50" fillId="0" borderId="0" xfId="166" applyNumberFormat="1" applyFont="1" applyAlignment="1">
      <alignment vertical="center"/>
    </xf>
    <xf numFmtId="0" fontId="49" fillId="0" borderId="40" xfId="121" applyFont="1" applyBorder="1" applyAlignment="1">
      <alignment vertical="center"/>
    </xf>
    <xf numFmtId="0" fontId="50" fillId="0" borderId="1" xfId="121" applyFont="1" applyBorder="1" applyAlignment="1">
      <alignment vertical="center"/>
    </xf>
    <xf numFmtId="0" fontId="50" fillId="0" borderId="1" xfId="121" applyFont="1" applyBorder="1" applyAlignment="1">
      <alignment horizontal="left" vertical="center"/>
    </xf>
    <xf numFmtId="0" fontId="49" fillId="10" borderId="1" xfId="121" applyFont="1" applyFill="1" applyBorder="1" applyAlignment="1">
      <alignment horizontal="left" vertical="center"/>
    </xf>
    <xf numFmtId="0" fontId="50" fillId="10" borderId="41" xfId="121" applyFont="1" applyFill="1" applyBorder="1" applyAlignment="1">
      <alignment vertical="center"/>
    </xf>
    <xf numFmtId="10" fontId="50" fillId="0" borderId="0" xfId="167" applyNumberFormat="1" applyFont="1" applyAlignment="1">
      <alignment vertical="center"/>
    </xf>
    <xf numFmtId="0" fontId="50" fillId="0" borderId="0" xfId="166" applyFont="1" applyAlignment="1">
      <alignment horizontal="center" vertical="center"/>
    </xf>
    <xf numFmtId="0" fontId="49" fillId="0" borderId="0" xfId="166" applyFont="1" applyAlignment="1">
      <alignment horizontal="center" vertical="center"/>
    </xf>
    <xf numFmtId="2" fontId="49" fillId="0" borderId="0" xfId="166" applyNumberFormat="1" applyFont="1" applyAlignment="1">
      <alignment horizontal="center" vertical="center"/>
    </xf>
    <xf numFmtId="0" fontId="64" fillId="0" borderId="0" xfId="166" applyFont="1" applyAlignment="1">
      <alignment vertical="center"/>
    </xf>
    <xf numFmtId="9" fontId="50" fillId="0" borderId="0" xfId="167" applyFont="1" applyAlignment="1">
      <alignment vertical="center"/>
    </xf>
    <xf numFmtId="0" fontId="65" fillId="0" borderId="0" xfId="166" applyFont="1" applyAlignment="1">
      <alignment vertical="center"/>
    </xf>
    <xf numFmtId="0" fontId="49" fillId="0" borderId="50" xfId="121" applyFont="1" applyBorder="1" applyAlignment="1">
      <alignment vertical="center"/>
    </xf>
    <xf numFmtId="0" fontId="50" fillId="0" borderId="0" xfId="121" applyFont="1" applyAlignment="1">
      <alignment vertical="center"/>
    </xf>
    <xf numFmtId="0" fontId="49" fillId="10" borderId="0" xfId="121" applyFont="1" applyFill="1" applyAlignment="1">
      <alignment horizontal="left" vertical="center"/>
    </xf>
    <xf numFmtId="0" fontId="50" fillId="10" borderId="85" xfId="121" applyFont="1" applyFill="1" applyBorder="1" applyAlignment="1">
      <alignment vertical="center"/>
    </xf>
    <xf numFmtId="0" fontId="65" fillId="0" borderId="0" xfId="166" applyFont="1" applyAlignment="1">
      <alignment vertical="center" wrapText="1"/>
    </xf>
    <xf numFmtId="10" fontId="65" fillId="0" borderId="0" xfId="167" applyNumberFormat="1" applyFont="1" applyAlignment="1">
      <alignment vertical="center"/>
    </xf>
    <xf numFmtId="0" fontId="65" fillId="0" borderId="0" xfId="166" applyFont="1" applyAlignment="1">
      <alignment horizontal="center" vertical="center"/>
    </xf>
    <xf numFmtId="0" fontId="68" fillId="0" borderId="0" xfId="166" applyFont="1" applyAlignment="1">
      <alignment horizontal="center" vertical="center"/>
    </xf>
    <xf numFmtId="2" fontId="68" fillId="0" borderId="0" xfId="166" applyNumberFormat="1" applyFont="1" applyAlignment="1">
      <alignment horizontal="center" vertical="center"/>
    </xf>
    <xf numFmtId="0" fontId="66" fillId="0" borderId="0" xfId="166" applyFont="1" applyAlignment="1">
      <alignment vertical="center"/>
    </xf>
    <xf numFmtId="9" fontId="65" fillId="0" borderId="0" xfId="167" applyFont="1" applyAlignment="1">
      <alignment vertical="center"/>
    </xf>
    <xf numFmtId="0" fontId="50" fillId="0" borderId="0" xfId="121" applyFont="1" applyAlignment="1">
      <alignment vertical="center" wrapText="1"/>
    </xf>
    <xf numFmtId="0" fontId="89" fillId="0" borderId="0" xfId="166" applyFont="1" applyAlignment="1">
      <alignment vertical="center"/>
    </xf>
    <xf numFmtId="0" fontId="50" fillId="0" borderId="47" xfId="166" applyFont="1" applyBorder="1" applyAlignment="1">
      <alignment vertical="center"/>
    </xf>
    <xf numFmtId="4" fontId="49" fillId="10" borderId="0" xfId="121" applyNumberFormat="1" applyFont="1" applyFill="1" applyAlignment="1">
      <alignment horizontal="left" vertical="center"/>
    </xf>
    <xf numFmtId="0" fontId="65" fillId="10" borderId="85" xfId="121" applyFont="1" applyFill="1" applyBorder="1" applyAlignment="1">
      <alignment vertical="center"/>
    </xf>
    <xf numFmtId="10" fontId="68" fillId="0" borderId="0" xfId="167" applyNumberFormat="1" applyFont="1" applyAlignment="1">
      <alignment vertical="center"/>
    </xf>
    <xf numFmtId="2" fontId="50" fillId="0" borderId="0" xfId="166" applyNumberFormat="1" applyFont="1" applyAlignment="1">
      <alignment horizontal="center" vertical="center"/>
    </xf>
    <xf numFmtId="0" fontId="49" fillId="0" borderId="42" xfId="121" applyFont="1" applyBorder="1" applyAlignment="1">
      <alignment vertical="center"/>
    </xf>
    <xf numFmtId="0" fontId="50" fillId="0" borderId="26" xfId="121" applyFont="1" applyBorder="1" applyAlignment="1">
      <alignment vertical="center"/>
    </xf>
    <xf numFmtId="0" fontId="49" fillId="10" borderId="26" xfId="121" applyFont="1" applyFill="1" applyBorder="1" applyAlignment="1">
      <alignment horizontal="left" vertical="center"/>
    </xf>
    <xf numFmtId="0" fontId="65" fillId="10" borderId="43" xfId="121" applyFont="1" applyFill="1" applyBorder="1" applyAlignment="1">
      <alignment vertical="center"/>
    </xf>
    <xf numFmtId="0" fontId="65" fillId="2" borderId="0" xfId="166" applyFont="1" applyFill="1" applyAlignment="1">
      <alignment vertical="center"/>
    </xf>
    <xf numFmtId="0" fontId="50" fillId="2" borderId="0" xfId="166" applyFont="1" applyFill="1" applyAlignment="1">
      <alignment horizontal="right" vertical="center"/>
    </xf>
    <xf numFmtId="169" fontId="50" fillId="2" borderId="0" xfId="166" applyNumberFormat="1" applyFont="1" applyFill="1" applyAlignment="1">
      <alignment vertical="center"/>
    </xf>
    <xf numFmtId="0" fontId="50" fillId="2" borderId="0" xfId="166" applyFont="1" applyFill="1" applyAlignment="1">
      <alignment horizontal="left" vertical="center"/>
    </xf>
    <xf numFmtId="10" fontId="65" fillId="2" borderId="0" xfId="167" applyNumberFormat="1" applyFont="1" applyFill="1" applyAlignment="1">
      <alignment vertical="center"/>
    </xf>
    <xf numFmtId="0" fontId="65" fillId="2" borderId="0" xfId="166" applyFont="1" applyFill="1" applyAlignment="1">
      <alignment horizontal="center" vertical="center"/>
    </xf>
    <xf numFmtId="0" fontId="68" fillId="2" borderId="0" xfId="166" applyFont="1" applyFill="1" applyAlignment="1">
      <alignment horizontal="center" vertical="center"/>
    </xf>
    <xf numFmtId="2" fontId="68" fillId="2" borderId="0" xfId="166" applyNumberFormat="1" applyFont="1" applyFill="1" applyAlignment="1">
      <alignment horizontal="center" vertical="center"/>
    </xf>
    <xf numFmtId="0" fontId="66" fillId="2" borderId="0" xfId="166" applyFont="1" applyFill="1" applyAlignment="1">
      <alignment vertical="center"/>
    </xf>
    <xf numFmtId="9" fontId="65" fillId="2" borderId="0" xfId="167" applyFont="1" applyFill="1" applyAlignment="1">
      <alignment vertical="center"/>
    </xf>
    <xf numFmtId="0" fontId="54" fillId="2" borderId="0" xfId="166" applyFont="1" applyFill="1" applyAlignment="1">
      <alignment vertical="center"/>
    </xf>
    <xf numFmtId="0" fontId="69" fillId="6" borderId="38" xfId="166" applyFont="1" applyFill="1" applyBorder="1" applyAlignment="1">
      <alignment vertical="center" wrapText="1"/>
    </xf>
    <xf numFmtId="0" fontId="68" fillId="2" borderId="0" xfId="166" applyFont="1" applyFill="1" applyAlignment="1">
      <alignment vertical="center"/>
    </xf>
    <xf numFmtId="0" fontId="68" fillId="4" borderId="11" xfId="166" applyFont="1" applyFill="1" applyBorder="1" applyAlignment="1">
      <alignment horizontal="center" vertical="center" textRotation="90" wrapText="1"/>
    </xf>
    <xf numFmtId="0" fontId="68" fillId="4" borderId="11" xfId="166" applyFont="1" applyFill="1" applyBorder="1" applyAlignment="1">
      <alignment horizontal="center" vertical="center" wrapText="1"/>
    </xf>
    <xf numFmtId="0" fontId="65" fillId="4" borderId="11" xfId="166" applyFont="1" applyFill="1" applyBorder="1" applyAlignment="1">
      <alignment horizontal="center" vertical="center" wrapText="1"/>
    </xf>
    <xf numFmtId="0" fontId="96" fillId="7" borderId="11" xfId="166" applyFont="1" applyFill="1" applyBorder="1" applyAlignment="1">
      <alignment horizontal="center" vertical="center" wrapText="1"/>
    </xf>
    <xf numFmtId="0" fontId="71" fillId="9" borderId="11" xfId="166" applyFont="1" applyFill="1" applyBorder="1" applyAlignment="1">
      <alignment horizontal="center" vertical="center" wrapText="1"/>
    </xf>
    <xf numFmtId="39" fontId="68" fillId="4" borderId="22" xfId="166" applyNumberFormat="1" applyFont="1" applyFill="1" applyBorder="1" applyAlignment="1">
      <alignment horizontal="center" vertical="center" textRotation="90" wrapText="1"/>
    </xf>
    <xf numFmtId="0" fontId="68" fillId="4" borderId="12" xfId="166" applyFont="1" applyFill="1" applyBorder="1" applyAlignment="1">
      <alignment horizontal="center" vertical="center" wrapText="1"/>
    </xf>
    <xf numFmtId="39" fontId="68" fillId="4" borderId="19" xfId="166" applyNumberFormat="1" applyFont="1" applyFill="1" applyBorder="1" applyAlignment="1">
      <alignment horizontal="center" vertical="center" textRotation="90" wrapText="1"/>
    </xf>
    <xf numFmtId="37" fontId="68" fillId="4" borderId="19" xfId="166" applyNumberFormat="1" applyFont="1" applyFill="1" applyBorder="1" applyAlignment="1">
      <alignment horizontal="center" vertical="center" textRotation="90" wrapText="1"/>
    </xf>
    <xf numFmtId="9" fontId="68" fillId="4" borderId="19" xfId="167" applyFont="1" applyFill="1" applyBorder="1" applyAlignment="1">
      <alignment horizontal="center" vertical="center" textRotation="90" wrapText="1"/>
    </xf>
    <xf numFmtId="0" fontId="68" fillId="6" borderId="59" xfId="166" applyFont="1" applyFill="1" applyBorder="1" applyAlignment="1">
      <alignment vertical="center"/>
    </xf>
    <xf numFmtId="0" fontId="68" fillId="4" borderId="1" xfId="166" applyFont="1" applyFill="1" applyBorder="1" applyAlignment="1">
      <alignment vertical="center"/>
    </xf>
    <xf numFmtId="0" fontId="68" fillId="4" borderId="1" xfId="166" applyFont="1" applyFill="1" applyBorder="1" applyAlignment="1">
      <alignment horizontal="center" vertical="center" textRotation="90" wrapText="1"/>
    </xf>
    <xf numFmtId="0" fontId="68" fillId="4" borderId="1" xfId="166" applyFont="1" applyFill="1" applyBorder="1" applyAlignment="1">
      <alignment horizontal="center" vertical="center" wrapText="1"/>
    </xf>
    <xf numFmtId="10" fontId="68" fillId="4" borderId="1" xfId="167" applyNumberFormat="1" applyFont="1" applyFill="1" applyBorder="1" applyAlignment="1">
      <alignment vertical="center"/>
    </xf>
    <xf numFmtId="0" fontId="66" fillId="4" borderId="1" xfId="166" applyFont="1" applyFill="1" applyBorder="1" applyAlignment="1">
      <alignment vertical="center"/>
    </xf>
    <xf numFmtId="0" fontId="65" fillId="4" borderId="1" xfId="166" applyFont="1" applyFill="1" applyBorder="1" applyAlignment="1">
      <alignment horizontal="center" vertical="center" wrapText="1"/>
    </xf>
    <xf numFmtId="0" fontId="96" fillId="7" borderId="41" xfId="166" applyFont="1" applyFill="1" applyBorder="1" applyAlignment="1">
      <alignment horizontal="center" vertical="center" wrapText="1"/>
    </xf>
    <xf numFmtId="0" fontId="96" fillId="7" borderId="40" xfId="166" applyFont="1" applyFill="1" applyBorder="1" applyAlignment="1">
      <alignment horizontal="center" vertical="center" wrapText="1"/>
    </xf>
    <xf numFmtId="0" fontId="68" fillId="4" borderId="79" xfId="166" applyFont="1" applyFill="1" applyBorder="1" applyAlignment="1">
      <alignment horizontal="center" vertical="center" wrapText="1"/>
    </xf>
    <xf numFmtId="39" fontId="56" fillId="4" borderId="44" xfId="166" applyNumberFormat="1" applyFont="1" applyFill="1" applyBorder="1" applyAlignment="1">
      <alignment horizontal="center" vertical="center" wrapText="1"/>
    </xf>
    <xf numFmtId="37" fontId="56" fillId="4" borderId="44" xfId="166" applyNumberFormat="1" applyFont="1" applyFill="1" applyBorder="1" applyAlignment="1">
      <alignment horizontal="center" vertical="center" wrapText="1"/>
    </xf>
    <xf numFmtId="39" fontId="56" fillId="4" borderId="60" xfId="166" applyNumberFormat="1" applyFont="1" applyFill="1" applyBorder="1" applyAlignment="1">
      <alignment horizontal="center" vertical="center" wrapText="1"/>
    </xf>
    <xf numFmtId="9" fontId="56" fillId="4" borderId="44" xfId="167" applyFont="1" applyFill="1" applyBorder="1" applyAlignment="1">
      <alignment horizontal="center" vertical="center" wrapText="1"/>
    </xf>
    <xf numFmtId="39" fontId="56" fillId="4" borderId="84" xfId="166" applyNumberFormat="1" applyFont="1" applyFill="1" applyBorder="1" applyAlignment="1">
      <alignment horizontal="center" vertical="center" wrapText="1"/>
    </xf>
    <xf numFmtId="49" fontId="84" fillId="6" borderId="16" xfId="166" applyNumberFormat="1" applyFont="1" applyFill="1" applyBorder="1" applyAlignment="1">
      <alignment vertical="center"/>
    </xf>
    <xf numFmtId="4" fontId="50" fillId="0" borderId="11" xfId="166" applyNumberFormat="1" applyFont="1" applyBorder="1" applyAlignment="1">
      <alignment vertical="center"/>
    </xf>
    <xf numFmtId="164" fontId="50" fillId="0" borderId="11" xfId="166" applyNumberFormat="1" applyFont="1" applyBorder="1" applyAlignment="1">
      <alignment vertical="center"/>
    </xf>
    <xf numFmtId="10" fontId="50" fillId="0" borderId="11" xfId="167" applyNumberFormat="1" applyFont="1" applyFill="1" applyBorder="1" applyAlignment="1">
      <alignment vertical="center"/>
    </xf>
    <xf numFmtId="4" fontId="107" fillId="7" borderId="11" xfId="166" applyNumberFormat="1" applyFont="1" applyFill="1" applyBorder="1" applyAlignment="1">
      <alignment horizontal="center" vertical="center"/>
    </xf>
    <xf numFmtId="3" fontId="49" fillId="5" borderId="11" xfId="166" applyNumberFormat="1" applyFont="1" applyFill="1" applyBorder="1" applyAlignment="1">
      <alignment horizontal="center" vertical="center"/>
    </xf>
    <xf numFmtId="3" fontId="49" fillId="0" borderId="11" xfId="166" applyNumberFormat="1" applyFont="1" applyBorder="1" applyAlignment="1">
      <alignment horizontal="center" vertical="center"/>
    </xf>
    <xf numFmtId="2" fontId="49" fillId="16" borderId="11" xfId="166" applyNumberFormat="1" applyFont="1" applyFill="1" applyBorder="1" applyAlignment="1">
      <alignment horizontal="center" vertical="center"/>
    </xf>
    <xf numFmtId="4" fontId="103" fillId="7" borderId="11" xfId="166" applyNumberFormat="1" applyFont="1" applyFill="1" applyBorder="1" applyAlignment="1">
      <alignment horizontal="center" vertical="center"/>
    </xf>
    <xf numFmtId="164" fontId="64" fillId="0" borderId="11" xfId="166" applyNumberFormat="1" applyFont="1" applyBorder="1" applyAlignment="1">
      <alignment vertical="center"/>
    </xf>
    <xf numFmtId="164" fontId="50" fillId="0" borderId="11" xfId="166" applyNumberFormat="1" applyFont="1" applyBorder="1" applyAlignment="1">
      <alignment horizontal="center" vertical="center"/>
    </xf>
    <xf numFmtId="164" fontId="108" fillId="7" borderId="11" xfId="166" applyNumberFormat="1" applyFont="1" applyFill="1" applyBorder="1" applyAlignment="1">
      <alignment horizontal="center" vertical="center"/>
    </xf>
    <xf numFmtId="4" fontId="50" fillId="0" borderId="12" xfId="166" applyNumberFormat="1" applyFont="1" applyBorder="1" applyAlignment="1">
      <alignment vertical="center"/>
    </xf>
    <xf numFmtId="4" fontId="50" fillId="2" borderId="0" xfId="166" applyNumberFormat="1" applyFont="1" applyFill="1" applyAlignment="1">
      <alignment vertical="center"/>
    </xf>
    <xf numFmtId="37" fontId="68" fillId="6" borderId="21" xfId="166" applyNumberFormat="1" applyFont="1" applyFill="1" applyBorder="1" applyAlignment="1">
      <alignment horizontal="center" vertical="center" wrapText="1"/>
    </xf>
    <xf numFmtId="4" fontId="73" fillId="2" borderId="22" xfId="166" applyNumberFormat="1" applyFont="1" applyFill="1" applyBorder="1" applyAlignment="1">
      <alignment horizontal="center" vertical="center" wrapText="1"/>
    </xf>
    <xf numFmtId="3" fontId="73" fillId="0" borderId="22" xfId="166" applyNumberFormat="1" applyFont="1" applyBorder="1" applyAlignment="1">
      <alignment horizontal="center" vertical="center" wrapText="1"/>
    </xf>
    <xf numFmtId="0" fontId="73" fillId="0" borderId="28" xfId="166" applyFont="1" applyBorder="1" applyAlignment="1">
      <alignment horizontal="center" vertical="center" wrapText="1"/>
    </xf>
    <xf numFmtId="4" fontId="73" fillId="0" borderId="22" xfId="166" applyNumberFormat="1" applyFont="1" applyBorder="1" applyAlignment="1">
      <alignment horizontal="center" vertical="center" wrapText="1"/>
    </xf>
    <xf numFmtId="1" fontId="73" fillId="0" borderId="22" xfId="166" applyNumberFormat="1" applyFont="1" applyBorder="1" applyAlignment="1">
      <alignment horizontal="center" vertical="center" wrapText="1"/>
    </xf>
    <xf numFmtId="4" fontId="73" fillId="0" borderId="11" xfId="146" applyNumberFormat="1" applyFont="1" applyBorder="1" applyAlignment="1">
      <alignment horizontal="center" vertical="center" wrapText="1"/>
    </xf>
    <xf numFmtId="9" fontId="73" fillId="0" borderId="22" xfId="167" applyFont="1" applyFill="1" applyBorder="1" applyAlignment="1">
      <alignment horizontal="center" vertical="center" wrapText="1"/>
    </xf>
    <xf numFmtId="4" fontId="73" fillId="0" borderId="11" xfId="166" applyNumberFormat="1" applyFont="1" applyBorder="1" applyAlignment="1">
      <alignment horizontal="center" vertical="center" wrapText="1"/>
    </xf>
    <xf numFmtId="4" fontId="73" fillId="0" borderId="23" xfId="166" applyNumberFormat="1" applyFont="1" applyBorder="1" applyAlignment="1">
      <alignment horizontal="center" vertical="center" wrapText="1"/>
    </xf>
    <xf numFmtId="4" fontId="73" fillId="0" borderId="27" xfId="166" applyNumberFormat="1" applyFont="1" applyBorder="1" applyAlignment="1">
      <alignment horizontal="center" vertical="center" wrapText="1"/>
    </xf>
    <xf numFmtId="37" fontId="68" fillId="6" borderId="16" xfId="166" applyNumberFormat="1" applyFont="1" applyFill="1" applyBorder="1" applyAlignment="1">
      <alignment horizontal="center" vertical="center" wrapText="1"/>
    </xf>
    <xf numFmtId="4" fontId="73" fillId="2" borderId="11" xfId="166" applyNumberFormat="1" applyFont="1" applyFill="1" applyBorder="1" applyAlignment="1">
      <alignment horizontal="center" vertical="center" wrapText="1"/>
    </xf>
    <xf numFmtId="3" fontId="73" fillId="0" borderId="11" xfId="166" applyNumberFormat="1" applyFont="1" applyBorder="1" applyAlignment="1">
      <alignment horizontal="center" vertical="center" wrapText="1"/>
    </xf>
    <xf numFmtId="0" fontId="73" fillId="0" borderId="11" xfId="166" applyFont="1" applyBorder="1" applyAlignment="1">
      <alignment horizontal="center" vertical="center" wrapText="1"/>
    </xf>
    <xf numFmtId="1" fontId="73" fillId="0" borderId="11" xfId="166" applyNumberFormat="1" applyFont="1" applyBorder="1" applyAlignment="1">
      <alignment horizontal="center" vertical="center" wrapText="1"/>
    </xf>
    <xf numFmtId="9" fontId="73" fillId="0" borderId="11" xfId="167" applyFont="1" applyFill="1" applyBorder="1" applyAlignment="1">
      <alignment horizontal="center" vertical="center" wrapText="1"/>
    </xf>
    <xf numFmtId="4" fontId="73" fillId="0" borderId="12" xfId="166" applyNumberFormat="1" applyFont="1" applyBorder="1" applyAlignment="1">
      <alignment horizontal="center" vertical="center" wrapText="1"/>
    </xf>
    <xf numFmtId="4" fontId="50" fillId="0" borderId="0" xfId="166" applyNumberFormat="1" applyFont="1" applyAlignment="1">
      <alignment vertical="center"/>
    </xf>
    <xf numFmtId="37" fontId="68" fillId="6" borderId="17" xfId="166" applyNumberFormat="1" applyFont="1" applyFill="1" applyBorder="1" applyAlignment="1">
      <alignment horizontal="center" vertical="center" wrapText="1"/>
    </xf>
    <xf numFmtId="3" fontId="73" fillId="0" borderId="19" xfId="146" applyNumberFormat="1" applyFont="1" applyBorder="1" applyAlignment="1">
      <alignment horizontal="center" vertical="center" wrapText="1"/>
    </xf>
    <xf numFmtId="0" fontId="73" fillId="0" borderId="19" xfId="146" applyFont="1" applyBorder="1" applyAlignment="1">
      <alignment horizontal="center" vertical="center" wrapText="1"/>
    </xf>
    <xf numFmtId="4" fontId="73" fillId="0" borderId="19" xfId="146" applyNumberFormat="1" applyFont="1" applyBorder="1" applyAlignment="1">
      <alignment horizontal="center" vertical="center" wrapText="1"/>
    </xf>
    <xf numFmtId="1" fontId="73" fillId="0" borderId="19" xfId="146" applyNumberFormat="1" applyFont="1" applyBorder="1" applyAlignment="1">
      <alignment horizontal="center" vertical="center" wrapText="1"/>
    </xf>
    <xf numFmtId="49" fontId="74" fillId="0" borderId="0" xfId="166" applyNumberFormat="1" applyFont="1" applyAlignment="1">
      <alignment vertical="center"/>
    </xf>
    <xf numFmtId="49" fontId="49" fillId="0" borderId="0" xfId="166" applyNumberFormat="1" applyFont="1" applyAlignment="1">
      <alignment vertical="center"/>
    </xf>
    <xf numFmtId="164" fontId="50" fillId="0" borderId="0" xfId="166" applyNumberFormat="1" applyFont="1" applyAlignment="1">
      <alignment vertical="center"/>
    </xf>
    <xf numFmtId="10" fontId="49" fillId="0" borderId="0" xfId="167" applyNumberFormat="1" applyFont="1" applyFill="1" applyBorder="1" applyAlignment="1">
      <alignment vertical="center"/>
    </xf>
    <xf numFmtId="3" fontId="50" fillId="0" borderId="0" xfId="166" applyNumberFormat="1" applyFont="1" applyAlignment="1">
      <alignment vertical="center"/>
    </xf>
    <xf numFmtId="4" fontId="107" fillId="0" borderId="0" xfId="166" applyNumberFormat="1" applyFont="1" applyAlignment="1">
      <alignment horizontal="center" vertical="center"/>
    </xf>
    <xf numFmtId="37" fontId="68" fillId="6" borderId="24" xfId="166" applyNumberFormat="1" applyFont="1" applyFill="1" applyBorder="1" applyAlignment="1">
      <alignment horizontal="center" vertical="center" wrapText="1"/>
    </xf>
    <xf numFmtId="4" fontId="83" fillId="4" borderId="60" xfId="166" applyNumberFormat="1" applyFont="1" applyFill="1" applyBorder="1" applyAlignment="1">
      <alignment horizontal="center" vertical="center" wrapText="1"/>
    </xf>
    <xf numFmtId="3" fontId="83" fillId="4" borderId="60" xfId="166" applyNumberFormat="1" applyFont="1" applyFill="1" applyBorder="1" applyAlignment="1">
      <alignment horizontal="center" vertical="center" wrapText="1"/>
    </xf>
    <xf numFmtId="4" fontId="83" fillId="4" borderId="25" xfId="166" applyNumberFormat="1" applyFont="1" applyFill="1" applyBorder="1" applyAlignment="1">
      <alignment horizontal="center" vertical="center" wrapText="1"/>
    </xf>
    <xf numFmtId="4" fontId="83" fillId="4" borderId="5" xfId="166" applyNumberFormat="1" applyFont="1" applyFill="1" applyBorder="1" applyAlignment="1">
      <alignment horizontal="center" vertical="center" wrapText="1"/>
    </xf>
    <xf numFmtId="49" fontId="50" fillId="2" borderId="0" xfId="166" applyNumberFormat="1" applyFont="1" applyFill="1" applyAlignment="1">
      <alignment vertical="center"/>
    </xf>
    <xf numFmtId="4" fontId="50" fillId="2" borderId="0" xfId="166" applyNumberFormat="1" applyFont="1" applyFill="1" applyAlignment="1">
      <alignment horizontal="center" vertical="center" wrapText="1"/>
    </xf>
    <xf numFmtId="39" fontId="74" fillId="2" borderId="0" xfId="166" applyNumberFormat="1" applyFont="1" applyFill="1" applyAlignment="1">
      <alignment vertical="center"/>
    </xf>
    <xf numFmtId="39" fontId="74" fillId="2" borderId="0" xfId="166" applyNumberFormat="1" applyFont="1" applyFill="1" applyAlignment="1">
      <alignment vertical="center" wrapText="1"/>
    </xf>
    <xf numFmtId="39" fontId="50" fillId="2" borderId="0" xfId="166" applyNumberFormat="1" applyFont="1" applyFill="1" applyAlignment="1">
      <alignment horizontal="center" vertical="center" wrapText="1"/>
    </xf>
    <xf numFmtId="9" fontId="50" fillId="2" borderId="0" xfId="167" applyFont="1" applyFill="1" applyAlignment="1">
      <alignment horizontal="center" vertical="center" wrapText="1"/>
    </xf>
    <xf numFmtId="0" fontId="50" fillId="2" borderId="0" xfId="166" applyFont="1" applyFill="1" applyAlignment="1">
      <alignment vertical="center" wrapText="1"/>
    </xf>
    <xf numFmtId="49" fontId="50" fillId="2" borderId="0" xfId="166" applyNumberFormat="1" applyFont="1" applyFill="1" applyAlignment="1">
      <alignment vertical="center" wrapText="1"/>
    </xf>
    <xf numFmtId="10" fontId="50" fillId="2" borderId="0" xfId="167" applyNumberFormat="1" applyFont="1" applyFill="1" applyAlignment="1">
      <alignment vertical="center" wrapText="1"/>
    </xf>
    <xf numFmtId="0" fontId="50" fillId="2" borderId="0" xfId="166" applyFont="1" applyFill="1" applyAlignment="1">
      <alignment horizontal="center" vertical="center" wrapText="1"/>
    </xf>
    <xf numFmtId="0" fontId="49" fillId="2" borderId="0" xfId="166" applyFont="1" applyFill="1" applyAlignment="1">
      <alignment horizontal="center" vertical="center" wrapText="1"/>
    </xf>
    <xf numFmtId="2" fontId="49" fillId="2" borderId="0" xfId="166" applyNumberFormat="1" applyFont="1" applyFill="1" applyAlignment="1">
      <alignment horizontal="center" vertical="center" wrapText="1"/>
    </xf>
    <xf numFmtId="0" fontId="64" fillId="2" borderId="0" xfId="166" applyFont="1" applyFill="1" applyAlignment="1">
      <alignment vertical="center" wrapText="1"/>
    </xf>
    <xf numFmtId="39" fontId="49" fillId="2" borderId="0" xfId="166" applyNumberFormat="1" applyFont="1" applyFill="1" applyAlignment="1">
      <alignment horizontal="center" vertical="center" wrapText="1"/>
    </xf>
    <xf numFmtId="39" fontId="74" fillId="2" borderId="0" xfId="166" applyNumberFormat="1" applyFont="1" applyFill="1" applyAlignment="1">
      <alignment horizontal="left" vertical="center"/>
    </xf>
    <xf numFmtId="37" fontId="50" fillId="2" borderId="22" xfId="166" applyNumberFormat="1" applyFont="1" applyFill="1" applyBorder="1" applyAlignment="1">
      <alignment horizontal="center" vertical="center" wrapText="1"/>
    </xf>
    <xf numFmtId="37" fontId="50" fillId="2" borderId="23" xfId="166" applyNumberFormat="1" applyFont="1" applyFill="1" applyBorder="1" applyAlignment="1">
      <alignment horizontal="center" vertical="center" wrapText="1"/>
    </xf>
    <xf numFmtId="37" fontId="50" fillId="2" borderId="0" xfId="166" applyNumberFormat="1" applyFont="1" applyFill="1" applyAlignment="1">
      <alignment horizontal="center" vertical="center" wrapText="1"/>
    </xf>
    <xf numFmtId="49" fontId="49" fillId="2" borderId="0" xfId="166" applyNumberFormat="1" applyFont="1" applyFill="1" applyAlignment="1">
      <alignment horizontal="center" vertical="center"/>
    </xf>
    <xf numFmtId="171" fontId="50" fillId="2" borderId="19" xfId="166" applyNumberFormat="1" applyFont="1" applyFill="1" applyBorder="1" applyAlignment="1">
      <alignment horizontal="center" vertical="center" wrapText="1"/>
    </xf>
    <xf numFmtId="171" fontId="50" fillId="2" borderId="20" xfId="166" applyNumberFormat="1" applyFont="1" applyFill="1" applyBorder="1" applyAlignment="1">
      <alignment horizontal="center" vertical="center" wrapText="1"/>
    </xf>
    <xf numFmtId="171" fontId="50" fillId="2" borderId="0" xfId="166" applyNumberFormat="1" applyFont="1" applyFill="1" applyAlignment="1">
      <alignment horizontal="center" vertical="center" wrapText="1"/>
    </xf>
    <xf numFmtId="0" fontId="69" fillId="2" borderId="0" xfId="166" applyFont="1" applyFill="1" applyAlignment="1">
      <alignment vertical="center"/>
    </xf>
    <xf numFmtId="4" fontId="68" fillId="4" borderId="11" xfId="12" applyNumberFormat="1" applyFont="1" applyFill="1" applyBorder="1" applyAlignment="1">
      <alignment horizontal="center" vertical="center" textRotation="90" wrapText="1"/>
    </xf>
    <xf numFmtId="4" fontId="50" fillId="0" borderId="11" xfId="12" applyNumberFormat="1" applyFont="1" applyBorder="1" applyAlignment="1">
      <alignment horizontal="center" vertical="center"/>
    </xf>
    <xf numFmtId="4" fontId="50" fillId="2" borderId="11" xfId="12" applyNumberFormat="1" applyFont="1" applyFill="1" applyBorder="1" applyAlignment="1">
      <alignment horizontal="center" vertical="center"/>
    </xf>
    <xf numFmtId="2" fontId="50" fillId="2" borderId="0" xfId="166" applyNumberFormat="1" applyFont="1" applyFill="1" applyAlignment="1">
      <alignment horizontal="center" vertical="center"/>
    </xf>
    <xf numFmtId="4" fontId="50" fillId="2" borderId="0" xfId="166" applyNumberFormat="1" applyFont="1" applyFill="1" applyAlignment="1">
      <alignment horizontal="center" vertical="center"/>
    </xf>
    <xf numFmtId="2" fontId="75" fillId="2" borderId="0" xfId="166" applyNumberFormat="1" applyFont="1" applyFill="1" applyAlignment="1">
      <alignment horizontal="center" vertical="center"/>
    </xf>
    <xf numFmtId="4" fontId="49" fillId="2" borderId="0" xfId="166" applyNumberFormat="1" applyFont="1" applyFill="1" applyAlignment="1">
      <alignment vertical="center"/>
    </xf>
    <xf numFmtId="0" fontId="49" fillId="2" borderId="0" xfId="166" applyFont="1" applyFill="1" applyAlignment="1">
      <alignment horizontal="right" vertical="center"/>
    </xf>
    <xf numFmtId="4" fontId="49" fillId="2" borderId="7" xfId="166" applyNumberFormat="1" applyFont="1" applyFill="1" applyBorder="1" applyAlignment="1">
      <alignment vertical="center"/>
    </xf>
    <xf numFmtId="4" fontId="49" fillId="0" borderId="0" xfId="121" applyNumberFormat="1" applyFont="1" applyAlignment="1">
      <alignment horizontal="center" vertical="center"/>
    </xf>
    <xf numFmtId="0" fontId="49" fillId="0" borderId="0" xfId="121" applyFont="1" applyAlignment="1">
      <alignment horizontal="center" vertical="center"/>
    </xf>
    <xf numFmtId="2" fontId="50" fillId="2" borderId="0" xfId="166" applyNumberFormat="1" applyFont="1" applyFill="1" applyAlignment="1">
      <alignment vertical="center"/>
    </xf>
    <xf numFmtId="4" fontId="49" fillId="2" borderId="86" xfId="166" applyNumberFormat="1" applyFont="1" applyFill="1" applyBorder="1" applyAlignment="1">
      <alignment vertical="center"/>
    </xf>
    <xf numFmtId="2" fontId="50" fillId="0" borderId="0" xfId="121" applyNumberFormat="1" applyFont="1" applyAlignment="1">
      <alignment horizontal="center" vertical="center"/>
    </xf>
    <xf numFmtId="0" fontId="50" fillId="0" borderId="0" xfId="121" applyFont="1" applyAlignment="1">
      <alignment horizontal="center" vertical="center"/>
    </xf>
    <xf numFmtId="169" fontId="50" fillId="0" borderId="0" xfId="121" applyNumberFormat="1" applyFont="1" applyAlignment="1">
      <alignment horizontal="center" vertical="center"/>
    </xf>
    <xf numFmtId="0" fontId="49" fillId="2" borderId="0" xfId="166" applyFont="1" applyFill="1" applyAlignment="1">
      <alignment horizontal="left" vertical="center"/>
    </xf>
    <xf numFmtId="0" fontId="49" fillId="2" borderId="0" xfId="146" applyFont="1" applyFill="1" applyAlignment="1">
      <alignment horizontal="right" vertical="center"/>
    </xf>
    <xf numFmtId="49" fontId="49" fillId="0" borderId="0" xfId="217" applyNumberFormat="1" applyFont="1" applyAlignment="1">
      <alignment horizontal="left" vertical="center"/>
    </xf>
    <xf numFmtId="2" fontId="50" fillId="2" borderId="0" xfId="121" applyNumberFormat="1" applyFont="1" applyFill="1" applyAlignment="1">
      <alignment horizontal="center" vertical="center"/>
    </xf>
    <xf numFmtId="0" fontId="49" fillId="2" borderId="0" xfId="121" applyFont="1" applyFill="1" applyAlignment="1">
      <alignment horizontal="center" vertical="center"/>
    </xf>
    <xf numFmtId="169" fontId="76" fillId="2" borderId="0" xfId="121" applyNumberFormat="1" applyFont="1" applyFill="1" applyAlignment="1">
      <alignment horizontal="center" vertical="center"/>
    </xf>
    <xf numFmtId="4" fontId="49" fillId="2" borderId="91" xfId="166" applyNumberFormat="1" applyFont="1" applyFill="1" applyBorder="1" applyAlignment="1">
      <alignment vertical="center"/>
    </xf>
    <xf numFmtId="49" fontId="49" fillId="2" borderId="0" xfId="121" applyNumberFormat="1" applyFont="1" applyFill="1" applyAlignment="1">
      <alignment horizontal="left" vertical="center"/>
    </xf>
    <xf numFmtId="0" fontId="69" fillId="2" borderId="0" xfId="166" applyFont="1" applyFill="1" applyAlignment="1">
      <alignment vertical="center" wrapText="1"/>
    </xf>
    <xf numFmtId="9" fontId="69" fillId="2" borderId="0" xfId="167" applyFont="1" applyFill="1" applyAlignment="1">
      <alignment vertical="center" wrapText="1"/>
    </xf>
    <xf numFmtId="4" fontId="50" fillId="2" borderId="0" xfId="121" applyNumberFormat="1" applyFont="1" applyFill="1" applyAlignment="1">
      <alignment horizontal="center" vertical="center"/>
    </xf>
    <xf numFmtId="169" fontId="50" fillId="2" borderId="0" xfId="121" applyNumberFormat="1" applyFont="1" applyFill="1" applyAlignment="1">
      <alignment horizontal="center" vertical="center"/>
    </xf>
    <xf numFmtId="169" fontId="76" fillId="2" borderId="0" xfId="166" applyNumberFormat="1" applyFont="1" applyFill="1" applyAlignment="1">
      <alignment horizontal="center" vertical="center"/>
    </xf>
    <xf numFmtId="169" fontId="50" fillId="2" borderId="0" xfId="166" applyNumberFormat="1" applyFont="1" applyFill="1" applyAlignment="1">
      <alignment horizontal="center" vertical="center"/>
    </xf>
    <xf numFmtId="164" fontId="50" fillId="2" borderId="0" xfId="166" applyNumberFormat="1" applyFont="1" applyFill="1" applyAlignment="1">
      <alignment horizontal="center" vertical="center"/>
    </xf>
    <xf numFmtId="0" fontId="49" fillId="2" borderId="0" xfId="166" applyFont="1" applyFill="1" applyAlignment="1">
      <alignment vertical="center" wrapText="1"/>
    </xf>
    <xf numFmtId="0" fontId="85" fillId="0" borderId="55" xfId="166" applyFont="1" applyBorder="1" applyAlignment="1">
      <alignment horizontal="center" vertical="top" wrapText="1"/>
    </xf>
    <xf numFmtId="10" fontId="0" fillId="0" borderId="55" xfId="167" applyNumberFormat="1" applyFont="1" applyBorder="1" applyAlignment="1">
      <alignment horizontal="center" vertical="top" wrapText="1"/>
    </xf>
    <xf numFmtId="0" fontId="50" fillId="2" borderId="0" xfId="166" applyFont="1" applyFill="1" applyAlignment="1">
      <alignment horizontal="left" vertical="center" wrapText="1"/>
    </xf>
    <xf numFmtId="170" fontId="87" fillId="0" borderId="56" xfId="166" applyNumberFormat="1" applyFont="1" applyBorder="1" applyAlignment="1">
      <alignment horizontal="center" vertical="top" shrinkToFit="1"/>
    </xf>
    <xf numFmtId="10" fontId="87" fillId="0" borderId="56" xfId="167" applyNumberFormat="1" applyFont="1" applyBorder="1" applyAlignment="1">
      <alignment horizontal="center" vertical="top" shrinkToFit="1"/>
    </xf>
    <xf numFmtId="170" fontId="87" fillId="0" borderId="57" xfId="166" applyNumberFormat="1" applyFont="1" applyBorder="1" applyAlignment="1">
      <alignment horizontal="center" vertical="top" shrinkToFit="1"/>
    </xf>
    <xf numFmtId="10" fontId="87" fillId="0" borderId="57" xfId="167" applyNumberFormat="1" applyFont="1" applyBorder="1" applyAlignment="1">
      <alignment horizontal="center" vertical="top" shrinkToFit="1"/>
    </xf>
    <xf numFmtId="0" fontId="50" fillId="0" borderId="11" xfId="166" applyFont="1" applyBorder="1" applyAlignment="1">
      <alignment horizontal="center" vertical="center" wrapText="1"/>
    </xf>
    <xf numFmtId="0" fontId="50" fillId="0" borderId="11" xfId="166" applyFont="1" applyBorder="1" applyAlignment="1">
      <alignment horizontal="left" vertical="center" wrapText="1"/>
    </xf>
    <xf numFmtId="0" fontId="85" fillId="0" borderId="57" xfId="166" applyFont="1" applyBorder="1" applyAlignment="1">
      <alignment horizontal="center" vertical="top" wrapText="1"/>
    </xf>
    <xf numFmtId="170" fontId="87" fillId="0" borderId="58" xfId="166" applyNumberFormat="1" applyFont="1" applyBorder="1" applyAlignment="1">
      <alignment horizontal="center" vertical="top" shrinkToFit="1"/>
    </xf>
    <xf numFmtId="10" fontId="87" fillId="0" borderId="58" xfId="167" applyNumberFormat="1" applyFont="1" applyBorder="1" applyAlignment="1">
      <alignment horizontal="center" vertical="top" shrinkToFit="1"/>
    </xf>
    <xf numFmtId="9" fontId="50" fillId="0" borderId="0" xfId="167" applyFont="1" applyFill="1" applyAlignment="1">
      <alignment vertical="center"/>
    </xf>
    <xf numFmtId="39" fontId="56" fillId="4" borderId="50" xfId="166" applyNumberFormat="1" applyFont="1" applyFill="1" applyBorder="1" applyAlignment="1">
      <alignment horizontal="center" vertical="center" wrapText="1"/>
    </xf>
    <xf numFmtId="39" fontId="56" fillId="4" borderId="85" xfId="166" applyNumberFormat="1" applyFont="1" applyFill="1" applyBorder="1" applyAlignment="1">
      <alignment horizontal="center" vertical="center" wrapText="1"/>
    </xf>
    <xf numFmtId="4" fontId="73" fillId="0" borderId="28" xfId="146" applyNumberFormat="1" applyFont="1" applyBorder="1" applyAlignment="1">
      <alignment horizontal="center" vertical="center" wrapText="1"/>
    </xf>
    <xf numFmtId="39" fontId="56" fillId="4" borderId="99" xfId="166" applyNumberFormat="1" applyFont="1" applyFill="1" applyBorder="1" applyAlignment="1">
      <alignment horizontal="center" vertical="center" wrapText="1"/>
    </xf>
    <xf numFmtId="4" fontId="83" fillId="4" borderId="96" xfId="166" applyNumberFormat="1" applyFont="1" applyFill="1" applyBorder="1" applyAlignment="1">
      <alignment horizontal="center" vertical="center" wrapText="1"/>
    </xf>
    <xf numFmtId="4" fontId="83" fillId="4" borderId="97" xfId="166" applyNumberFormat="1" applyFont="1" applyFill="1" applyBorder="1" applyAlignment="1">
      <alignment horizontal="center" vertical="center" wrapText="1"/>
    </xf>
    <xf numFmtId="4" fontId="73" fillId="0" borderId="30" xfId="166" applyNumberFormat="1" applyFont="1" applyBorder="1" applyAlignment="1">
      <alignment horizontal="center" vertical="center" wrapText="1"/>
    </xf>
    <xf numFmtId="4" fontId="83" fillId="4" borderId="99" xfId="166" applyNumberFormat="1" applyFont="1" applyFill="1" applyBorder="1" applyAlignment="1">
      <alignment horizontal="center" vertical="center" wrapText="1"/>
    </xf>
    <xf numFmtId="0" fontId="68" fillId="4" borderId="0" xfId="166" applyFont="1" applyFill="1" applyAlignment="1">
      <alignment vertical="center"/>
    </xf>
    <xf numFmtId="0" fontId="68" fillId="4" borderId="0" xfId="166" applyFont="1" applyFill="1" applyAlignment="1">
      <alignment horizontal="center" vertical="center" wrapText="1"/>
    </xf>
    <xf numFmtId="49" fontId="84" fillId="6" borderId="18" xfId="166" applyNumberFormat="1" applyFont="1" applyFill="1" applyBorder="1" applyAlignment="1">
      <alignment vertical="center"/>
    </xf>
    <xf numFmtId="4" fontId="50" fillId="0" borderId="19" xfId="166" applyNumberFormat="1" applyFont="1" applyBorder="1" applyAlignment="1">
      <alignment vertical="center"/>
    </xf>
    <xf numFmtId="164" fontId="50" fillId="0" borderId="19" xfId="166" applyNumberFormat="1" applyFont="1" applyBorder="1" applyAlignment="1">
      <alignment vertical="center"/>
    </xf>
    <xf numFmtId="10" fontId="50" fillId="0" borderId="19" xfId="167" applyNumberFormat="1" applyFont="1" applyFill="1" applyBorder="1" applyAlignment="1">
      <alignment vertical="center"/>
    </xf>
    <xf numFmtId="4" fontId="107" fillId="7" borderId="19" xfId="166" applyNumberFormat="1" applyFont="1" applyFill="1" applyBorder="1" applyAlignment="1">
      <alignment horizontal="center" vertical="center"/>
    </xf>
    <xf numFmtId="3" fontId="49" fillId="5" borderId="19" xfId="166" applyNumberFormat="1" applyFont="1" applyFill="1" applyBorder="1" applyAlignment="1">
      <alignment horizontal="center" vertical="center"/>
    </xf>
    <xf numFmtId="3" fontId="49" fillId="0" borderId="19" xfId="166" applyNumberFormat="1" applyFont="1" applyBorder="1" applyAlignment="1">
      <alignment horizontal="center" vertical="center"/>
    </xf>
    <xf numFmtId="2" fontId="49" fillId="16" borderId="19" xfId="166" applyNumberFormat="1" applyFont="1" applyFill="1" applyBorder="1" applyAlignment="1">
      <alignment horizontal="center" vertical="center"/>
    </xf>
    <xf numFmtId="4" fontId="103" fillId="7" borderId="19" xfId="166" applyNumberFormat="1" applyFont="1" applyFill="1" applyBorder="1" applyAlignment="1">
      <alignment horizontal="center" vertical="center"/>
    </xf>
    <xf numFmtId="164" fontId="64" fillId="0" borderId="19" xfId="166" applyNumberFormat="1" applyFont="1" applyBorder="1" applyAlignment="1">
      <alignment vertical="center"/>
    </xf>
    <xf numFmtId="164" fontId="50" fillId="0" borderId="19" xfId="166" applyNumberFormat="1" applyFont="1" applyBorder="1" applyAlignment="1">
      <alignment horizontal="center" vertical="center"/>
    </xf>
    <xf numFmtId="164" fontId="108" fillId="7" borderId="19" xfId="166" applyNumberFormat="1" applyFont="1" applyFill="1" applyBorder="1" applyAlignment="1">
      <alignment horizontal="center" vertical="center"/>
    </xf>
    <xf numFmtId="4" fontId="50" fillId="0" borderId="20" xfId="166" applyNumberFormat="1" applyFont="1" applyBorder="1" applyAlignment="1">
      <alignment vertical="center"/>
    </xf>
    <xf numFmtId="0" fontId="56" fillId="6" borderId="11" xfId="12" applyFont="1" applyFill="1" applyBorder="1" applyAlignment="1">
      <alignment horizontal="center" vertical="center"/>
    </xf>
    <xf numFmtId="49" fontId="49" fillId="6" borderId="11" xfId="12" applyNumberFormat="1" applyFont="1" applyFill="1" applyBorder="1" applyAlignment="1">
      <alignment horizontal="center" vertical="center" wrapText="1"/>
    </xf>
    <xf numFmtId="0" fontId="49" fillId="8" borderId="11" xfId="166" applyFont="1" applyFill="1" applyBorder="1" applyAlignment="1">
      <alignment horizontal="center" vertical="center" wrapText="1"/>
    </xf>
    <xf numFmtId="49" fontId="49" fillId="2" borderId="0" xfId="121" applyNumberFormat="1" applyFont="1" applyFill="1" applyAlignment="1">
      <alignment horizontal="left" vertical="center"/>
    </xf>
    <xf numFmtId="49" fontId="49" fillId="2" borderId="0" xfId="166" applyNumberFormat="1" applyFont="1" applyFill="1" applyAlignment="1">
      <alignment horizontal="left" vertical="center" wrapText="1"/>
    </xf>
    <xf numFmtId="0" fontId="49" fillId="2" borderId="11" xfId="8" applyFont="1" applyFill="1" applyBorder="1" applyAlignment="1">
      <alignment horizontal="center" vertical="center" wrapText="1"/>
    </xf>
    <xf numFmtId="4" fontId="49" fillId="0" borderId="0" xfId="121" applyNumberFormat="1" applyFont="1" applyAlignment="1">
      <alignment horizontal="center" vertical="center"/>
    </xf>
    <xf numFmtId="49" fontId="49" fillId="0" borderId="0" xfId="121" applyNumberFormat="1" applyFont="1" applyAlignment="1">
      <alignment horizontal="left" vertical="center"/>
    </xf>
    <xf numFmtId="39" fontId="68" fillId="4" borderId="22" xfId="166" applyNumberFormat="1" applyFont="1" applyFill="1" applyBorder="1" applyAlignment="1">
      <alignment horizontal="center" vertical="center" wrapText="1"/>
    </xf>
    <xf numFmtId="37" fontId="68" fillId="4" borderId="62" xfId="166" applyNumberFormat="1" applyFont="1" applyFill="1" applyBorder="1" applyAlignment="1">
      <alignment horizontal="center" vertical="center" textRotation="90" wrapText="1"/>
    </xf>
    <xf numFmtId="37" fontId="68" fillId="4" borderId="52" xfId="166" applyNumberFormat="1" applyFont="1" applyFill="1" applyBorder="1" applyAlignment="1">
      <alignment horizontal="center" vertical="center" textRotation="90" wrapText="1"/>
    </xf>
    <xf numFmtId="0" fontId="55" fillId="2" borderId="50" xfId="166" applyFont="1" applyFill="1" applyBorder="1" applyAlignment="1">
      <alignment horizontal="center" vertical="center" textRotation="90"/>
    </xf>
    <xf numFmtId="37" fontId="49" fillId="2" borderId="21" xfId="166" applyNumberFormat="1" applyFont="1" applyFill="1" applyBorder="1" applyAlignment="1">
      <alignment horizontal="left" vertical="center" wrapText="1"/>
    </xf>
    <xf numFmtId="37" fontId="49" fillId="2" borderId="22" xfId="166" applyNumberFormat="1" applyFont="1" applyFill="1" applyBorder="1" applyAlignment="1">
      <alignment horizontal="left" vertical="center" wrapText="1"/>
    </xf>
    <xf numFmtId="37" fontId="49" fillId="2" borderId="18" xfId="166" applyNumberFormat="1" applyFont="1" applyFill="1" applyBorder="1" applyAlignment="1">
      <alignment horizontal="left" vertical="center" wrapText="1"/>
    </xf>
    <xf numFmtId="37" fontId="49" fillId="2" borderId="19" xfId="166" applyNumberFormat="1" applyFont="1" applyFill="1" applyBorder="1" applyAlignment="1">
      <alignment horizontal="left" vertical="center" wrapText="1"/>
    </xf>
    <xf numFmtId="0" fontId="68" fillId="2" borderId="0" xfId="166" applyFont="1" applyFill="1" applyAlignment="1">
      <alignment horizontal="center" vertical="center" wrapText="1"/>
    </xf>
    <xf numFmtId="0" fontId="68" fillId="2" borderId="0" xfId="166" applyFont="1" applyFill="1" applyAlignment="1">
      <alignment vertical="center"/>
    </xf>
    <xf numFmtId="0" fontId="68" fillId="6" borderId="21" xfId="166" applyFont="1" applyFill="1" applyBorder="1" applyAlignment="1">
      <alignment horizontal="center" vertical="center"/>
    </xf>
    <xf numFmtId="0" fontId="68" fillId="6" borderId="18" xfId="166" applyFont="1" applyFill="1" applyBorder="1" applyAlignment="1">
      <alignment horizontal="center" vertical="center"/>
    </xf>
    <xf numFmtId="39" fontId="68" fillId="4" borderId="22" xfId="166" applyNumberFormat="1" applyFont="1" applyFill="1" applyBorder="1" applyAlignment="1">
      <alignment horizontal="center" vertical="center" textRotation="90" wrapText="1"/>
    </xf>
    <xf numFmtId="39" fontId="68" fillId="4" borderId="19" xfId="166" applyNumberFormat="1" applyFont="1" applyFill="1" applyBorder="1" applyAlignment="1">
      <alignment horizontal="center" vertical="center" textRotation="90" wrapText="1"/>
    </xf>
    <xf numFmtId="37" fontId="68" fillId="4" borderId="22" xfId="166" applyNumberFormat="1" applyFont="1" applyFill="1" applyBorder="1" applyAlignment="1">
      <alignment horizontal="center" vertical="center" wrapText="1"/>
    </xf>
    <xf numFmtId="0" fontId="66" fillId="4" borderId="11" xfId="166" applyFont="1" applyFill="1" applyBorder="1" applyAlignment="1">
      <alignment horizontal="center" vertical="center" wrapText="1"/>
    </xf>
    <xf numFmtId="0" fontId="66" fillId="4" borderId="11" xfId="166" applyFont="1" applyFill="1" applyBorder="1" applyAlignment="1">
      <alignment vertical="center"/>
    </xf>
    <xf numFmtId="39" fontId="68" fillId="4" borderId="23" xfId="166" applyNumberFormat="1" applyFont="1" applyFill="1" applyBorder="1" applyAlignment="1">
      <alignment horizontal="center" vertical="center" textRotation="90" wrapText="1"/>
    </xf>
    <xf numFmtId="39" fontId="68" fillId="4" borderId="20" xfId="166" applyNumberFormat="1" applyFont="1" applyFill="1" applyBorder="1" applyAlignment="1">
      <alignment horizontal="center" vertical="center" textRotation="90" wrapText="1"/>
    </xf>
    <xf numFmtId="0" fontId="68" fillId="4" borderId="30" xfId="166" applyFont="1" applyFill="1" applyBorder="1" applyAlignment="1">
      <alignment horizontal="center" vertical="center" wrapText="1"/>
    </xf>
    <xf numFmtId="0" fontId="68" fillId="4" borderId="28" xfId="166" applyFont="1" applyFill="1" applyBorder="1" applyAlignment="1">
      <alignment horizontal="center" vertical="center" wrapText="1"/>
    </xf>
    <xf numFmtId="2" fontId="68" fillId="16" borderId="30" xfId="166" applyNumberFormat="1" applyFont="1" applyFill="1" applyBorder="1" applyAlignment="1">
      <alignment horizontal="center" vertical="center" wrapText="1"/>
    </xf>
    <xf numFmtId="2" fontId="68" fillId="16" borderId="28" xfId="166" applyNumberFormat="1" applyFont="1" applyFill="1" applyBorder="1" applyAlignment="1">
      <alignment horizontal="center" vertical="center" wrapText="1"/>
    </xf>
    <xf numFmtId="0" fontId="68" fillId="4" borderId="11" xfId="166" applyFont="1" applyFill="1" applyBorder="1" applyAlignment="1">
      <alignment horizontal="center" vertical="center" wrapText="1"/>
    </xf>
    <xf numFmtId="0" fontId="68" fillId="4" borderId="12" xfId="166" applyFont="1" applyFill="1" applyBorder="1" applyAlignment="1">
      <alignment vertical="center"/>
    </xf>
    <xf numFmtId="0" fontId="68" fillId="4" borderId="11" xfId="166" applyFont="1" applyFill="1" applyBorder="1" applyAlignment="1">
      <alignment vertical="center"/>
    </xf>
    <xf numFmtId="10" fontId="68" fillId="4" borderId="11" xfId="167" applyNumberFormat="1" applyFont="1" applyFill="1" applyBorder="1" applyAlignment="1">
      <alignment horizontal="center" vertical="center" wrapText="1"/>
    </xf>
    <xf numFmtId="10" fontId="68" fillId="4" borderId="11" xfId="167" applyNumberFormat="1" applyFont="1" applyFill="1" applyBorder="1" applyAlignment="1">
      <alignment vertical="center"/>
    </xf>
    <xf numFmtId="0" fontId="65" fillId="4" borderId="11" xfId="166" applyFont="1" applyFill="1" applyBorder="1" applyAlignment="1">
      <alignment horizontal="center" vertical="center" wrapText="1"/>
    </xf>
    <xf numFmtId="0" fontId="65" fillId="4" borderId="11" xfId="166" applyFont="1" applyFill="1" applyBorder="1" applyAlignment="1">
      <alignment vertical="center"/>
    </xf>
    <xf numFmtId="0" fontId="65" fillId="4" borderId="13" xfId="166" applyFont="1" applyFill="1" applyBorder="1" applyAlignment="1">
      <alignment horizontal="center" vertical="center" wrapText="1"/>
    </xf>
    <xf numFmtId="0" fontId="65" fillId="4" borderId="2" xfId="166" applyFont="1" applyFill="1" applyBorder="1" applyAlignment="1">
      <alignment horizontal="center" vertical="center" wrapText="1"/>
    </xf>
    <xf numFmtId="0" fontId="96" fillId="7" borderId="11" xfId="166" applyFont="1" applyFill="1" applyBorder="1" applyAlignment="1">
      <alignment horizontal="center" vertical="center" wrapText="1"/>
    </xf>
    <xf numFmtId="0" fontId="96" fillId="7" borderId="11" xfId="166" applyFont="1" applyFill="1" applyBorder="1" applyAlignment="1">
      <alignment horizontal="center" vertical="center"/>
    </xf>
    <xf numFmtId="0" fontId="71" fillId="9" borderId="11" xfId="166" applyFont="1" applyFill="1" applyBorder="1" applyAlignment="1">
      <alignment horizontal="center" vertical="center" wrapText="1"/>
    </xf>
    <xf numFmtId="0" fontId="71" fillId="9" borderId="11" xfId="166" applyFont="1" applyFill="1" applyBorder="1" applyAlignment="1">
      <alignment horizontal="center" vertical="center"/>
    </xf>
    <xf numFmtId="0" fontId="69" fillId="6" borderId="3" xfId="166" applyFont="1" applyFill="1" applyBorder="1" applyAlignment="1">
      <alignment horizontal="center" vertical="center" wrapText="1"/>
    </xf>
    <xf numFmtId="0" fontId="69" fillId="6" borderId="4" xfId="166" applyFont="1" applyFill="1" applyBorder="1" applyAlignment="1">
      <alignment horizontal="center" vertical="center" wrapText="1"/>
    </xf>
    <xf numFmtId="0" fontId="69" fillId="6" borderId="5" xfId="166" applyFont="1" applyFill="1" applyBorder="1" applyAlignment="1">
      <alignment horizontal="center" vertical="center" wrapText="1"/>
    </xf>
    <xf numFmtId="49" fontId="68" fillId="6" borderId="16" xfId="166" applyNumberFormat="1" applyFont="1" applyFill="1" applyBorder="1" applyAlignment="1">
      <alignment horizontal="center" vertical="center" textRotation="90" wrapText="1"/>
    </xf>
    <xf numFmtId="0" fontId="68" fillId="6" borderId="16" xfId="166" applyFont="1" applyFill="1" applyBorder="1" applyAlignment="1">
      <alignment vertical="center"/>
    </xf>
    <xf numFmtId="0" fontId="68" fillId="4" borderId="11" xfId="166" applyFont="1" applyFill="1" applyBorder="1" applyAlignment="1">
      <alignment horizontal="center" vertical="center" textRotation="90" wrapText="1"/>
    </xf>
    <xf numFmtId="0" fontId="56" fillId="0" borderId="32" xfId="166" applyFont="1" applyBorder="1" applyAlignment="1">
      <alignment horizontal="center" vertical="center"/>
    </xf>
    <xf numFmtId="0" fontId="57" fillId="0" borderId="6" xfId="166" applyFont="1" applyBorder="1" applyAlignment="1">
      <alignment horizontal="center" vertical="center"/>
    </xf>
    <xf numFmtId="0" fontId="57" fillId="0" borderId="8" xfId="166" applyFont="1" applyBorder="1" applyAlignment="1">
      <alignment horizontal="center" vertical="center"/>
    </xf>
    <xf numFmtId="0" fontId="57" fillId="0" borderId="9" xfId="166" applyFont="1" applyBorder="1" applyAlignment="1">
      <alignment horizontal="center" vertical="center"/>
    </xf>
    <xf numFmtId="0" fontId="50" fillId="0" borderId="50" xfId="121" applyFont="1" applyBorder="1" applyAlignment="1">
      <alignment horizontal="left" vertical="center" wrapText="1"/>
    </xf>
    <xf numFmtId="0" fontId="50" fillId="0" borderId="0" xfId="121" applyFont="1" applyAlignment="1">
      <alignment horizontal="left" vertical="center" wrapText="1"/>
    </xf>
    <xf numFmtId="0" fontId="69" fillId="6" borderId="35" xfId="166" applyFont="1" applyFill="1" applyBorder="1" applyAlignment="1">
      <alignment horizontal="center" vertical="center" wrapText="1"/>
    </xf>
    <xf numFmtId="0" fontId="69" fillId="6" borderId="38" xfId="166" applyFont="1" applyFill="1" applyBorder="1" applyAlignment="1">
      <alignment horizontal="center" vertical="center" wrapText="1"/>
    </xf>
    <xf numFmtId="0" fontId="69" fillId="6" borderId="15" xfId="166" applyFont="1" applyFill="1" applyBorder="1" applyAlignment="1">
      <alignment horizontal="center" vertical="center" wrapText="1"/>
    </xf>
    <xf numFmtId="0" fontId="56" fillId="2" borderId="13" xfId="12" applyFont="1" applyFill="1" applyBorder="1" applyAlignment="1">
      <alignment horizontal="center" vertical="center"/>
    </xf>
    <xf numFmtId="0" fontId="56" fillId="2" borderId="2" xfId="12" applyFont="1" applyFill="1" applyBorder="1" applyAlignment="1">
      <alignment horizontal="center" vertical="center"/>
    </xf>
    <xf numFmtId="0" fontId="56" fillId="2" borderId="10" xfId="12" applyFont="1" applyFill="1" applyBorder="1" applyAlignment="1">
      <alignment horizontal="center" vertical="center"/>
    </xf>
    <xf numFmtId="0" fontId="56" fillId="4" borderId="21" xfId="12" applyFont="1" applyFill="1" applyBorder="1" applyAlignment="1">
      <alignment horizontal="center" vertical="center"/>
    </xf>
    <xf numFmtId="0" fontId="56" fillId="4" borderId="22" xfId="12" applyFont="1" applyFill="1" applyBorder="1" applyAlignment="1">
      <alignment horizontal="center" vertical="center"/>
    </xf>
    <xf numFmtId="0" fontId="56" fillId="4" borderId="23" xfId="12" applyFont="1" applyFill="1" applyBorder="1" applyAlignment="1">
      <alignment horizontal="center" vertical="center"/>
    </xf>
    <xf numFmtId="0" fontId="56" fillId="4" borderId="11" xfId="12" applyFont="1" applyFill="1" applyBorder="1" applyAlignment="1">
      <alignment horizontal="center" vertical="center" wrapText="1"/>
    </xf>
    <xf numFmtId="0" fontId="56" fillId="4" borderId="16" xfId="12" applyFont="1" applyFill="1" applyBorder="1" applyAlignment="1">
      <alignment horizontal="center" vertical="center"/>
    </xf>
    <xf numFmtId="0" fontId="56" fillId="4" borderId="12" xfId="12" applyFont="1" applyFill="1" applyBorder="1" applyAlignment="1">
      <alignment horizontal="center" vertical="center" wrapText="1"/>
    </xf>
    <xf numFmtId="0" fontId="84" fillId="4" borderId="13" xfId="0" applyFont="1" applyFill="1" applyBorder="1" applyAlignment="1">
      <alignment horizontal="center" vertical="center"/>
    </xf>
    <xf numFmtId="0" fontId="84" fillId="4" borderId="10" xfId="0" applyFont="1" applyFill="1" applyBorder="1" applyAlignment="1">
      <alignment horizontal="center" vertical="center"/>
    </xf>
    <xf numFmtId="0" fontId="50" fillId="0" borderId="30" xfId="59" applyFont="1" applyBorder="1" applyAlignment="1">
      <alignment horizontal="center" vertical="center" wrapText="1"/>
    </xf>
    <xf numFmtId="0" fontId="50" fillId="0" borderId="44" xfId="59" applyFont="1" applyBorder="1" applyAlignment="1">
      <alignment horizontal="center" vertical="center" wrapText="1"/>
    </xf>
    <xf numFmtId="0" fontId="50" fillId="0" borderId="28" xfId="59" applyFont="1" applyBorder="1" applyAlignment="1">
      <alignment horizontal="center" vertical="center" wrapText="1"/>
    </xf>
    <xf numFmtId="0" fontId="50" fillId="0" borderId="13" xfId="59" applyFont="1" applyBorder="1" applyAlignment="1">
      <alignment horizontal="center" vertical="center"/>
    </xf>
    <xf numFmtId="0" fontId="50" fillId="0" borderId="10" xfId="59" applyFont="1" applyBorder="1" applyAlignment="1">
      <alignment horizontal="center" vertical="center"/>
    </xf>
    <xf numFmtId="43" fontId="49" fillId="4" borderId="11" xfId="186" applyFont="1" applyFill="1" applyBorder="1" applyAlignment="1">
      <alignment horizontal="center" vertical="center"/>
    </xf>
    <xf numFmtId="0" fontId="84" fillId="4" borderId="11" xfId="184" applyFont="1" applyFill="1" applyBorder="1" applyAlignment="1">
      <alignment horizontal="center" vertical="center"/>
    </xf>
    <xf numFmtId="0" fontId="77" fillId="0" borderId="44" xfId="184" applyFont="1" applyBorder="1" applyAlignment="1">
      <alignment horizontal="center" vertical="center"/>
    </xf>
    <xf numFmtId="0" fontId="77" fillId="0" borderId="78" xfId="184" applyFont="1" applyBorder="1" applyAlignment="1">
      <alignment horizontal="center" vertical="center"/>
    </xf>
    <xf numFmtId="0" fontId="16" fillId="0" borderId="1" xfId="184" applyBorder="1" applyAlignment="1">
      <alignment horizontal="center" vertical="center"/>
    </xf>
    <xf numFmtId="0" fontId="84" fillId="4" borderId="2" xfId="0" applyFont="1" applyFill="1" applyBorder="1" applyAlignment="1">
      <alignment horizontal="center" vertical="center"/>
    </xf>
    <xf numFmtId="0" fontId="100" fillId="0" borderId="0" xfId="184" applyFont="1" applyAlignment="1">
      <alignment horizontal="center" vertical="center"/>
    </xf>
    <xf numFmtId="0" fontId="3" fillId="0" borderId="0" xfId="207" applyAlignment="1">
      <alignment horizontal="center" vertical="center"/>
    </xf>
    <xf numFmtId="0" fontId="84" fillId="4" borderId="11" xfId="207" applyFont="1" applyFill="1" applyBorder="1" applyAlignment="1">
      <alignment horizontal="center" vertical="center"/>
    </xf>
    <xf numFmtId="0" fontId="77" fillId="0" borderId="44" xfId="207" applyFont="1" applyBorder="1" applyAlignment="1">
      <alignment horizontal="center" vertical="center"/>
    </xf>
    <xf numFmtId="0" fontId="77" fillId="0" borderId="78" xfId="207" applyFont="1" applyBorder="1" applyAlignment="1">
      <alignment horizontal="center" vertical="center"/>
    </xf>
    <xf numFmtId="0" fontId="3" fillId="0" borderId="21" xfId="207" applyBorder="1" applyAlignment="1">
      <alignment horizontal="right" vertical="center"/>
    </xf>
    <xf numFmtId="0" fontId="3" fillId="0" borderId="22" xfId="207" applyBorder="1" applyAlignment="1">
      <alignment horizontal="right" vertical="center"/>
    </xf>
    <xf numFmtId="0" fontId="3" fillId="0" borderId="16" xfId="207" applyBorder="1" applyAlignment="1">
      <alignment horizontal="right" vertical="center"/>
    </xf>
    <xf numFmtId="0" fontId="3" fillId="0" borderId="11" xfId="207" applyBorder="1" applyAlignment="1">
      <alignment horizontal="right" vertical="center"/>
    </xf>
    <xf numFmtId="0" fontId="56" fillId="4" borderId="18" xfId="207" applyFont="1" applyFill="1" applyBorder="1" applyAlignment="1">
      <alignment horizontal="right" vertical="center"/>
    </xf>
    <xf numFmtId="0" fontId="56" fillId="4" borderId="19" xfId="207" applyFont="1" applyFill="1" applyBorder="1" applyAlignment="1">
      <alignment horizontal="right" vertical="center"/>
    </xf>
    <xf numFmtId="43" fontId="49" fillId="4" borderId="11" xfId="209" applyFont="1" applyFill="1" applyBorder="1" applyAlignment="1">
      <alignment horizontal="center" vertical="center"/>
    </xf>
    <xf numFmtId="0" fontId="54" fillId="4" borderId="24" xfId="12" applyFont="1" applyFill="1" applyBorder="1" applyAlignment="1">
      <alignment horizontal="center" vertical="center"/>
    </xf>
    <xf numFmtId="0" fontId="54" fillId="4" borderId="60" xfId="12" applyFont="1" applyFill="1" applyBorder="1" applyAlignment="1">
      <alignment horizontal="center" vertical="center"/>
    </xf>
    <xf numFmtId="0" fontId="54" fillId="4" borderId="25" xfId="12" applyFont="1" applyFill="1" applyBorder="1" applyAlignment="1">
      <alignment horizontal="center" vertical="center"/>
    </xf>
    <xf numFmtId="0" fontId="57" fillId="2" borderId="11" xfId="12" applyFont="1" applyFill="1" applyBorder="1" applyAlignment="1">
      <alignment horizontal="left" vertical="center" wrapText="1"/>
    </xf>
    <xf numFmtId="0" fontId="57" fillId="2" borderId="19" xfId="12" applyFont="1" applyFill="1" applyBorder="1" applyAlignment="1">
      <alignment horizontal="left" vertical="center" wrapText="1"/>
    </xf>
    <xf numFmtId="0" fontId="54" fillId="2" borderId="16" xfId="12" applyFont="1" applyFill="1" applyBorder="1" applyAlignment="1">
      <alignment horizontal="left" vertical="center"/>
    </xf>
    <xf numFmtId="0" fontId="54" fillId="2" borderId="11" xfId="12" applyFont="1" applyFill="1" applyBorder="1" applyAlignment="1">
      <alignment horizontal="left" vertical="center"/>
    </xf>
    <xf numFmtId="0" fontId="54" fillId="3" borderId="11" xfId="12" applyFont="1" applyFill="1" applyBorder="1" applyAlignment="1">
      <alignment horizontal="center" vertical="center"/>
    </xf>
    <xf numFmtId="165" fontId="57" fillId="2" borderId="11" xfId="12" applyNumberFormat="1" applyFont="1" applyFill="1" applyBorder="1" applyAlignment="1">
      <alignment horizontal="center" vertical="center"/>
    </xf>
    <xf numFmtId="166" fontId="54" fillId="2" borderId="12" xfId="12" applyNumberFormat="1" applyFont="1" applyFill="1" applyBorder="1" applyAlignment="1">
      <alignment horizontal="center" vertical="center"/>
    </xf>
    <xf numFmtId="0" fontId="79" fillId="4" borderId="11" xfId="200" applyFont="1" applyFill="1" applyBorder="1" applyAlignment="1">
      <alignment horizontal="center" vertical="center"/>
    </xf>
    <xf numFmtId="0" fontId="79" fillId="0" borderId="11" xfId="200" applyFont="1" applyBorder="1" applyAlignment="1">
      <alignment horizontal="right" vertical="center"/>
    </xf>
    <xf numFmtId="0" fontId="79" fillId="4" borderId="3" xfId="183" applyFont="1" applyFill="1" applyBorder="1" applyAlignment="1">
      <alignment horizontal="center" vertical="center"/>
    </xf>
    <xf numFmtId="0" fontId="79" fillId="4" borderId="4" xfId="183" applyFont="1" applyFill="1" applyBorder="1" applyAlignment="1">
      <alignment horizontal="center" vertical="center"/>
    </xf>
    <xf numFmtId="0" fontId="79" fillId="4" borderId="5" xfId="183" applyFont="1" applyFill="1" applyBorder="1" applyAlignment="1">
      <alignment horizontal="center" vertical="center"/>
    </xf>
    <xf numFmtId="0" fontId="49" fillId="0" borderId="13" xfId="7" applyFont="1" applyBorder="1" applyAlignment="1">
      <alignment horizontal="right" vertical="center"/>
    </xf>
    <xf numFmtId="0" fontId="49" fillId="0" borderId="2" xfId="7" applyFont="1" applyBorder="1" applyAlignment="1">
      <alignment horizontal="right" vertical="center"/>
    </xf>
    <xf numFmtId="43" fontId="49" fillId="0" borderId="11" xfId="9" applyFont="1" applyFill="1" applyBorder="1" applyAlignment="1">
      <alignment horizontal="center" vertical="center"/>
    </xf>
    <xf numFmtId="0" fontId="49" fillId="4" borderId="13" xfId="7" applyFont="1" applyFill="1" applyBorder="1" applyAlignment="1">
      <alignment horizontal="center" vertical="center" wrapText="1"/>
    </xf>
    <xf numFmtId="0" fontId="49" fillId="4" borderId="2" xfId="7" applyFont="1" applyFill="1" applyBorder="1" applyAlignment="1">
      <alignment horizontal="center" vertical="center" wrapText="1"/>
    </xf>
    <xf numFmtId="0" fontId="49" fillId="4" borderId="10" xfId="7" applyFont="1" applyFill="1" applyBorder="1" applyAlignment="1">
      <alignment horizontal="center" vertical="center" wrapText="1"/>
    </xf>
    <xf numFmtId="0" fontId="49" fillId="4" borderId="11" xfId="7" applyFont="1" applyFill="1" applyBorder="1" applyAlignment="1">
      <alignment horizontal="center" vertical="center" wrapText="1"/>
    </xf>
    <xf numFmtId="0" fontId="49" fillId="4" borderId="11" xfId="8" applyFont="1" applyFill="1" applyBorder="1" applyAlignment="1">
      <alignment horizontal="center" vertical="center" wrapText="1"/>
    </xf>
    <xf numFmtId="2" fontId="49" fillId="4" borderId="11" xfId="8" applyNumberFormat="1" applyFont="1" applyFill="1" applyBorder="1" applyAlignment="1">
      <alignment horizontal="center" vertical="center" wrapText="1"/>
    </xf>
    <xf numFmtId="0" fontId="49" fillId="4" borderId="11" xfId="7" applyFont="1" applyFill="1" applyBorder="1" applyAlignment="1">
      <alignment horizontal="center" vertical="center"/>
    </xf>
    <xf numFmtId="4" fontId="49" fillId="4" borderId="13" xfId="9" applyNumberFormat="1" applyFont="1" applyFill="1" applyBorder="1" applyAlignment="1">
      <alignment horizontal="center" vertical="center"/>
    </xf>
    <xf numFmtId="4" fontId="49" fillId="4" borderId="2" xfId="9" applyNumberFormat="1" applyFont="1" applyFill="1" applyBorder="1" applyAlignment="1">
      <alignment horizontal="center" vertical="center"/>
    </xf>
    <xf numFmtId="4" fontId="49" fillId="4" borderId="10" xfId="9" applyNumberFormat="1" applyFont="1" applyFill="1" applyBorder="1" applyAlignment="1">
      <alignment horizontal="center" vertical="center"/>
    </xf>
    <xf numFmtId="0" fontId="56" fillId="0" borderId="32" xfId="175" applyFont="1" applyBorder="1" applyAlignment="1">
      <alignment horizontal="center" vertical="center"/>
    </xf>
    <xf numFmtId="0" fontId="57" fillId="0" borderId="6" xfId="175" applyFont="1" applyBorder="1" applyAlignment="1">
      <alignment horizontal="center" vertical="center"/>
    </xf>
    <xf numFmtId="0" fontId="57" fillId="0" borderId="8" xfId="175" applyFont="1" applyBorder="1" applyAlignment="1">
      <alignment horizontal="center" vertical="center"/>
    </xf>
    <xf numFmtId="0" fontId="57" fillId="0" borderId="9" xfId="175" applyFont="1" applyBorder="1" applyAlignment="1">
      <alignment horizontal="center" vertical="center"/>
    </xf>
    <xf numFmtId="0" fontId="50" fillId="0" borderId="47" xfId="177" applyFont="1" applyBorder="1" applyAlignment="1">
      <alignment horizontal="left" vertical="center" wrapText="1"/>
    </xf>
    <xf numFmtId="0" fontId="50" fillId="0" borderId="0" xfId="177" applyFont="1" applyAlignment="1">
      <alignment horizontal="left" vertical="center" wrapText="1"/>
    </xf>
    <xf numFmtId="0" fontId="69" fillId="6" borderId="6" xfId="175" applyFont="1" applyFill="1" applyBorder="1" applyAlignment="1">
      <alignment horizontal="center" vertical="center" wrapText="1"/>
    </xf>
    <xf numFmtId="0" fontId="69" fillId="6" borderId="8" xfId="175" applyFont="1" applyFill="1" applyBorder="1" applyAlignment="1">
      <alignment horizontal="center" vertical="center" wrapText="1"/>
    </xf>
    <xf numFmtId="0" fontId="69" fillId="6" borderId="9" xfId="175" applyFont="1" applyFill="1" applyBorder="1" applyAlignment="1">
      <alignment horizontal="center" vertical="center" wrapText="1"/>
    </xf>
    <xf numFmtId="0" fontId="68" fillId="4" borderId="22" xfId="175" applyFont="1" applyFill="1" applyBorder="1" applyAlignment="1">
      <alignment horizontal="center" vertical="center" wrapText="1"/>
    </xf>
    <xf numFmtId="0" fontId="68" fillId="4" borderId="11" xfId="175" applyFont="1" applyFill="1" applyBorder="1" applyAlignment="1">
      <alignment horizontal="center" vertical="center" wrapText="1"/>
    </xf>
    <xf numFmtId="0" fontId="68" fillId="4" borderId="11" xfId="175" applyFont="1" applyFill="1" applyBorder="1" applyAlignment="1">
      <alignment vertical="center"/>
    </xf>
    <xf numFmtId="0" fontId="68" fillId="4" borderId="62" xfId="175" applyFont="1" applyFill="1" applyBorder="1" applyAlignment="1">
      <alignment horizontal="center" vertical="center" wrapText="1"/>
    </xf>
    <xf numFmtId="0" fontId="68" fillId="4" borderId="28" xfId="175" applyFont="1" applyFill="1" applyBorder="1" applyAlignment="1">
      <alignment horizontal="center" vertical="center" wrapText="1"/>
    </xf>
    <xf numFmtId="10" fontId="68" fillId="4" borderId="22" xfId="176" applyNumberFormat="1" applyFont="1" applyFill="1" applyBorder="1" applyAlignment="1">
      <alignment horizontal="center" vertical="center" wrapText="1"/>
    </xf>
    <xf numFmtId="10" fontId="68" fillId="4" borderId="11" xfId="176" applyNumberFormat="1" applyFont="1" applyFill="1" applyBorder="1" applyAlignment="1">
      <alignment vertical="center"/>
    </xf>
    <xf numFmtId="0" fontId="49" fillId="8" borderId="11" xfId="175" applyFont="1" applyFill="1" applyBorder="1" applyAlignment="1">
      <alignment horizontal="center" vertical="center" wrapText="1"/>
    </xf>
    <xf numFmtId="49" fontId="49" fillId="2" borderId="0" xfId="177" applyNumberFormat="1" applyFont="1" applyFill="1" applyAlignment="1">
      <alignment horizontal="left" vertical="center"/>
    </xf>
    <xf numFmtId="4" fontId="49" fillId="2" borderId="0" xfId="177" applyNumberFormat="1" applyFont="1" applyFill="1" applyAlignment="1">
      <alignment horizontal="center" vertical="center"/>
    </xf>
    <xf numFmtId="0" fontId="68" fillId="6" borderId="39" xfId="175" applyFont="1" applyFill="1" applyBorder="1" applyAlignment="1">
      <alignment horizontal="center" vertical="center"/>
    </xf>
    <xf numFmtId="0" fontId="68" fillId="6" borderId="16" xfId="175" applyFont="1" applyFill="1" applyBorder="1" applyAlignment="1">
      <alignment horizontal="center" vertical="center"/>
    </xf>
    <xf numFmtId="0" fontId="71" fillId="7" borderId="22" xfId="175" applyFont="1" applyFill="1" applyBorder="1" applyAlignment="1">
      <alignment horizontal="center" vertical="center" wrapText="1"/>
    </xf>
    <xf numFmtId="0" fontId="71" fillId="7" borderId="22" xfId="175" applyFont="1" applyFill="1" applyBorder="1" applyAlignment="1">
      <alignment horizontal="center" vertical="center"/>
    </xf>
    <xf numFmtId="49" fontId="49" fillId="2" borderId="0" xfId="175" applyNumberFormat="1" applyFont="1" applyFill="1" applyAlignment="1">
      <alignment horizontal="left" vertical="center" wrapText="1"/>
    </xf>
    <xf numFmtId="0" fontId="74" fillId="2" borderId="11" xfId="8" applyFont="1" applyFill="1" applyBorder="1" applyAlignment="1">
      <alignment horizontal="center" vertical="center" wrapText="1"/>
    </xf>
    <xf numFmtId="39" fontId="68" fillId="4" borderId="28" xfId="175" applyNumberFormat="1" applyFont="1" applyFill="1" applyBorder="1" applyAlignment="1">
      <alignment horizontal="center" vertical="center" textRotation="90" wrapText="1"/>
    </xf>
    <xf numFmtId="39" fontId="68" fillId="4" borderId="11" xfId="175" applyNumberFormat="1" applyFont="1" applyFill="1" applyBorder="1" applyAlignment="1">
      <alignment horizontal="center" vertical="center" textRotation="90" wrapText="1"/>
    </xf>
    <xf numFmtId="39" fontId="68" fillId="4" borderId="28" xfId="175" applyNumberFormat="1" applyFont="1" applyFill="1" applyBorder="1" applyAlignment="1">
      <alignment horizontal="center" vertical="center" wrapText="1"/>
    </xf>
    <xf numFmtId="37" fontId="68" fillId="4" borderId="28" xfId="175" applyNumberFormat="1" applyFont="1" applyFill="1" applyBorder="1" applyAlignment="1">
      <alignment horizontal="center" vertical="center" wrapText="1"/>
    </xf>
    <xf numFmtId="37" fontId="68" fillId="4" borderId="28" xfId="175" applyNumberFormat="1" applyFont="1" applyFill="1" applyBorder="1" applyAlignment="1">
      <alignment horizontal="center" vertical="center" textRotation="90" wrapText="1"/>
    </xf>
    <xf numFmtId="37" fontId="68" fillId="4" borderId="11" xfId="175" applyNumberFormat="1" applyFont="1" applyFill="1" applyBorder="1" applyAlignment="1">
      <alignment horizontal="center" vertical="center" textRotation="90" wrapText="1"/>
    </xf>
    <xf numFmtId="49" fontId="49" fillId="2" borderId="0" xfId="178" applyNumberFormat="1" applyFont="1" applyFill="1" applyAlignment="1">
      <alignment horizontal="left" vertical="center"/>
    </xf>
    <xf numFmtId="0" fontId="74" fillId="0" borderId="0" xfId="175" applyFont="1" applyAlignment="1">
      <alignment horizontal="center" vertical="center"/>
    </xf>
    <xf numFmtId="49" fontId="49" fillId="6" borderId="40" xfId="175" applyNumberFormat="1" applyFont="1" applyFill="1" applyBorder="1" applyAlignment="1">
      <alignment horizontal="center" vertical="center" wrapText="1"/>
    </xf>
    <xf numFmtId="49" fontId="49" fillId="6" borderId="41" xfId="175" applyNumberFormat="1" applyFont="1" applyFill="1" applyBorder="1" applyAlignment="1">
      <alignment horizontal="center" vertical="center" wrapText="1"/>
    </xf>
    <xf numFmtId="49" fontId="49" fillId="6" borderId="42" xfId="175" applyNumberFormat="1" applyFont="1" applyFill="1" applyBorder="1" applyAlignment="1">
      <alignment horizontal="center" vertical="center" wrapText="1"/>
    </xf>
    <xf numFmtId="49" fontId="49" fillId="6" borderId="43" xfId="175" applyNumberFormat="1" applyFont="1" applyFill="1" applyBorder="1" applyAlignment="1">
      <alignment horizontal="center" vertical="center" wrapText="1"/>
    </xf>
    <xf numFmtId="0" fontId="68" fillId="2" borderId="0" xfId="175" applyFont="1" applyFill="1" applyAlignment="1">
      <alignment horizontal="center" vertical="center" wrapText="1"/>
    </xf>
    <xf numFmtId="0" fontId="68" fillId="2" borderId="0" xfId="175" applyFont="1" applyFill="1" applyAlignment="1">
      <alignment vertical="center"/>
    </xf>
    <xf numFmtId="0" fontId="101" fillId="12" borderId="0" xfId="175" applyFont="1" applyFill="1" applyAlignment="1">
      <alignment horizontal="center" vertical="center"/>
    </xf>
    <xf numFmtId="0" fontId="98" fillId="12" borderId="0" xfId="175" applyFont="1" applyFill="1" applyAlignment="1">
      <alignment horizontal="center" vertical="center"/>
    </xf>
    <xf numFmtId="0" fontId="68" fillId="4" borderId="22" xfId="175" applyFont="1" applyFill="1" applyBorder="1" applyAlignment="1">
      <alignment vertical="center"/>
    </xf>
    <xf numFmtId="0" fontId="68" fillId="4" borderId="49" xfId="175" applyFont="1" applyFill="1" applyBorder="1" applyAlignment="1">
      <alignment horizontal="center" vertical="center" wrapText="1"/>
    </xf>
    <xf numFmtId="0" fontId="68" fillId="4" borderId="38" xfId="175" applyFont="1" applyFill="1" applyBorder="1" applyAlignment="1">
      <alignment horizontal="center" vertical="center" wrapText="1"/>
    </xf>
    <xf numFmtId="0" fontId="68" fillId="4" borderId="36" xfId="175" applyFont="1" applyFill="1" applyBorder="1" applyAlignment="1">
      <alignment horizontal="center" vertical="center" wrapText="1"/>
    </xf>
    <xf numFmtId="0" fontId="71" fillId="9" borderId="22" xfId="175" applyFont="1" applyFill="1" applyBorder="1" applyAlignment="1">
      <alignment horizontal="center" vertical="center" wrapText="1"/>
    </xf>
    <xf numFmtId="0" fontId="71" fillId="9" borderId="22" xfId="175" applyFont="1" applyFill="1" applyBorder="1" applyAlignment="1">
      <alignment horizontal="center" vertical="center"/>
    </xf>
    <xf numFmtId="0" fontId="68" fillId="4" borderId="23" xfId="175" applyFont="1" applyFill="1" applyBorder="1" applyAlignment="1">
      <alignment vertical="center"/>
    </xf>
    <xf numFmtId="49" fontId="68" fillId="6" borderId="7" xfId="175" applyNumberFormat="1" applyFont="1" applyFill="1" applyBorder="1" applyAlignment="1">
      <alignment horizontal="center" vertical="center" textRotation="90" wrapText="1"/>
    </xf>
    <xf numFmtId="49" fontId="68" fillId="6" borderId="80" xfId="175" applyNumberFormat="1" applyFont="1" applyFill="1" applyBorder="1" applyAlignment="1">
      <alignment horizontal="center" vertical="center" textRotation="90" wrapText="1"/>
    </xf>
    <xf numFmtId="0" fontId="68" fillId="4" borderId="36" xfId="175" applyFont="1" applyFill="1" applyBorder="1" applyAlignment="1">
      <alignment horizontal="center" vertical="center" textRotation="90" wrapText="1"/>
    </xf>
    <xf numFmtId="0" fontId="68" fillId="4" borderId="10" xfId="175" applyFont="1" applyFill="1" applyBorder="1" applyAlignment="1">
      <alignment vertical="center"/>
    </xf>
    <xf numFmtId="39" fontId="68" fillId="4" borderId="29" xfId="175" applyNumberFormat="1" applyFont="1" applyFill="1" applyBorder="1" applyAlignment="1">
      <alignment horizontal="center" vertical="center" textRotation="90" wrapText="1"/>
    </xf>
    <xf numFmtId="39" fontId="68" fillId="4" borderId="12" xfId="175" applyNumberFormat="1" applyFont="1" applyFill="1" applyBorder="1" applyAlignment="1">
      <alignment horizontal="center" vertical="center" textRotation="90" wrapText="1"/>
    </xf>
    <xf numFmtId="0" fontId="66" fillId="4" borderId="22" xfId="175" applyFont="1" applyFill="1" applyBorder="1" applyAlignment="1">
      <alignment horizontal="center" vertical="center" wrapText="1"/>
    </xf>
    <xf numFmtId="0" fontId="66" fillId="4" borderId="11" xfId="175" applyFont="1" applyFill="1" applyBorder="1" applyAlignment="1">
      <alignment vertical="center"/>
    </xf>
    <xf numFmtId="39" fontId="68" fillId="4" borderId="42" xfId="175" applyNumberFormat="1" applyFont="1" applyFill="1" applyBorder="1" applyAlignment="1">
      <alignment horizontal="center" vertical="center" textRotation="90" wrapText="1"/>
    </xf>
    <xf numFmtId="39" fontId="68" fillId="4" borderId="13" xfId="175" applyNumberFormat="1" applyFont="1" applyFill="1" applyBorder="1" applyAlignment="1">
      <alignment horizontal="center" vertical="center" textRotation="90" wrapText="1"/>
    </xf>
    <xf numFmtId="39" fontId="74" fillId="13" borderId="0" xfId="175" applyNumberFormat="1" applyFont="1" applyFill="1" applyAlignment="1">
      <alignment horizontal="center" vertical="center" wrapText="1"/>
    </xf>
    <xf numFmtId="39" fontId="112" fillId="11" borderId="0" xfId="175" applyNumberFormat="1" applyFont="1" applyFill="1" applyAlignment="1">
      <alignment horizontal="center" vertical="center" wrapText="1"/>
    </xf>
    <xf numFmtId="37" fontId="49" fillId="2" borderId="11" xfId="175" applyNumberFormat="1" applyFont="1" applyFill="1" applyBorder="1" applyAlignment="1">
      <alignment horizontal="left" vertical="center" wrapText="1"/>
    </xf>
    <xf numFmtId="0" fontId="54" fillId="6" borderId="13" xfId="175" applyFont="1" applyFill="1" applyBorder="1" applyAlignment="1">
      <alignment horizontal="center" vertical="center"/>
    </xf>
    <xf numFmtId="0" fontId="54" fillId="6" borderId="2" xfId="175" applyFont="1" applyFill="1" applyBorder="1" applyAlignment="1">
      <alignment horizontal="center" vertical="center"/>
    </xf>
    <xf numFmtId="0" fontId="54" fillId="6" borderId="10" xfId="175" applyFont="1" applyFill="1" applyBorder="1" applyAlignment="1">
      <alignment horizontal="center" vertical="center"/>
    </xf>
    <xf numFmtId="0" fontId="56" fillId="4" borderId="21" xfId="174" applyFont="1" applyFill="1" applyBorder="1" applyAlignment="1">
      <alignment horizontal="center" vertical="center" wrapText="1"/>
    </xf>
    <xf numFmtId="0" fontId="56" fillId="4" borderId="22" xfId="174" applyFont="1" applyFill="1" applyBorder="1" applyAlignment="1">
      <alignment horizontal="center" vertical="center" wrapText="1"/>
    </xf>
    <xf numFmtId="0" fontId="56" fillId="4" borderId="49" xfId="174" applyFont="1" applyFill="1" applyBorder="1" applyAlignment="1">
      <alignment horizontal="center" vertical="center" wrapText="1"/>
    </xf>
    <xf numFmtId="0" fontId="56" fillId="4" borderId="23" xfId="174" applyFont="1" applyFill="1" applyBorder="1" applyAlignment="1">
      <alignment horizontal="center" vertical="center" wrapText="1"/>
    </xf>
    <xf numFmtId="0" fontId="55" fillId="2" borderId="50" xfId="174" applyFont="1" applyFill="1" applyBorder="1" applyAlignment="1">
      <alignment horizontal="center" vertical="center" textRotation="90"/>
    </xf>
    <xf numFmtId="0" fontId="56" fillId="4" borderId="21" xfId="220" applyFont="1" applyFill="1" applyBorder="1" applyAlignment="1">
      <alignment horizontal="center" vertical="center" wrapText="1"/>
    </xf>
    <xf numFmtId="0" fontId="56" fillId="4" borderId="22" xfId="220" applyFont="1" applyFill="1" applyBorder="1" applyAlignment="1">
      <alignment horizontal="center" vertical="center" wrapText="1"/>
    </xf>
    <xf numFmtId="0" fontId="56" fillId="4" borderId="49" xfId="220" applyFont="1" applyFill="1" applyBorder="1" applyAlignment="1">
      <alignment horizontal="center" vertical="center" wrapText="1"/>
    </xf>
    <xf numFmtId="0" fontId="56" fillId="4" borderId="23" xfId="220" applyFont="1" applyFill="1" applyBorder="1" applyAlignment="1">
      <alignment horizontal="center" vertical="center" wrapText="1"/>
    </xf>
    <xf numFmtId="0" fontId="55" fillId="2" borderId="50" xfId="220" applyFont="1" applyFill="1" applyBorder="1" applyAlignment="1">
      <alignment horizontal="center" vertical="center" textRotation="90"/>
    </xf>
    <xf numFmtId="0" fontId="79" fillId="2" borderId="3" xfId="202" applyFont="1" applyFill="1" applyBorder="1" applyAlignment="1">
      <alignment horizontal="center" vertical="center"/>
    </xf>
    <xf numFmtId="0" fontId="79" fillId="2" borderId="4" xfId="202" applyFont="1" applyFill="1" applyBorder="1" applyAlignment="1">
      <alignment horizontal="center" vertical="center"/>
    </xf>
    <xf numFmtId="0" fontId="79" fillId="2" borderId="5" xfId="202" applyFont="1" applyFill="1" applyBorder="1" applyAlignment="1">
      <alignment horizontal="center" vertical="center"/>
    </xf>
    <xf numFmtId="169" fontId="49" fillId="4" borderId="7" xfId="202" applyNumberFormat="1" applyFont="1" applyFill="1" applyBorder="1" applyAlignment="1">
      <alignment horizontal="center" vertical="center"/>
    </xf>
    <xf numFmtId="169" fontId="49" fillId="4" borderId="80" xfId="202" applyNumberFormat="1" applyFont="1" applyFill="1" applyBorder="1" applyAlignment="1">
      <alignment horizontal="center" vertical="center"/>
    </xf>
    <xf numFmtId="0" fontId="79" fillId="4" borderId="3" xfId="202" applyFont="1" applyFill="1" applyBorder="1" applyAlignment="1">
      <alignment horizontal="center" vertical="center"/>
    </xf>
    <xf numFmtId="0" fontId="79" fillId="4" borderId="4" xfId="202" applyFont="1" applyFill="1" applyBorder="1" applyAlignment="1">
      <alignment horizontal="center" vertical="center"/>
    </xf>
    <xf numFmtId="0" fontId="79" fillId="4" borderId="5" xfId="202" applyFont="1" applyFill="1" applyBorder="1" applyAlignment="1">
      <alignment horizontal="center" vertical="center"/>
    </xf>
    <xf numFmtId="169" fontId="49" fillId="4" borderId="11" xfId="204" applyNumberFormat="1" applyFont="1" applyFill="1" applyBorder="1" applyAlignment="1">
      <alignment horizontal="center" vertical="center"/>
    </xf>
    <xf numFmtId="169" fontId="49" fillId="4" borderId="13" xfId="204" applyNumberFormat="1" applyFont="1" applyFill="1" applyBorder="1" applyAlignment="1">
      <alignment horizontal="center" vertical="center"/>
    </xf>
    <xf numFmtId="169" fontId="49" fillId="4" borderId="10" xfId="204" applyNumberFormat="1" applyFont="1" applyFill="1" applyBorder="1" applyAlignment="1">
      <alignment horizontal="center" vertical="center"/>
    </xf>
    <xf numFmtId="0" fontId="79" fillId="2" borderId="13" xfId="204" applyFont="1" applyFill="1" applyBorder="1" applyAlignment="1">
      <alignment horizontal="center" vertical="center"/>
    </xf>
    <xf numFmtId="0" fontId="79" fillId="2" borderId="2" xfId="204" applyFont="1" applyFill="1" applyBorder="1" applyAlignment="1">
      <alignment horizontal="center" vertical="center"/>
    </xf>
    <xf numFmtId="0" fontId="79" fillId="2" borderId="10" xfId="204" applyFont="1" applyFill="1" applyBorder="1" applyAlignment="1">
      <alignment horizontal="center" vertical="center"/>
    </xf>
    <xf numFmtId="0" fontId="84" fillId="2" borderId="11" xfId="204" applyFont="1" applyFill="1" applyBorder="1" applyAlignment="1">
      <alignment horizontal="center" vertical="center"/>
    </xf>
    <xf numFmtId="0" fontId="50" fillId="2" borderId="13" xfId="8" applyFont="1" applyFill="1" applyBorder="1" applyAlignment="1">
      <alignment horizontal="center" vertical="center" wrapText="1"/>
    </xf>
    <xf numFmtId="0" fontId="50" fillId="2" borderId="10" xfId="8" applyFont="1" applyFill="1" applyBorder="1" applyAlignment="1">
      <alignment horizontal="center" vertical="center" wrapText="1"/>
    </xf>
    <xf numFmtId="0" fontId="84" fillId="2" borderId="13" xfId="204" applyFont="1" applyFill="1" applyBorder="1" applyAlignment="1">
      <alignment horizontal="center" vertical="center"/>
    </xf>
    <xf numFmtId="0" fontId="84" fillId="2" borderId="2" xfId="204" applyFont="1" applyFill="1" applyBorder="1" applyAlignment="1">
      <alignment horizontal="center" vertical="center"/>
    </xf>
    <xf numFmtId="0" fontId="77" fillId="0" borderId="13" xfId="204" applyFont="1" applyBorder="1" applyAlignment="1">
      <alignment horizontal="center" vertical="center"/>
    </xf>
    <xf numFmtId="0" fontId="77" fillId="0" borderId="2" xfId="204" applyFont="1" applyBorder="1" applyAlignment="1">
      <alignment horizontal="center" vertical="center"/>
    </xf>
    <xf numFmtId="0" fontId="77" fillId="0" borderId="10" xfId="204" applyFont="1" applyBorder="1" applyAlignment="1">
      <alignment horizontal="center" vertical="center"/>
    </xf>
    <xf numFmtId="0" fontId="84" fillId="2" borderId="10" xfId="204" applyFont="1" applyFill="1" applyBorder="1" applyAlignment="1">
      <alignment horizontal="center" vertical="center"/>
    </xf>
    <xf numFmtId="0" fontId="54" fillId="4" borderId="24" xfId="7" applyFont="1" applyFill="1" applyBorder="1" applyAlignment="1">
      <alignment horizontal="center" vertical="center"/>
    </xf>
    <xf numFmtId="0" fontId="54" fillId="4" borderId="60" xfId="7" applyFont="1" applyFill="1" applyBorder="1" applyAlignment="1">
      <alignment horizontal="center" vertical="center"/>
    </xf>
    <xf numFmtId="0" fontId="54" fillId="4" borderId="25" xfId="7" applyFont="1" applyFill="1" applyBorder="1" applyAlignment="1">
      <alignment horizontal="center" vertical="center"/>
    </xf>
    <xf numFmtId="0" fontId="49" fillId="4" borderId="39" xfId="7" applyFont="1" applyFill="1" applyBorder="1" applyAlignment="1">
      <alignment horizontal="center" vertical="center" wrapText="1"/>
    </xf>
    <xf numFmtId="0" fontId="49" fillId="4" borderId="16" xfId="7" applyFont="1" applyFill="1" applyBorder="1" applyAlignment="1">
      <alignment horizontal="center" vertical="center" wrapText="1"/>
    </xf>
    <xf numFmtId="0" fontId="49" fillId="4" borderId="28" xfId="8" applyFont="1" applyFill="1" applyBorder="1" applyAlignment="1">
      <alignment horizontal="center" vertical="center" wrapText="1"/>
    </xf>
    <xf numFmtId="2" fontId="49" fillId="4" borderId="28" xfId="8" applyNumberFormat="1" applyFont="1" applyFill="1" applyBorder="1" applyAlignment="1">
      <alignment horizontal="center" vertical="center" wrapText="1"/>
    </xf>
    <xf numFmtId="0" fontId="49" fillId="4" borderId="28" xfId="7" applyFont="1" applyFill="1" applyBorder="1" applyAlignment="1">
      <alignment horizontal="center" vertical="center" wrapText="1"/>
    </xf>
    <xf numFmtId="0" fontId="49" fillId="4" borderId="29" xfId="7" applyFont="1" applyFill="1" applyBorder="1" applyAlignment="1">
      <alignment horizontal="center" vertical="center" wrapText="1"/>
    </xf>
    <xf numFmtId="0" fontId="49" fillId="4" borderId="12" xfId="7" applyFont="1" applyFill="1" applyBorder="1" applyAlignment="1">
      <alignment horizontal="center" vertical="center" wrapText="1"/>
    </xf>
    <xf numFmtId="4" fontId="49" fillId="0" borderId="19" xfId="9" applyNumberFormat="1" applyFont="1" applyFill="1" applyBorder="1" applyAlignment="1">
      <alignment horizontal="center" vertical="center"/>
    </xf>
    <xf numFmtId="4" fontId="50" fillId="0" borderId="30" xfId="9" applyNumberFormat="1" applyFont="1" applyFill="1" applyBorder="1" applyAlignment="1">
      <alignment horizontal="center" vertical="center"/>
    </xf>
    <xf numFmtId="4" fontId="50" fillId="0" borderId="28" xfId="9" applyNumberFormat="1" applyFont="1" applyFill="1" applyBorder="1" applyAlignment="1">
      <alignment horizontal="center" vertical="center"/>
    </xf>
    <xf numFmtId="0" fontId="74" fillId="0" borderId="0" xfId="191" applyFont="1" applyAlignment="1">
      <alignment horizontal="center" vertical="center"/>
    </xf>
    <xf numFmtId="43" fontId="49" fillId="0" borderId="19" xfId="9" applyFont="1" applyFill="1" applyBorder="1" applyAlignment="1">
      <alignment horizontal="center" vertical="center"/>
    </xf>
    <xf numFmtId="0" fontId="49" fillId="4" borderId="3" xfId="7" applyFont="1" applyFill="1" applyBorder="1" applyAlignment="1">
      <alignment horizontal="center" vertical="center" wrapText="1"/>
    </xf>
    <xf numFmtId="0" fontId="49" fillId="4" borderId="5" xfId="7" applyFont="1" applyFill="1" applyBorder="1" applyAlignment="1">
      <alignment horizontal="center" vertical="center" wrapText="1"/>
    </xf>
    <xf numFmtId="0" fontId="49" fillId="4" borderId="4" xfId="7" applyFont="1" applyFill="1" applyBorder="1" applyAlignment="1">
      <alignment horizontal="center" vertical="center" wrapText="1"/>
    </xf>
    <xf numFmtId="43" fontId="49" fillId="0" borderId="0" xfId="9" applyFont="1" applyFill="1" applyAlignment="1">
      <alignment horizontal="right" vertical="center"/>
    </xf>
    <xf numFmtId="43" fontId="49" fillId="0" borderId="24" xfId="9" applyFont="1" applyFill="1" applyBorder="1" applyAlignment="1">
      <alignment horizontal="center" vertical="center"/>
    </xf>
    <xf numFmtId="43" fontId="49" fillId="0" borderId="60" xfId="9" applyFont="1" applyFill="1" applyBorder="1" applyAlignment="1">
      <alignment horizontal="center" vertical="center"/>
    </xf>
    <xf numFmtId="4" fontId="49" fillId="0" borderId="60" xfId="9" applyNumberFormat="1" applyFont="1" applyFill="1" applyBorder="1" applyAlignment="1">
      <alignment horizontal="center" vertical="center"/>
    </xf>
    <xf numFmtId="4" fontId="49" fillId="0" borderId="24" xfId="9" applyNumberFormat="1" applyFont="1" applyFill="1" applyBorder="1" applyAlignment="1">
      <alignment horizontal="center" vertical="center"/>
    </xf>
    <xf numFmtId="0" fontId="56" fillId="2" borderId="3" xfId="7" applyFont="1" applyFill="1" applyBorder="1" applyAlignment="1">
      <alignment horizontal="center" vertical="center"/>
    </xf>
    <xf numFmtId="0" fontId="56" fillId="2" borderId="4" xfId="7" applyFont="1" applyFill="1" applyBorder="1" applyAlignment="1">
      <alignment horizontal="center" vertical="center"/>
    </xf>
    <xf numFmtId="0" fontId="56" fillId="2" borderId="5" xfId="7" applyFont="1" applyFill="1" applyBorder="1" applyAlignment="1">
      <alignment horizontal="center" vertical="center"/>
    </xf>
    <xf numFmtId="0" fontId="49" fillId="4" borderId="3" xfId="7" applyFont="1" applyFill="1" applyBorder="1" applyAlignment="1">
      <alignment horizontal="center" vertical="center"/>
    </xf>
    <xf numFmtId="0" fontId="49" fillId="4" borderId="4" xfId="7" applyFont="1" applyFill="1" applyBorder="1" applyAlignment="1">
      <alignment horizontal="center" vertical="center"/>
    </xf>
    <xf numFmtId="0" fontId="49" fillId="4" borderId="5" xfId="7" applyFont="1" applyFill="1" applyBorder="1" applyAlignment="1">
      <alignment horizontal="center" vertical="center"/>
    </xf>
    <xf numFmtId="0" fontId="49" fillId="4" borderId="6" xfId="7" applyFont="1" applyFill="1" applyBorder="1" applyAlignment="1">
      <alignment horizontal="center" vertical="center" wrapText="1"/>
    </xf>
    <xf numFmtId="0" fontId="49" fillId="4" borderId="47" xfId="7" applyFont="1" applyFill="1" applyBorder="1" applyAlignment="1">
      <alignment horizontal="center" vertical="center" wrapText="1"/>
    </xf>
    <xf numFmtId="0" fontId="49" fillId="4" borderId="63" xfId="7" applyFont="1" applyFill="1" applyBorder="1" applyAlignment="1">
      <alignment horizontal="center" vertical="center" wrapText="1"/>
    </xf>
    <xf numFmtId="0" fontId="49" fillId="4" borderId="3" xfId="8" applyFont="1" applyFill="1" applyBorder="1" applyAlignment="1">
      <alignment horizontal="center" vertical="center" wrapText="1"/>
    </xf>
    <xf numFmtId="0" fontId="49" fillId="4" borderId="4" xfId="8" applyFont="1" applyFill="1" applyBorder="1" applyAlignment="1">
      <alignment horizontal="center" vertical="center" wrapText="1"/>
    </xf>
    <xf numFmtId="0" fontId="49" fillId="4" borderId="5" xfId="8" applyFont="1" applyFill="1" applyBorder="1" applyAlignment="1">
      <alignment horizontal="center" vertical="center" wrapText="1"/>
    </xf>
    <xf numFmtId="2" fontId="49" fillId="4" borderId="92" xfId="8" applyNumberFormat="1" applyFont="1" applyFill="1" applyBorder="1" applyAlignment="1">
      <alignment horizontal="center" vertical="center" wrapText="1"/>
    </xf>
    <xf numFmtId="2" fontId="49" fillId="4" borderId="94" xfId="8" applyNumberFormat="1" applyFont="1" applyFill="1" applyBorder="1" applyAlignment="1">
      <alignment horizontal="center" vertical="center" wrapText="1"/>
    </xf>
    <xf numFmtId="0" fontId="49" fillId="4" borderId="93" xfId="8" applyFont="1" applyFill="1" applyBorder="1" applyAlignment="1">
      <alignment horizontal="center" vertical="center" wrapText="1"/>
    </xf>
    <xf numFmtId="0" fontId="49" fillId="4" borderId="95" xfId="8" applyFont="1" applyFill="1" applyBorder="1" applyAlignment="1">
      <alignment horizontal="center" vertical="center" wrapText="1"/>
    </xf>
    <xf numFmtId="0" fontId="49" fillId="4" borderId="6" xfId="8" applyFont="1" applyFill="1" applyBorder="1" applyAlignment="1">
      <alignment horizontal="center" vertical="center" wrapText="1"/>
    </xf>
    <xf numFmtId="0" fontId="49" fillId="4" borderId="47" xfId="8" applyFont="1" applyFill="1" applyBorder="1" applyAlignment="1">
      <alignment horizontal="center" vertical="center"/>
    </xf>
    <xf numFmtId="0" fontId="49" fillId="4" borderId="8" xfId="7" applyFont="1" applyFill="1" applyBorder="1" applyAlignment="1">
      <alignment horizontal="center" vertical="center" wrapText="1"/>
    </xf>
    <xf numFmtId="0" fontId="49" fillId="4" borderId="9" xfId="7" applyFont="1" applyFill="1" applyBorder="1" applyAlignment="1">
      <alignment horizontal="center" vertical="center" wrapText="1"/>
    </xf>
    <xf numFmtId="0" fontId="49" fillId="4" borderId="43" xfId="7" applyFont="1" applyFill="1" applyBorder="1" applyAlignment="1">
      <alignment horizontal="center" vertical="center" wrapText="1"/>
    </xf>
    <xf numFmtId="0" fontId="49" fillId="4" borderId="44" xfId="7" applyFont="1" applyFill="1" applyBorder="1" applyAlignment="1">
      <alignment horizontal="center" vertical="center" wrapText="1"/>
    </xf>
    <xf numFmtId="0" fontId="49" fillId="4" borderId="42" xfId="7" applyFont="1" applyFill="1" applyBorder="1" applyAlignment="1">
      <alignment horizontal="center" vertical="center" wrapText="1"/>
    </xf>
    <xf numFmtId="0" fontId="49" fillId="4" borderId="54" xfId="7" applyFont="1" applyFill="1" applyBorder="1" applyAlignment="1">
      <alignment horizontal="center" vertical="center" wrapText="1"/>
    </xf>
    <xf numFmtId="0" fontId="49" fillId="4" borderId="8" xfId="8" applyFont="1" applyFill="1" applyBorder="1" applyAlignment="1">
      <alignment horizontal="center" vertical="center" wrapText="1"/>
    </xf>
    <xf numFmtId="0" fontId="49" fillId="4" borderId="9" xfId="8" applyFont="1" applyFill="1" applyBorder="1" applyAlignment="1">
      <alignment horizontal="center" vertical="center" wrapText="1"/>
    </xf>
    <xf numFmtId="0" fontId="49" fillId="4" borderId="45" xfId="8" applyFont="1" applyFill="1" applyBorder="1" applyAlignment="1">
      <alignment horizontal="center" vertical="center" wrapText="1"/>
    </xf>
    <xf numFmtId="0" fontId="49" fillId="4" borderId="32" xfId="8" applyFont="1" applyFill="1" applyBorder="1" applyAlignment="1">
      <alignment horizontal="center" vertical="center" wrapText="1"/>
    </xf>
    <xf numFmtId="0" fontId="49" fillId="4" borderId="46" xfId="8" applyFont="1" applyFill="1" applyBorder="1" applyAlignment="1">
      <alignment horizontal="center" vertical="center" wrapText="1"/>
    </xf>
    <xf numFmtId="2" fontId="55" fillId="0" borderId="64" xfId="195" applyNumberFormat="1" applyFont="1" applyBorder="1" applyAlignment="1">
      <alignment horizontal="center" vertical="center" wrapText="1"/>
    </xf>
    <xf numFmtId="2" fontId="55" fillId="0" borderId="84" xfId="195" applyNumberFormat="1" applyFont="1" applyBorder="1" applyAlignment="1">
      <alignment horizontal="center" vertical="center" wrapText="1"/>
    </xf>
    <xf numFmtId="2" fontId="55" fillId="0" borderId="88" xfId="195" applyNumberFormat="1" applyFont="1" applyBorder="1" applyAlignment="1">
      <alignment horizontal="center" vertical="center" wrapText="1"/>
    </xf>
    <xf numFmtId="4" fontId="55" fillId="0" borderId="61" xfId="196" applyNumberFormat="1" applyFont="1" applyFill="1" applyBorder="1" applyAlignment="1">
      <alignment horizontal="center" vertical="center"/>
    </xf>
    <xf numFmtId="4" fontId="55" fillId="0" borderId="51" xfId="196" applyNumberFormat="1" applyFont="1" applyFill="1" applyBorder="1" applyAlignment="1">
      <alignment horizontal="center" vertical="center"/>
    </xf>
    <xf numFmtId="4" fontId="55" fillId="0" borderId="87" xfId="196" applyNumberFormat="1" applyFont="1" applyFill="1" applyBorder="1" applyAlignment="1">
      <alignment horizontal="center" vertical="center"/>
    </xf>
    <xf numFmtId="4" fontId="55" fillId="0" borderId="62" xfId="196" applyNumberFormat="1" applyFont="1" applyFill="1" applyBorder="1" applyAlignment="1">
      <alignment horizontal="center" vertical="center"/>
    </xf>
    <xf numFmtId="4" fontId="55" fillId="0" borderId="44" xfId="196" applyNumberFormat="1" applyFont="1" applyFill="1" applyBorder="1" applyAlignment="1">
      <alignment horizontal="center" vertical="center"/>
    </xf>
    <xf numFmtId="4" fontId="55" fillId="0" borderId="52" xfId="196" applyNumberFormat="1" applyFont="1" applyFill="1" applyBorder="1" applyAlignment="1">
      <alignment horizontal="center" vertical="center"/>
    </xf>
    <xf numFmtId="4" fontId="55" fillId="0" borderId="62" xfId="8" applyNumberFormat="1" applyFont="1" applyBorder="1" applyAlignment="1">
      <alignment horizontal="center" vertical="center"/>
    </xf>
    <xf numFmtId="4" fontId="55" fillId="0" borderId="44" xfId="8" applyNumberFormat="1" applyFont="1" applyBorder="1" applyAlignment="1">
      <alignment horizontal="center" vertical="center"/>
    </xf>
    <xf numFmtId="4" fontId="55" fillId="0" borderId="52" xfId="8" applyNumberFormat="1" applyFont="1" applyBorder="1" applyAlignment="1">
      <alignment horizontal="center" vertical="center"/>
    </xf>
    <xf numFmtId="2" fontId="55" fillId="0" borderId="62" xfId="195" applyNumberFormat="1" applyFont="1" applyBorder="1" applyAlignment="1">
      <alignment horizontal="center" vertical="center" wrapText="1"/>
    </xf>
    <xf numFmtId="2" fontId="55" fillId="0" borderId="52" xfId="195" applyNumberFormat="1" applyFont="1" applyBorder="1" applyAlignment="1">
      <alignment horizontal="center" vertical="center" wrapText="1"/>
    </xf>
    <xf numFmtId="164" fontId="55" fillId="0" borderId="62" xfId="195" applyNumberFormat="1" applyFont="1" applyBorder="1" applyAlignment="1">
      <alignment horizontal="center" vertical="center" wrapText="1"/>
    </xf>
    <xf numFmtId="164" fontId="55" fillId="0" borderId="52" xfId="195" applyNumberFormat="1" applyFont="1" applyBorder="1" applyAlignment="1">
      <alignment horizontal="center" vertical="center" wrapText="1"/>
    </xf>
    <xf numFmtId="0" fontId="81" fillId="4" borderId="61" xfId="194" applyFont="1" applyFill="1" applyBorder="1" applyAlignment="1">
      <alignment horizontal="center" vertical="center"/>
    </xf>
    <xf numFmtId="0" fontId="81" fillId="4" borderId="62" xfId="194" applyFont="1" applyFill="1" applyBorder="1" applyAlignment="1">
      <alignment horizontal="center" vertical="center"/>
    </xf>
    <xf numFmtId="0" fontId="81" fillId="4" borderId="64" xfId="194" applyFont="1" applyFill="1" applyBorder="1" applyAlignment="1">
      <alignment horizontal="center" vertical="center"/>
    </xf>
    <xf numFmtId="0" fontId="56" fillId="4" borderId="21" xfId="194" applyFont="1" applyFill="1" applyBorder="1" applyAlignment="1">
      <alignment horizontal="center" vertical="center"/>
    </xf>
    <xf numFmtId="0" fontId="56" fillId="4" borderId="16" xfId="194" applyFont="1" applyFill="1" applyBorder="1" applyAlignment="1">
      <alignment horizontal="center" vertical="center"/>
    </xf>
    <xf numFmtId="0" fontId="56" fillId="4" borderId="17" xfId="194" applyFont="1" applyFill="1" applyBorder="1" applyAlignment="1">
      <alignment horizontal="center" vertical="center"/>
    </xf>
    <xf numFmtId="0" fontId="56" fillId="4" borderId="22" xfId="194" applyFont="1" applyFill="1" applyBorder="1" applyAlignment="1">
      <alignment horizontal="center" vertical="center"/>
    </xf>
    <xf numFmtId="0" fontId="56" fillId="4" borderId="30" xfId="194" applyFont="1" applyFill="1" applyBorder="1" applyAlignment="1">
      <alignment horizontal="center" vertical="center"/>
    </xf>
    <xf numFmtId="0" fontId="56" fillId="4" borderId="22" xfId="194" applyFont="1" applyFill="1" applyBorder="1" applyAlignment="1">
      <alignment horizontal="center" vertical="center" wrapText="1"/>
    </xf>
    <xf numFmtId="0" fontId="56" fillId="4" borderId="11" xfId="194" applyFont="1" applyFill="1" applyBorder="1" applyAlignment="1">
      <alignment horizontal="center" vertical="center" wrapText="1"/>
    </xf>
    <xf numFmtId="0" fontId="56" fillId="4" borderId="23" xfId="194" applyFont="1" applyFill="1" applyBorder="1" applyAlignment="1">
      <alignment horizontal="center" vertical="center" wrapText="1"/>
    </xf>
    <xf numFmtId="0" fontId="56" fillId="4" borderId="12" xfId="194" applyFont="1" applyFill="1" applyBorder="1" applyAlignment="1">
      <alignment horizontal="center" vertical="center" wrapText="1"/>
    </xf>
    <xf numFmtId="0" fontId="56" fillId="4" borderId="62" xfId="194" applyFont="1" applyFill="1" applyBorder="1" applyAlignment="1">
      <alignment horizontal="center" vertical="center" wrapText="1"/>
    </xf>
    <xf numFmtId="0" fontId="56" fillId="4" borderId="28" xfId="194" applyFont="1" applyFill="1" applyBorder="1" applyAlignment="1">
      <alignment horizontal="center" vertical="center" wrapText="1"/>
    </xf>
    <xf numFmtId="0" fontId="56" fillId="4" borderId="21" xfId="194" applyFont="1" applyFill="1" applyBorder="1" applyAlignment="1">
      <alignment horizontal="center" vertical="center" wrapText="1"/>
    </xf>
    <xf numFmtId="0" fontId="56" fillId="4" borderId="23" xfId="194" applyFont="1" applyFill="1" applyBorder="1" applyAlignment="1">
      <alignment horizontal="center" vertical="center"/>
    </xf>
    <xf numFmtId="0" fontId="56" fillId="4" borderId="16" xfId="194" applyFont="1" applyFill="1" applyBorder="1" applyAlignment="1">
      <alignment horizontal="center" vertical="center" wrapText="1"/>
    </xf>
    <xf numFmtId="2" fontId="55" fillId="0" borderId="44" xfId="195" applyNumberFormat="1" applyFont="1" applyBorder="1" applyAlignment="1">
      <alignment horizontal="center" vertical="center" wrapText="1"/>
    </xf>
    <xf numFmtId="164" fontId="55" fillId="0" borderId="44" xfId="195" applyNumberFormat="1" applyFont="1" applyBorder="1" applyAlignment="1">
      <alignment horizontal="center" vertical="center" wrapText="1"/>
    </xf>
    <xf numFmtId="0" fontId="56" fillId="0" borderId="21" xfId="194" applyFont="1" applyBorder="1" applyAlignment="1">
      <alignment horizontal="center" vertical="center"/>
    </xf>
    <xf numFmtId="0" fontId="56" fillId="0" borderId="16" xfId="194" applyFont="1" applyBorder="1" applyAlignment="1">
      <alignment horizontal="center" vertical="center"/>
    </xf>
    <xf numFmtId="0" fontId="56" fillId="0" borderId="18" xfId="194" applyFont="1" applyBorder="1" applyAlignment="1">
      <alignment horizontal="center" vertical="center"/>
    </xf>
    <xf numFmtId="0" fontId="56" fillId="3" borderId="3" xfId="6" applyFont="1" applyFill="1" applyBorder="1" applyAlignment="1">
      <alignment horizontal="center" vertical="center" wrapText="1"/>
    </xf>
    <xf numFmtId="0" fontId="56" fillId="3" borderId="4" xfId="6" applyFont="1" applyFill="1" applyBorder="1" applyAlignment="1">
      <alignment horizontal="center" vertical="center" wrapText="1"/>
    </xf>
    <xf numFmtId="0" fontId="56" fillId="3" borderId="5" xfId="6" applyFont="1" applyFill="1" applyBorder="1" applyAlignment="1">
      <alignment horizontal="center" vertical="center" wrapText="1"/>
    </xf>
    <xf numFmtId="0" fontId="56" fillId="0" borderId="61" xfId="194" applyFont="1" applyBorder="1" applyAlignment="1">
      <alignment horizontal="center" vertical="center"/>
    </xf>
    <xf numFmtId="0" fontId="56" fillId="0" borderId="87" xfId="194" applyFont="1" applyBorder="1" applyAlignment="1">
      <alignment horizontal="center" vertical="center"/>
    </xf>
    <xf numFmtId="4" fontId="55" fillId="2" borderId="11" xfId="35" applyNumberFormat="1" applyFont="1" applyFill="1" applyBorder="1" applyAlignment="1">
      <alignment horizontal="center" vertical="center"/>
    </xf>
    <xf numFmtId="4" fontId="55" fillId="0" borderId="11" xfId="35" applyNumberFormat="1" applyFont="1" applyFill="1" applyBorder="1" applyAlignment="1">
      <alignment horizontal="center" vertical="center"/>
    </xf>
    <xf numFmtId="4" fontId="55" fillId="4" borderId="12" xfId="35" applyNumberFormat="1" applyFont="1" applyFill="1" applyBorder="1" applyAlignment="1">
      <alignment horizontal="center" vertical="center"/>
    </xf>
    <xf numFmtId="4" fontId="55" fillId="0" borderId="22" xfId="35" applyNumberFormat="1" applyFont="1" applyFill="1" applyBorder="1" applyAlignment="1">
      <alignment horizontal="center" vertical="center"/>
    </xf>
    <xf numFmtId="4" fontId="55" fillId="4" borderId="23" xfId="35" applyNumberFormat="1" applyFont="1" applyFill="1" applyBorder="1" applyAlignment="1">
      <alignment horizontal="center" vertical="center"/>
    </xf>
    <xf numFmtId="0" fontId="55" fillId="2" borderId="11" xfId="6" applyFont="1" applyFill="1" applyBorder="1" applyAlignment="1">
      <alignment horizontal="center" vertical="center"/>
    </xf>
    <xf numFmtId="43" fontId="55" fillId="2" borderId="11" xfId="35" applyFont="1" applyFill="1" applyBorder="1" applyAlignment="1">
      <alignment horizontal="center" vertical="center"/>
    </xf>
    <xf numFmtId="4" fontId="55" fillId="11" borderId="11" xfId="35" applyNumberFormat="1" applyFont="1" applyFill="1" applyBorder="1" applyAlignment="1">
      <alignment horizontal="center" vertical="center"/>
    </xf>
    <xf numFmtId="4" fontId="55" fillId="4" borderId="11" xfId="35" applyNumberFormat="1" applyFont="1" applyFill="1" applyBorder="1" applyAlignment="1">
      <alignment horizontal="center" vertical="center"/>
    </xf>
    <xf numFmtId="4" fontId="55" fillId="11" borderId="22" xfId="35" applyNumberFormat="1" applyFont="1" applyFill="1" applyBorder="1" applyAlignment="1">
      <alignment horizontal="center" vertical="center"/>
    </xf>
    <xf numFmtId="43" fontId="55" fillId="2" borderId="22" xfId="35" applyFont="1" applyFill="1" applyBorder="1" applyAlignment="1">
      <alignment horizontal="center" vertical="center"/>
    </xf>
    <xf numFmtId="4" fontId="55" fillId="4" borderId="22" xfId="35" applyNumberFormat="1" applyFont="1" applyFill="1" applyBorder="1" applyAlignment="1">
      <alignment horizontal="center" vertical="center"/>
    </xf>
    <xf numFmtId="4" fontId="55" fillId="2" borderId="22" xfId="35" applyNumberFormat="1" applyFont="1" applyFill="1" applyBorder="1" applyAlignment="1">
      <alignment horizontal="center" vertical="center"/>
    </xf>
    <xf numFmtId="0" fontId="56" fillId="0" borderId="61" xfId="6" applyFont="1" applyBorder="1" applyAlignment="1">
      <alignment horizontal="center" vertical="center" wrapText="1"/>
    </xf>
    <xf numFmtId="0" fontId="56" fillId="0" borderId="51" xfId="6" applyFont="1" applyBorder="1" applyAlignment="1">
      <alignment horizontal="center" vertical="center" wrapText="1"/>
    </xf>
    <xf numFmtId="0" fontId="55" fillId="0" borderId="22" xfId="6" applyFont="1" applyBorder="1" applyAlignment="1">
      <alignment horizontal="center" vertical="center" wrapText="1"/>
    </xf>
    <xf numFmtId="0" fontId="55" fillId="0" borderId="11" xfId="6" applyFont="1" applyBorder="1" applyAlignment="1">
      <alignment horizontal="center" vertical="center" wrapText="1"/>
    </xf>
    <xf numFmtId="0" fontId="55" fillId="2" borderId="22" xfId="6" applyFont="1" applyFill="1" applyBorder="1" applyAlignment="1">
      <alignment horizontal="center" vertical="center"/>
    </xf>
    <xf numFmtId="4" fontId="55" fillId="2" borderId="19" xfId="35" applyNumberFormat="1" applyFont="1" applyFill="1" applyBorder="1" applyAlignment="1">
      <alignment horizontal="center" vertical="center"/>
    </xf>
    <xf numFmtId="4" fontId="55" fillId="0" borderId="19" xfId="35" applyNumberFormat="1" applyFont="1" applyFill="1" applyBorder="1" applyAlignment="1">
      <alignment horizontal="center" vertical="center"/>
    </xf>
    <xf numFmtId="0" fontId="55" fillId="0" borderId="28" xfId="6" applyFont="1" applyBorder="1" applyAlignment="1">
      <alignment horizontal="center" vertical="center" wrapText="1"/>
    </xf>
    <xf numFmtId="0" fontId="55" fillId="0" borderId="19" xfId="6" applyFont="1" applyBorder="1" applyAlignment="1">
      <alignment horizontal="center" vertical="center" wrapText="1"/>
    </xf>
    <xf numFmtId="0" fontId="55" fillId="2" borderId="28" xfId="6" applyFont="1" applyFill="1" applyBorder="1" applyAlignment="1">
      <alignment horizontal="center" vertical="center"/>
    </xf>
    <xf numFmtId="43" fontId="55" fillId="2" borderId="28" xfId="35" applyFont="1" applyFill="1" applyBorder="1" applyAlignment="1">
      <alignment horizontal="center" vertical="center"/>
    </xf>
    <xf numFmtId="0" fontId="56" fillId="0" borderId="21" xfId="6" applyFont="1" applyBorder="1" applyAlignment="1">
      <alignment horizontal="center" vertical="center" wrapText="1"/>
    </xf>
    <xf numFmtId="0" fontId="56" fillId="0" borderId="16" xfId="6" applyFont="1" applyBorder="1" applyAlignment="1">
      <alignment horizontal="center" vertical="center" wrapText="1"/>
    </xf>
    <xf numFmtId="0" fontId="56" fillId="0" borderId="18" xfId="6" applyFont="1" applyBorder="1" applyAlignment="1">
      <alignment horizontal="center" vertical="center" wrapText="1"/>
    </xf>
    <xf numFmtId="4" fontId="55" fillId="4" borderId="20" xfId="35" applyNumberFormat="1" applyFont="1" applyFill="1" applyBorder="1" applyAlignment="1">
      <alignment horizontal="center" vertical="center"/>
    </xf>
    <xf numFmtId="4" fontId="55" fillId="0" borderId="28" xfId="35" applyNumberFormat="1" applyFont="1" applyFill="1" applyBorder="1" applyAlignment="1">
      <alignment horizontal="center" vertical="center"/>
    </xf>
    <xf numFmtId="4" fontId="55" fillId="4" borderId="29" xfId="35" applyNumberFormat="1" applyFont="1" applyFill="1" applyBorder="1" applyAlignment="1">
      <alignment horizontal="center" vertical="center"/>
    </xf>
    <xf numFmtId="0" fontId="55" fillId="2" borderId="19" xfId="6" applyFont="1" applyFill="1" applyBorder="1" applyAlignment="1">
      <alignment horizontal="center" vertical="center"/>
    </xf>
    <xf numFmtId="43" fontId="55" fillId="2" borderId="19" xfId="35" applyFont="1" applyFill="1" applyBorder="1" applyAlignment="1">
      <alignment horizontal="center" vertical="center"/>
    </xf>
    <xf numFmtId="4" fontId="55" fillId="11" borderId="19" xfId="35" applyNumberFormat="1" applyFont="1" applyFill="1" applyBorder="1" applyAlignment="1">
      <alignment horizontal="center" vertical="center"/>
    </xf>
    <xf numFmtId="4" fontId="55" fillId="4" borderId="19" xfId="35" applyNumberFormat="1" applyFont="1" applyFill="1" applyBorder="1" applyAlignment="1">
      <alignment horizontal="center" vertical="center"/>
    </xf>
    <xf numFmtId="4" fontId="55" fillId="11" borderId="28" xfId="35" applyNumberFormat="1" applyFont="1" applyFill="1" applyBorder="1" applyAlignment="1">
      <alignment horizontal="center" vertical="center"/>
    </xf>
    <xf numFmtId="4" fontId="55" fillId="4" borderId="28" xfId="35" applyNumberFormat="1" applyFont="1" applyFill="1" applyBorder="1" applyAlignment="1">
      <alignment horizontal="center" vertical="center"/>
    </xf>
    <xf numFmtId="4" fontId="55" fillId="2" borderId="28" xfId="35" applyNumberFormat="1" applyFont="1" applyFill="1" applyBorder="1" applyAlignment="1">
      <alignment horizontal="center" vertical="center"/>
    </xf>
    <xf numFmtId="0" fontId="56" fillId="0" borderId="87" xfId="6" applyFont="1" applyBorder="1" applyAlignment="1">
      <alignment horizontal="center" vertical="center" wrapText="1"/>
    </xf>
    <xf numFmtId="0" fontId="81" fillId="0" borderId="24" xfId="6" applyFont="1" applyBorder="1" applyAlignment="1">
      <alignment horizontal="center" vertical="center"/>
    </xf>
    <xf numFmtId="0" fontId="81" fillId="0" borderId="60" xfId="6" applyFont="1" applyBorder="1" applyAlignment="1">
      <alignment horizontal="center" vertical="center"/>
    </xf>
    <xf numFmtId="0" fontId="81" fillId="0" borderId="25" xfId="6" applyFont="1" applyBorder="1" applyAlignment="1">
      <alignment horizontal="center" vertical="center"/>
    </xf>
    <xf numFmtId="0" fontId="56" fillId="3" borderId="39" xfId="6" applyFont="1" applyFill="1" applyBorder="1" applyAlignment="1">
      <alignment horizontal="center" vertical="center"/>
    </xf>
    <xf numFmtId="0" fontId="56" fillId="3" borderId="17" xfId="6" applyFont="1" applyFill="1" applyBorder="1" applyAlignment="1">
      <alignment horizontal="center" vertical="center"/>
    </xf>
    <xf numFmtId="0" fontId="56" fillId="3" borderId="28" xfId="6" applyFont="1" applyFill="1" applyBorder="1" applyAlignment="1">
      <alignment horizontal="center" vertical="center" wrapText="1"/>
    </xf>
    <xf numFmtId="0" fontId="56" fillId="3" borderId="30" xfId="6" applyFont="1" applyFill="1" applyBorder="1" applyAlignment="1">
      <alignment horizontal="center" vertical="center" wrapText="1"/>
    </xf>
    <xf numFmtId="0" fontId="56" fillId="3" borderId="28" xfId="6" applyFont="1" applyFill="1" applyBorder="1" applyAlignment="1">
      <alignment horizontal="center" vertical="center"/>
    </xf>
    <xf numFmtId="0" fontId="56" fillId="3" borderId="30" xfId="6" applyFont="1" applyFill="1" applyBorder="1" applyAlignment="1">
      <alignment horizontal="center" vertical="center"/>
    </xf>
    <xf numFmtId="0" fontId="56" fillId="3" borderId="29" xfId="6" applyFont="1" applyFill="1" applyBorder="1" applyAlignment="1">
      <alignment horizontal="center" vertical="center" wrapText="1"/>
    </xf>
    <xf numFmtId="0" fontId="56" fillId="3" borderId="31" xfId="6" applyFont="1" applyFill="1" applyBorder="1" applyAlignment="1">
      <alignment horizontal="center" vertical="center" wrapText="1"/>
    </xf>
    <xf numFmtId="4" fontId="102" fillId="11" borderId="45" xfId="199" applyNumberFormat="1" applyFont="1" applyFill="1" applyBorder="1" applyAlignment="1">
      <alignment horizontal="right" vertical="center" wrapText="1"/>
    </xf>
    <xf numFmtId="4" fontId="102" fillId="11" borderId="32" xfId="199" applyNumberFormat="1" applyFont="1" applyFill="1" applyBorder="1" applyAlignment="1">
      <alignment horizontal="right" vertical="center" wrapText="1"/>
    </xf>
    <xf numFmtId="0" fontId="54" fillId="14" borderId="3" xfId="199" applyFont="1" applyFill="1" applyBorder="1" applyAlignment="1">
      <alignment horizontal="center" vertical="center" wrapText="1"/>
    </xf>
    <xf numFmtId="0" fontId="54" fillId="14" borderId="4" xfId="199" applyFont="1" applyFill="1" applyBorder="1" applyAlignment="1">
      <alignment horizontal="center" vertical="center" wrapText="1"/>
    </xf>
    <xf numFmtId="0" fontId="54" fillId="14" borderId="5" xfId="199" applyFont="1" applyFill="1" applyBorder="1" applyAlignment="1">
      <alignment horizontal="center" vertical="center" wrapText="1"/>
    </xf>
    <xf numFmtId="4" fontId="102" fillId="11" borderId="6" xfId="199" applyNumberFormat="1" applyFont="1" applyFill="1" applyBorder="1" applyAlignment="1">
      <alignment horizontal="right" vertical="center" wrapText="1"/>
    </xf>
    <xf numFmtId="4" fontId="102" fillId="11" borderId="8" xfId="199" applyNumberFormat="1" applyFont="1" applyFill="1" applyBorder="1" applyAlignment="1">
      <alignment horizontal="right" vertical="center" wrapText="1"/>
    </xf>
    <xf numFmtId="4" fontId="102" fillId="11" borderId="47" xfId="199" applyNumberFormat="1" applyFont="1" applyFill="1" applyBorder="1" applyAlignment="1">
      <alignment horizontal="right" vertical="center" wrapText="1"/>
    </xf>
    <xf numFmtId="4" fontId="102" fillId="11" borderId="0" xfId="199" applyNumberFormat="1" applyFont="1" applyFill="1" applyAlignment="1">
      <alignment horizontal="right" vertical="center" wrapText="1"/>
    </xf>
    <xf numFmtId="0" fontId="54" fillId="4" borderId="24" xfId="220" applyFont="1" applyFill="1" applyBorder="1" applyAlignment="1">
      <alignment horizontal="center" vertical="center" wrapText="1"/>
    </xf>
    <xf numFmtId="0" fontId="54" fillId="4" borderId="60" xfId="220" applyFont="1" applyFill="1" applyBorder="1" applyAlignment="1">
      <alignment horizontal="center" vertical="center" wrapText="1"/>
    </xf>
    <xf numFmtId="0" fontId="54" fillId="4" borderId="25" xfId="220" applyFont="1" applyFill="1" applyBorder="1" applyAlignment="1">
      <alignment horizontal="center" vertical="center" wrapText="1"/>
    </xf>
    <xf numFmtId="0" fontId="54" fillId="6" borderId="39" xfId="220" applyFont="1" applyFill="1" applyBorder="1" applyAlignment="1">
      <alignment horizontal="center" vertical="center" wrapText="1"/>
    </xf>
    <xf numFmtId="0" fontId="54" fillId="6" borderId="28" xfId="220" applyFont="1" applyFill="1" applyBorder="1" applyAlignment="1">
      <alignment horizontal="center" vertical="center" wrapText="1"/>
    </xf>
    <xf numFmtId="0" fontId="54" fillId="6" borderId="29" xfId="220" applyFont="1" applyFill="1" applyBorder="1" applyAlignment="1">
      <alignment horizontal="center" vertical="center" wrapText="1"/>
    </xf>
    <xf numFmtId="0" fontId="54" fillId="4" borderId="24" xfId="0" applyFont="1" applyFill="1" applyBorder="1" applyAlignment="1">
      <alignment horizontal="center" vertical="center" wrapText="1"/>
    </xf>
    <xf numFmtId="0" fontId="54" fillId="4" borderId="60" xfId="0" applyFont="1" applyFill="1" applyBorder="1" applyAlignment="1">
      <alignment horizontal="center" vertical="center" wrapText="1"/>
    </xf>
    <xf numFmtId="0" fontId="54" fillId="4" borderId="25" xfId="0" applyFont="1" applyFill="1" applyBorder="1" applyAlignment="1">
      <alignment horizontal="center" vertical="center" wrapText="1"/>
    </xf>
    <xf numFmtId="0" fontId="99" fillId="0" borderId="3" xfId="220" applyFont="1" applyBorder="1" applyAlignment="1">
      <alignment horizontal="center" vertical="center"/>
    </xf>
    <xf numFmtId="0" fontId="99" fillId="0" borderId="4" xfId="220" applyFont="1" applyBorder="1" applyAlignment="1">
      <alignment horizontal="center" vertical="center"/>
    </xf>
    <xf numFmtId="0" fontId="99" fillId="0" borderId="5" xfId="220" applyFont="1" applyBorder="1" applyAlignment="1">
      <alignment horizontal="center" vertical="center"/>
    </xf>
    <xf numFmtId="0" fontId="81" fillId="4" borderId="3" xfId="220" applyFont="1" applyFill="1" applyBorder="1" applyAlignment="1">
      <alignment horizontal="center" vertical="center"/>
    </xf>
    <xf numFmtId="0" fontId="81" fillId="4" borderId="4" xfId="220" applyFont="1" applyFill="1" applyBorder="1" applyAlignment="1">
      <alignment horizontal="center" vertical="center"/>
    </xf>
    <xf numFmtId="0" fontId="81" fillId="4" borderId="5" xfId="220" applyFont="1" applyFill="1" applyBorder="1" applyAlignment="1">
      <alignment horizontal="center" vertical="center"/>
    </xf>
    <xf numFmtId="0" fontId="54" fillId="4" borderId="35" xfId="220" applyFont="1" applyFill="1" applyBorder="1" applyAlignment="1">
      <alignment horizontal="center" vertical="center" wrapText="1"/>
    </xf>
    <xf numFmtId="0" fontId="54" fillId="4" borderId="38" xfId="220" applyFont="1" applyFill="1" applyBorder="1" applyAlignment="1">
      <alignment horizontal="center" vertical="center" wrapText="1"/>
    </xf>
    <xf numFmtId="0" fontId="54" fillId="4" borderId="15" xfId="220" applyFont="1" applyFill="1" applyBorder="1" applyAlignment="1">
      <alignment horizontal="center" vertical="center" wrapText="1"/>
    </xf>
    <xf numFmtId="0" fontId="54" fillId="4" borderId="3" xfId="220" applyFont="1" applyFill="1" applyBorder="1" applyAlignment="1">
      <alignment horizontal="center" vertical="center" wrapText="1"/>
    </xf>
    <xf numFmtId="0" fontId="54" fillId="4" borderId="4" xfId="220" applyFont="1" applyFill="1" applyBorder="1" applyAlignment="1">
      <alignment horizontal="center" vertical="center" wrapText="1"/>
    </xf>
    <xf numFmtId="0" fontId="54" fillId="4" borderId="5" xfId="220" applyFont="1" applyFill="1" applyBorder="1" applyAlignment="1">
      <alignment horizontal="center" vertical="center" wrapText="1"/>
    </xf>
  </cellXfs>
  <cellStyles count="223">
    <cellStyle name="Hiperlink" xfId="215" builtinId="8"/>
    <cellStyle name="Moeda 11" xfId="60" xr:uid="{00000000-0005-0000-0000-000002000000}"/>
    <cellStyle name="Moeda 11 2" xfId="163" xr:uid="{00000000-0005-0000-0000-000003000000}"/>
    <cellStyle name="Moeda 12" xfId="61" xr:uid="{00000000-0005-0000-0000-000004000000}"/>
    <cellStyle name="Moeda 12 2" xfId="165" xr:uid="{00000000-0005-0000-0000-000005000000}"/>
    <cellStyle name="Moeda 2" xfId="72" xr:uid="{00000000-0005-0000-0000-000006000000}"/>
    <cellStyle name="Moeda 2 2" xfId="145" xr:uid="{00000000-0005-0000-0000-000007000000}"/>
    <cellStyle name="Moeda 3" xfId="102" xr:uid="{00000000-0005-0000-0000-000008000000}"/>
    <cellStyle name="Normal" xfId="0" builtinId="0"/>
    <cellStyle name="Normal 10" xfId="37" xr:uid="{00000000-0005-0000-0000-00000A000000}"/>
    <cellStyle name="Normal 10 2" xfId="151" xr:uid="{00000000-0005-0000-0000-00000B000000}"/>
    <cellStyle name="Normal 10 2 2" xfId="7" xr:uid="{00000000-0005-0000-0000-00000C000000}"/>
    <cellStyle name="Normal 10 2 2 2" xfId="59" xr:uid="{00000000-0005-0000-0000-00000D000000}"/>
    <cellStyle name="Normal 10 3" xfId="108" xr:uid="{00000000-0005-0000-0000-00000E000000}"/>
    <cellStyle name="Normal 11" xfId="58" xr:uid="{00000000-0005-0000-0000-00000F000000}"/>
    <cellStyle name="Normal 11 13" xfId="187" xr:uid="{50E5066F-9234-4290-A375-0A7EB34B2CB8}"/>
    <cellStyle name="Normal 11 2" xfId="79" xr:uid="{00000000-0005-0000-0000-000010000000}"/>
    <cellStyle name="Normal 11 2 18" xfId="188" xr:uid="{640CDDFB-270F-49F9-A849-019044319D8F}"/>
    <cellStyle name="Normal 11 2 2" xfId="185" xr:uid="{53075025-F1FD-4804-9B66-AD08120DB9A0}"/>
    <cellStyle name="Normal 11 2 2 2" xfId="208" xr:uid="{A2B85670-30E5-4A46-9E2C-2493DD76F417}"/>
    <cellStyle name="Normal 11 3" xfId="162" xr:uid="{00000000-0005-0000-0000-000011000000}"/>
    <cellStyle name="Normal 11 4" xfId="184" xr:uid="{69BED59F-C8E7-4259-B225-9C56CD694A49}"/>
    <cellStyle name="Normal 11 4 2" xfId="207" xr:uid="{A709CDDA-C08B-4D9D-A0A1-D1373764C4F8}"/>
    <cellStyle name="Normal 12" xfId="30" xr:uid="{00000000-0005-0000-0000-000012000000}"/>
    <cellStyle name="Normal 12 2" xfId="119" xr:uid="{00000000-0005-0000-0000-000013000000}"/>
    <cellStyle name="Normal 12 3" xfId="146" xr:uid="{00000000-0005-0000-0000-000014000000}"/>
    <cellStyle name="Normal 12 3 2" xfId="213" xr:uid="{298122C7-A80B-480E-9D26-29A38CA763ED}"/>
    <cellStyle name="Normal 12 4" xfId="103" xr:uid="{00000000-0005-0000-0000-000015000000}"/>
    <cellStyle name="Normal 13" xfId="63" xr:uid="{00000000-0005-0000-0000-000016000000}"/>
    <cellStyle name="Normal 13 10" xfId="12" xr:uid="{00000000-0005-0000-0000-000017000000}"/>
    <cellStyle name="Normal 13 10 2" xfId="131" xr:uid="{00000000-0005-0000-0000-000018000000}"/>
    <cellStyle name="Normal 13 10 3" xfId="88" xr:uid="{00000000-0005-0000-0000-000019000000}"/>
    <cellStyle name="Normal 13 10 4" xfId="216" xr:uid="{A6F89815-B12D-4CDE-B9FF-7DB5791905CF}"/>
    <cellStyle name="Normal 13 2" xfId="68" xr:uid="{00000000-0005-0000-0000-00001A000000}"/>
    <cellStyle name="Normal 13 2 2" xfId="175" xr:uid="{2DC77588-CCDF-44D3-AFC4-FDF164B9CDE0}"/>
    <cellStyle name="Normal 13 2 2 2" xfId="191" xr:uid="{A497DADC-2E68-404E-A2EE-7EF291769075}"/>
    <cellStyle name="Normal 13 2 2 3" xfId="214" xr:uid="{66A5B9B8-ACC5-49DF-AC50-6B9F57CA4D4B}"/>
    <cellStyle name="Normal 13 3" xfId="166" xr:uid="{00000000-0005-0000-0000-00001B000000}"/>
    <cellStyle name="Normal 13 3 2" xfId="210" xr:uid="{B967D6E5-F227-427B-909A-41759D4BE57B}"/>
    <cellStyle name="Normal 14" xfId="77" xr:uid="{00000000-0005-0000-0000-00001C000000}"/>
    <cellStyle name="Normal 14 2" xfId="189" xr:uid="{9AE26CDF-BEDE-48CE-96C4-A4F04FE9E65C}"/>
    <cellStyle name="Normal 14 2 2" xfId="193" xr:uid="{2F3D30AD-7720-4D19-9226-F22A334EF4A5}"/>
    <cellStyle name="Normal 14 2 2 2" xfId="197" xr:uid="{EB7A91F0-2B0B-4D38-AB7F-147C8FD65A9B}"/>
    <cellStyle name="Normal 14 2 2 2 2" xfId="198" xr:uid="{74C7F21E-11DB-4EB5-B75A-2F4D5BCAB77C}"/>
    <cellStyle name="Normal 14 2 2 2 2 2" xfId="199" xr:uid="{791E5D13-D09A-4F8E-9189-D58415ACEA5B}"/>
    <cellStyle name="Normal 14 3" xfId="192" xr:uid="{09C1DFBB-0631-4B67-865A-25034CEE1228}"/>
    <cellStyle name="Normal 15" xfId="171" xr:uid="{00000000-0005-0000-0000-00001D000000}"/>
    <cellStyle name="Normal 15 2" xfId="174" xr:uid="{00000000-0005-0000-0000-00001E000000}"/>
    <cellStyle name="Normal 15 2 2" xfId="220" xr:uid="{CCFF0A46-21D7-4D5D-B549-FC4C1CD6849E}"/>
    <cellStyle name="Normal 15 3" xfId="219" xr:uid="{73AC3D96-A38B-465E-A8B9-C039B1E40279}"/>
    <cellStyle name="Normal 16" xfId="172" xr:uid="{00000000-0005-0000-0000-00001F000000}"/>
    <cellStyle name="Normal 16 2" xfId="173" xr:uid="{00000000-0005-0000-0000-000020000000}"/>
    <cellStyle name="Normal 17" xfId="183" xr:uid="{51F4F994-3557-4D42-B9C5-46B33D65BC91}"/>
    <cellStyle name="Normal 19" xfId="206" xr:uid="{B840ABF7-5120-4147-8F06-7A8DF4932622}"/>
    <cellStyle name="Normal 2" xfId="1" xr:uid="{00000000-0005-0000-0000-000021000000}"/>
    <cellStyle name="Normal 2 2" xfId="6" xr:uid="{00000000-0005-0000-0000-000022000000}"/>
    <cellStyle name="Normal 2 2 33" xfId="8" xr:uid="{00000000-0005-0000-0000-000023000000}"/>
    <cellStyle name="Normal 2 235" xfId="13" xr:uid="{00000000-0005-0000-0000-000024000000}"/>
    <cellStyle name="Normal 2 235 2" xfId="190" xr:uid="{FDD00F8C-5CBA-4EDF-8295-AFDBB745F6C9}"/>
    <cellStyle name="Normal 2 236" xfId="66" xr:uid="{00000000-0005-0000-0000-000025000000}"/>
    <cellStyle name="Normal 2 3" xfId="24" xr:uid="{00000000-0005-0000-0000-000026000000}"/>
    <cellStyle name="Normal 2 4" xfId="41" xr:uid="{00000000-0005-0000-0000-000027000000}"/>
    <cellStyle name="Normal 2 5" xfId="124" xr:uid="{00000000-0005-0000-0000-000028000000}"/>
    <cellStyle name="Normal 2 6" xfId="81" xr:uid="{00000000-0005-0000-0000-000029000000}"/>
    <cellStyle name="Normal 3" xfId="3" xr:uid="{00000000-0005-0000-0000-00002A000000}"/>
    <cellStyle name="Normal 3 19" xfId="20" xr:uid="{00000000-0005-0000-0000-00002B000000}"/>
    <cellStyle name="Normal 3 19 2" xfId="28" xr:uid="{00000000-0005-0000-0000-00002C000000}"/>
    <cellStyle name="Normal 3 19 2 2" xfId="47" xr:uid="{00000000-0005-0000-0000-00002D000000}"/>
    <cellStyle name="Normal 3 19 2 2 2" xfId="49" xr:uid="{00000000-0005-0000-0000-00002E000000}"/>
    <cellStyle name="Normal 3 19 2 2 2 2" xfId="120" xr:uid="{00000000-0005-0000-0000-00002F000000}"/>
    <cellStyle name="Normal 3 19 2 2 2 3" xfId="200" xr:uid="{F41FF334-43DB-4CE6-8069-79C0F01CC826}"/>
    <cellStyle name="Normal 3 19 2 2 3" xfId="54" xr:uid="{00000000-0005-0000-0000-000030000000}"/>
    <cellStyle name="Normal 3 19 2 2 3 2" xfId="70" xr:uid="{00000000-0005-0000-0000-000031000000}"/>
    <cellStyle name="Normal 3 19 2 2 3 2 2" xfId="217" xr:uid="{7A3281BA-049C-4088-B9DB-BF97741CE3D0}"/>
    <cellStyle name="Normal 3 19 2 2 3 2 2 2" xfId="178" xr:uid="{5BFE7C27-8EA6-49E7-AD61-8FE8B1058614}"/>
    <cellStyle name="Normal 3 19 2 2 3 3" xfId="121" xr:uid="{00000000-0005-0000-0000-000032000000}"/>
    <cellStyle name="Normal 3 19 2 2 3 3 2" xfId="177" xr:uid="{CCB2F972-FD65-4F0E-9958-3F112B1ACEBA}"/>
    <cellStyle name="Normal 3 19 2 2 3 3 3" xfId="212" xr:uid="{E6D5D171-0452-4993-BFDD-FA33B072D548}"/>
    <cellStyle name="Normal 3 19 2 2 4" xfId="55" xr:uid="{00000000-0005-0000-0000-000033000000}"/>
    <cellStyle name="Normal 3 19 2 2 4 2" xfId="57" xr:uid="{00000000-0005-0000-0000-000034000000}"/>
    <cellStyle name="Normal 3 19 2 2 4 2 2" xfId="62" xr:uid="{00000000-0005-0000-0000-000035000000}"/>
    <cellStyle name="Normal 3 19 2 2 4 3" xfId="76" xr:uid="{00000000-0005-0000-0000-000036000000}"/>
    <cellStyle name="Normal 3 19 2 2 4 4" xfId="123" xr:uid="{00000000-0005-0000-0000-000037000000}"/>
    <cellStyle name="Normal 3 19 2 2 5" xfId="158" xr:uid="{00000000-0005-0000-0000-000038000000}"/>
    <cellStyle name="Normal 3 19 2 2 6" xfId="115" xr:uid="{00000000-0005-0000-0000-000039000000}"/>
    <cellStyle name="Normal 3 19 2 2 6 2" xfId="221" xr:uid="{3B396767-5D9E-4A76-AA47-9A6E87CC1F1F}"/>
    <cellStyle name="Normal 3 19 2 3" xfId="142" xr:uid="{00000000-0005-0000-0000-00003A000000}"/>
    <cellStyle name="Normal 3 19 2 4" xfId="99" xr:uid="{00000000-0005-0000-0000-00003B000000}"/>
    <cellStyle name="Normal 3 19 3" xfId="33" xr:uid="{00000000-0005-0000-0000-00003C000000}"/>
    <cellStyle name="Normal 3 19 3 2" xfId="149" xr:uid="{00000000-0005-0000-0000-00003D000000}"/>
    <cellStyle name="Normal 3 19 3 3" xfId="106" xr:uid="{00000000-0005-0000-0000-00003E000000}"/>
    <cellStyle name="Normal 3 19 4" xfId="65" xr:uid="{00000000-0005-0000-0000-00003F000000}"/>
    <cellStyle name="Normal 3 19 4 2" xfId="71" xr:uid="{00000000-0005-0000-0000-000040000000}"/>
    <cellStyle name="Normal 3 19 4 3" xfId="136" xr:uid="{00000000-0005-0000-0000-000041000000}"/>
    <cellStyle name="Normal 3 19 5" xfId="168" xr:uid="{00000000-0005-0000-0000-000042000000}"/>
    <cellStyle name="Normal 3 19 5 2" xfId="218" xr:uid="{94513652-B3A9-4F6D-998E-71C14E825B80}"/>
    <cellStyle name="Normal 3 19 5 2 2" xfId="179" xr:uid="{4F7132C4-4CDA-40FF-A520-526C759541C2}"/>
    <cellStyle name="Normal 3 19 6" xfId="93" xr:uid="{00000000-0005-0000-0000-000043000000}"/>
    <cellStyle name="Normal 3 2" xfId="38" xr:uid="{00000000-0005-0000-0000-000044000000}"/>
    <cellStyle name="Normal 3 3" xfId="126" xr:uid="{00000000-0005-0000-0000-000045000000}"/>
    <cellStyle name="Normal 3 4" xfId="83" xr:uid="{00000000-0005-0000-0000-000046000000}"/>
    <cellStyle name="Normal 4" xfId="5" xr:uid="{00000000-0005-0000-0000-000047000000}"/>
    <cellStyle name="Normal 4 2" xfId="39" xr:uid="{00000000-0005-0000-0000-000048000000}"/>
    <cellStyle name="Normal 42" xfId="25" xr:uid="{00000000-0005-0000-0000-000049000000}"/>
    <cellStyle name="Normal 42 2" xfId="34" xr:uid="{00000000-0005-0000-0000-00004A000000}"/>
    <cellStyle name="Normal 42 3" xfId="73" xr:uid="{00000000-0005-0000-0000-00004B000000}"/>
    <cellStyle name="Normal 42 3 2" xfId="139" xr:uid="{00000000-0005-0000-0000-00004C000000}"/>
    <cellStyle name="Normal 42 4" xfId="96" xr:uid="{00000000-0005-0000-0000-00004D000000}"/>
    <cellStyle name="Normal 42 5" xfId="201" xr:uid="{44DD2AAC-6934-4C79-8DD0-D42BAB5FD859}"/>
    <cellStyle name="Normal 5" xfId="10" xr:uid="{00000000-0005-0000-0000-00004E000000}"/>
    <cellStyle name="Normal 5 2" xfId="42" xr:uid="{00000000-0005-0000-0000-00004F000000}"/>
    <cellStyle name="Normal 5 2 2" xfId="52" xr:uid="{00000000-0005-0000-0000-000050000000}"/>
    <cellStyle name="Normal 5 2 2 2" xfId="160" xr:uid="{00000000-0005-0000-0000-000051000000}"/>
    <cellStyle name="Normal 5 2 2 3" xfId="74" xr:uid="{00000000-0005-0000-0000-000052000000}"/>
    <cellStyle name="Normal 5 2 2 3 2" xfId="169" xr:uid="{00000000-0005-0000-0000-000053000000}"/>
    <cellStyle name="Normal 5 2 2 3 3" xfId="202" xr:uid="{092503EE-B0AD-4889-A989-A86746470A28}"/>
    <cellStyle name="Normal 5 2 2 3 3 2" xfId="204" xr:uid="{C9ABE385-3FC7-4F6E-B682-E3A06202F2DE}"/>
    <cellStyle name="Normal 5 2 2 4" xfId="117" xr:uid="{00000000-0005-0000-0000-000054000000}"/>
    <cellStyle name="Normal 5 2 3" xfId="153" xr:uid="{00000000-0005-0000-0000-000055000000}"/>
    <cellStyle name="Normal 5 2 4" xfId="110" xr:uid="{00000000-0005-0000-0000-000056000000}"/>
    <cellStyle name="Normal 5 3" xfId="129" xr:uid="{00000000-0005-0000-0000-000057000000}"/>
    <cellStyle name="Normal 5 4" xfId="86" xr:uid="{00000000-0005-0000-0000-000058000000}"/>
    <cellStyle name="Normal 6" xfId="14" xr:uid="{00000000-0005-0000-0000-000059000000}"/>
    <cellStyle name="Normal 6 2" xfId="132" xr:uid="{00000000-0005-0000-0000-00005A000000}"/>
    <cellStyle name="Normal 6 3" xfId="89" xr:uid="{00000000-0005-0000-0000-00005B000000}"/>
    <cellStyle name="Normal 7" xfId="21" xr:uid="{00000000-0005-0000-0000-00005C000000}"/>
    <cellStyle name="Normal 7 2" xfId="137" xr:uid="{00000000-0005-0000-0000-00005D000000}"/>
    <cellStyle name="Normal 7 2 10" xfId="181" xr:uid="{DF9F6DA1-3836-4A26-9D27-6E030D577761}"/>
    <cellStyle name="Normal 7 2 10 2" xfId="195" xr:uid="{887F8F56-A031-4D71-B58F-4D3040521F77}"/>
    <cellStyle name="Normal 7 3" xfId="94" xr:uid="{00000000-0005-0000-0000-00005E000000}"/>
    <cellStyle name="Normal 7 4" xfId="180" xr:uid="{72C500A2-B194-4C1C-8151-A8D1F9E54910}"/>
    <cellStyle name="Normal 7 4 2" xfId="194" xr:uid="{4EA2062E-715B-4AC2-A229-3DCC42CC2EA3}"/>
    <cellStyle name="Normal 8" xfId="23" xr:uid="{00000000-0005-0000-0000-00005F000000}"/>
    <cellStyle name="Normal 8 2" xfId="31" xr:uid="{00000000-0005-0000-0000-000060000000}"/>
    <cellStyle name="Normal 8 2 2" xfId="147" xr:uid="{00000000-0005-0000-0000-000061000000}"/>
    <cellStyle name="Normal 8 2 3" xfId="104" xr:uid="{00000000-0005-0000-0000-000062000000}"/>
    <cellStyle name="Normal 9" xfId="26" xr:uid="{00000000-0005-0000-0000-000063000000}"/>
    <cellStyle name="Normal 9 2" xfId="45" xr:uid="{00000000-0005-0000-0000-000064000000}"/>
    <cellStyle name="Normal 9 2 2" xfId="156" xr:uid="{00000000-0005-0000-0000-000065000000}"/>
    <cellStyle name="Normal 9 2 3" xfId="113" xr:uid="{00000000-0005-0000-0000-000066000000}"/>
    <cellStyle name="Normal 9 3" xfId="140" xr:uid="{00000000-0005-0000-0000-000067000000}"/>
    <cellStyle name="Normal 9 4" xfId="97" xr:uid="{00000000-0005-0000-0000-000068000000}"/>
    <cellStyle name="Porcentagem 2" xfId="2" xr:uid="{00000000-0005-0000-0000-000069000000}"/>
    <cellStyle name="Porcentagem 2 10" xfId="17" xr:uid="{00000000-0005-0000-0000-00006A000000}"/>
    <cellStyle name="Porcentagem 2 2" xfId="125" xr:uid="{00000000-0005-0000-0000-00006B000000}"/>
    <cellStyle name="Porcentagem 2 3" xfId="82" xr:uid="{00000000-0005-0000-0000-00006C000000}"/>
    <cellStyle name="Porcentagem 2 81" xfId="67" xr:uid="{00000000-0005-0000-0000-00006D000000}"/>
    <cellStyle name="Porcentagem 20" xfId="19" xr:uid="{00000000-0005-0000-0000-00006E000000}"/>
    <cellStyle name="Porcentagem 22" xfId="36" xr:uid="{00000000-0005-0000-0000-00006F000000}"/>
    <cellStyle name="Porcentagem 3" xfId="18" xr:uid="{00000000-0005-0000-0000-000070000000}"/>
    <cellStyle name="Porcentagem 3 2" xfId="135" xr:uid="{00000000-0005-0000-0000-000071000000}"/>
    <cellStyle name="Porcentagem 3 3" xfId="92" xr:uid="{00000000-0005-0000-0000-000072000000}"/>
    <cellStyle name="Porcentagem 4" xfId="27" xr:uid="{00000000-0005-0000-0000-000073000000}"/>
    <cellStyle name="Porcentagem 4 2" xfId="46" xr:uid="{00000000-0005-0000-0000-000074000000}"/>
    <cellStyle name="Porcentagem 4 2 2" xfId="50" xr:uid="{00000000-0005-0000-0000-000075000000}"/>
    <cellStyle name="Porcentagem 4 2 2 2" xfId="122" xr:uid="{00000000-0005-0000-0000-000076000000}"/>
    <cellStyle name="Porcentagem 4 2 3" xfId="157" xr:uid="{00000000-0005-0000-0000-000077000000}"/>
    <cellStyle name="Porcentagem 4 2 4" xfId="114" xr:uid="{00000000-0005-0000-0000-000078000000}"/>
    <cellStyle name="Porcentagem 4 3" xfId="141" xr:uid="{00000000-0005-0000-0000-000079000000}"/>
    <cellStyle name="Porcentagem 4 4" xfId="98" xr:uid="{00000000-0005-0000-0000-00007A000000}"/>
    <cellStyle name="Porcentagem 5" xfId="44" xr:uid="{00000000-0005-0000-0000-00007B000000}"/>
    <cellStyle name="Porcentagem 5 2" xfId="53" xr:uid="{00000000-0005-0000-0000-00007C000000}"/>
    <cellStyle name="Porcentagem 5 2 2" xfId="161" xr:uid="{00000000-0005-0000-0000-00007D000000}"/>
    <cellStyle name="Porcentagem 5 2 3" xfId="75" xr:uid="{00000000-0005-0000-0000-00007E000000}"/>
    <cellStyle name="Porcentagem 5 2 3 2" xfId="170" xr:uid="{00000000-0005-0000-0000-00007F000000}"/>
    <cellStyle name="Porcentagem 5 2 3 2 2" xfId="205" xr:uid="{2949967E-0DBF-43B3-BEDC-209F992201A0}"/>
    <cellStyle name="Porcentagem 5 2 3 3" xfId="203" xr:uid="{B010CE0B-50E0-4B73-9C74-AE5FA9A98739}"/>
    <cellStyle name="Porcentagem 5 2 4" xfId="118" xr:uid="{00000000-0005-0000-0000-000080000000}"/>
    <cellStyle name="Porcentagem 5 3" xfId="155" xr:uid="{00000000-0005-0000-0000-000081000000}"/>
    <cellStyle name="Porcentagem 5 4" xfId="112" xr:uid="{00000000-0005-0000-0000-000082000000}"/>
    <cellStyle name="Porcentagem 6" xfId="32" xr:uid="{00000000-0005-0000-0000-000083000000}"/>
    <cellStyle name="Porcentagem 6 2" xfId="148" xr:uid="{00000000-0005-0000-0000-000084000000}"/>
    <cellStyle name="Porcentagem 6 3" xfId="105" xr:uid="{00000000-0005-0000-0000-000085000000}"/>
    <cellStyle name="Porcentagem 7" xfId="64" xr:uid="{00000000-0005-0000-0000-000086000000}"/>
    <cellStyle name="Porcentagem 7 2" xfId="69" xr:uid="{00000000-0005-0000-0000-000087000000}"/>
    <cellStyle name="Porcentagem 7 2 2" xfId="176" xr:uid="{E80601FC-4643-4BE2-B059-AEC58293A7E0}"/>
    <cellStyle name="Porcentagem 7 3" xfId="167" xr:uid="{00000000-0005-0000-0000-000088000000}"/>
    <cellStyle name="Porcentagem 7 3 2" xfId="211" xr:uid="{941E5AF0-A172-4825-B4EF-1CB4EA0AE280}"/>
    <cellStyle name="Separador de milhares 10" xfId="9" xr:uid="{00000000-0005-0000-0000-000089000000}"/>
    <cellStyle name="Separador de milhares 10 2" xfId="128" xr:uid="{00000000-0005-0000-0000-00008A000000}"/>
    <cellStyle name="Separador de milhares 10 3" xfId="85" xr:uid="{00000000-0005-0000-0000-00008B000000}"/>
    <cellStyle name="Vírgula 10" xfId="78" xr:uid="{00000000-0005-0000-0000-00008C000000}"/>
    <cellStyle name="Vírgula 11" xfId="101" xr:uid="{00000000-0005-0000-0000-00008D000000}"/>
    <cellStyle name="Vírgula 2" xfId="11" xr:uid="{00000000-0005-0000-0000-00008E000000}"/>
    <cellStyle name="Vírgula 2 2" xfId="16" xr:uid="{00000000-0005-0000-0000-00008F000000}"/>
    <cellStyle name="Vírgula 2 2 2" xfId="134" xr:uid="{00000000-0005-0000-0000-000090000000}"/>
    <cellStyle name="Vírgula 2 2 3" xfId="91" xr:uid="{00000000-0005-0000-0000-000091000000}"/>
    <cellStyle name="Vírgula 2 3" xfId="43" xr:uid="{00000000-0005-0000-0000-000092000000}"/>
    <cellStyle name="Vírgula 2 3 2" xfId="154" xr:uid="{00000000-0005-0000-0000-000093000000}"/>
    <cellStyle name="Vírgula 2 3 3" xfId="80" xr:uid="{00000000-0005-0000-0000-000094000000}"/>
    <cellStyle name="Vírgula 2 3 3 2" xfId="164" xr:uid="{00000000-0005-0000-0000-000095000000}"/>
    <cellStyle name="Vírgula 2 3 3 3" xfId="186" xr:uid="{A3FA3BE4-CD2C-4B65-A9F4-F6B9468CE666}"/>
    <cellStyle name="Vírgula 2 3 3 3 2" xfId="209" xr:uid="{79A0714C-DE1D-46D2-A1FB-442C9C4BE6B7}"/>
    <cellStyle name="Vírgula 2 3 4" xfId="111" xr:uid="{00000000-0005-0000-0000-000096000000}"/>
    <cellStyle name="Vírgula 2 4" xfId="130" xr:uid="{00000000-0005-0000-0000-000097000000}"/>
    <cellStyle name="Vírgula 2 5" xfId="87" xr:uid="{00000000-0005-0000-0000-000098000000}"/>
    <cellStyle name="Vírgula 3" xfId="4" xr:uid="{00000000-0005-0000-0000-000099000000}"/>
    <cellStyle name="Vírgula 3 2" xfId="127" xr:uid="{00000000-0005-0000-0000-00009A000000}"/>
    <cellStyle name="Vírgula 3 3" xfId="84" xr:uid="{00000000-0005-0000-0000-00009B000000}"/>
    <cellStyle name="Vírgula 4" xfId="15" xr:uid="{00000000-0005-0000-0000-00009C000000}"/>
    <cellStyle name="Vírgula 4 2" xfId="133" xr:uid="{00000000-0005-0000-0000-00009D000000}"/>
    <cellStyle name="Vírgula 4 3" xfId="90" xr:uid="{00000000-0005-0000-0000-00009E000000}"/>
    <cellStyle name="Vírgula 5" xfId="22" xr:uid="{00000000-0005-0000-0000-00009F000000}"/>
    <cellStyle name="Vírgula 5 2" xfId="35" xr:uid="{00000000-0005-0000-0000-0000A0000000}"/>
    <cellStyle name="Vírgula 5 2 2" xfId="150" xr:uid="{00000000-0005-0000-0000-0000A1000000}"/>
    <cellStyle name="Vírgula 5 2 3" xfId="107" xr:uid="{00000000-0005-0000-0000-0000A2000000}"/>
    <cellStyle name="Vírgula 5 3" xfId="138" xr:uid="{00000000-0005-0000-0000-0000A3000000}"/>
    <cellStyle name="Vírgula 5 4" xfId="95" xr:uid="{00000000-0005-0000-0000-0000A4000000}"/>
    <cellStyle name="Vírgula 5 5" xfId="182" xr:uid="{151A8C0F-8C9D-46D8-BF0A-9B18B1A3600A}"/>
    <cellStyle name="Vírgula 5 5 2" xfId="196" xr:uid="{0C18F4DE-6D40-4B04-82F0-5C756A16C483}"/>
    <cellStyle name="Vírgula 6" xfId="29" xr:uid="{00000000-0005-0000-0000-0000A5000000}"/>
    <cellStyle name="Vírgula 6 2" xfId="143" xr:uid="{00000000-0005-0000-0000-0000A6000000}"/>
    <cellStyle name="Vírgula 6 3" xfId="100" xr:uid="{00000000-0005-0000-0000-0000A7000000}"/>
    <cellStyle name="Vírgula 7" xfId="40" xr:uid="{00000000-0005-0000-0000-0000A8000000}"/>
    <cellStyle name="Vírgula 7 2" xfId="152" xr:uid="{00000000-0005-0000-0000-0000A9000000}"/>
    <cellStyle name="Vírgula 7 3" xfId="109" xr:uid="{00000000-0005-0000-0000-0000AA000000}"/>
    <cellStyle name="Vírgula 8" xfId="48" xr:uid="{00000000-0005-0000-0000-0000AB000000}"/>
    <cellStyle name="Vírgula 8 2" xfId="56" xr:uid="{00000000-0005-0000-0000-0000AC000000}"/>
    <cellStyle name="Vírgula 8 2 2" xfId="159" xr:uid="{00000000-0005-0000-0000-0000AD000000}"/>
    <cellStyle name="Vírgula 8 3" xfId="116" xr:uid="{00000000-0005-0000-0000-0000AE000000}"/>
    <cellStyle name="Vírgula 8 3 2" xfId="222" xr:uid="{CF972557-F637-4DFA-A252-6CE1401CF9AC}"/>
    <cellStyle name="Vírgula 9" xfId="51" xr:uid="{00000000-0005-0000-0000-0000AF000000}"/>
    <cellStyle name="Vírgula 9 2" xfId="144" xr:uid="{00000000-0005-0000-0000-0000B0000000}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5D9F1"/>
      <color rgb="FFDFF0D8"/>
      <color rgb="FFFFFF99"/>
      <color rgb="FFB7FF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30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28.jpg"/><Relationship Id="rId3" Type="http://schemas.openxmlformats.org/officeDocument/2006/relationships/image" Target="../media/image23.png"/><Relationship Id="rId7" Type="http://schemas.openxmlformats.org/officeDocument/2006/relationships/image" Target="../media/image27.jp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6.png"/><Relationship Id="rId5" Type="http://schemas.openxmlformats.org/officeDocument/2006/relationships/image" Target="../media/image25.png"/><Relationship Id="rId4" Type="http://schemas.openxmlformats.org/officeDocument/2006/relationships/image" Target="../media/image24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5.png"/><Relationship Id="rId3" Type="http://schemas.openxmlformats.org/officeDocument/2006/relationships/image" Target="../media/image31.png"/><Relationship Id="rId7" Type="http://schemas.openxmlformats.org/officeDocument/2006/relationships/image" Target="../media/image34.png"/><Relationship Id="rId2" Type="http://schemas.openxmlformats.org/officeDocument/2006/relationships/image" Target="../media/image30.png"/><Relationship Id="rId1" Type="http://schemas.openxmlformats.org/officeDocument/2006/relationships/image" Target="../media/image29.png"/><Relationship Id="rId6" Type="http://schemas.openxmlformats.org/officeDocument/2006/relationships/image" Target="../media/image33.png"/><Relationship Id="rId5" Type="http://schemas.openxmlformats.org/officeDocument/2006/relationships/image" Target="../media/image32.png"/><Relationship Id="rId4" Type="http://schemas.openxmlformats.org/officeDocument/2006/relationships/image" Target="../media/image22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6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2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2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jpe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7.jpe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4.pn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7.jpeg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2.png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2.png"/></Relationships>
</file>

<file path=xl/drawings/_rels/vmlDrawing14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9.jpeg"/></Relationships>
</file>

<file path=xl/drawings/_rels/vmlDrawing15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2.png"/></Relationships>
</file>

<file path=xl/drawings/_rels/vmlDrawing1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7.jpeg"/></Relationships>
</file>

<file path=xl/drawings/_rels/vmlDrawing17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12.png"/></Relationships>
</file>

<file path=xl/drawings/_rels/vmlDrawing1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7.jpe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20.emf"/></Relationships>
</file>

<file path=xl/drawings/_rels/vmlDrawing21.v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vmlDrawing2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7.jpeg"/><Relationship Id="rId1" Type="http://schemas.openxmlformats.org/officeDocument/2006/relationships/image" Target="../media/image1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790575</xdr:colOff>
      <xdr:row>20</xdr:row>
      <xdr:rowOff>163577</xdr:rowOff>
    </xdr:from>
    <xdr:to>
      <xdr:col>12</xdr:col>
      <xdr:colOff>828675</xdr:colOff>
      <xdr:row>41</xdr:row>
      <xdr:rowOff>143734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25075" y="5335652"/>
          <a:ext cx="2809875" cy="3980657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485776</xdr:colOff>
      <xdr:row>21</xdr:row>
      <xdr:rowOff>8015</xdr:rowOff>
    </xdr:from>
    <xdr:to>
      <xdr:col>5</xdr:col>
      <xdr:colOff>47626</xdr:colOff>
      <xdr:row>32</xdr:row>
      <xdr:rowOff>29128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7726" y="5370590"/>
          <a:ext cx="4838700" cy="2116613"/>
        </a:xfrm>
        <a:prstGeom prst="rect">
          <a:avLst/>
        </a:prstGeom>
      </xdr:spPr>
    </xdr:pic>
    <xdr:clientData/>
  </xdr:twoCellAnchor>
  <xdr:twoCellAnchor editAs="oneCell">
    <xdr:from>
      <xdr:col>5</xdr:col>
      <xdr:colOff>564430</xdr:colOff>
      <xdr:row>20</xdr:row>
      <xdr:rowOff>161925</xdr:rowOff>
    </xdr:from>
    <xdr:to>
      <xdr:col>9</xdr:col>
      <xdr:colOff>57759</xdr:colOff>
      <xdr:row>46</xdr:row>
      <xdr:rowOff>124764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03230" y="5334000"/>
          <a:ext cx="3189029" cy="49158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1047751</xdr:colOff>
      <xdr:row>17</xdr:row>
      <xdr:rowOff>23331</xdr:rowOff>
    </xdr:from>
    <xdr:to>
      <xdr:col>7</xdr:col>
      <xdr:colOff>857250</xdr:colOff>
      <xdr:row>26</xdr:row>
      <xdr:rowOff>14155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1" y="4461981"/>
          <a:ext cx="3886199" cy="1705324"/>
        </a:xfrm>
        <a:prstGeom prst="rect">
          <a:avLst/>
        </a:prstGeom>
      </xdr:spPr>
    </xdr:pic>
    <xdr:clientData/>
  </xdr:twoCellAnchor>
  <xdr:twoCellAnchor editAs="oneCell">
    <xdr:from>
      <xdr:col>8</xdr:col>
      <xdr:colOff>628650</xdr:colOff>
      <xdr:row>16</xdr:row>
      <xdr:rowOff>152400</xdr:rowOff>
    </xdr:from>
    <xdr:to>
      <xdr:col>12</xdr:col>
      <xdr:colOff>561974</xdr:colOff>
      <xdr:row>25</xdr:row>
      <xdr:rowOff>181697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53525" y="4400550"/>
          <a:ext cx="3867149" cy="1743797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17</xdr:row>
      <xdr:rowOff>99056</xdr:rowOff>
    </xdr:from>
    <xdr:to>
      <xdr:col>3</xdr:col>
      <xdr:colOff>323851</xdr:colOff>
      <xdr:row>26</xdr:row>
      <xdr:rowOff>74136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2425" y="4537706"/>
          <a:ext cx="3495676" cy="16895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397565</xdr:colOff>
      <xdr:row>18</xdr:row>
      <xdr:rowOff>65707</xdr:rowOff>
    </xdr:from>
    <xdr:to>
      <xdr:col>19</xdr:col>
      <xdr:colOff>516125</xdr:colOff>
      <xdr:row>37</xdr:row>
      <xdr:rowOff>47318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7565" y="4604577"/>
          <a:ext cx="11001908" cy="4702698"/>
        </a:xfrm>
        <a:prstGeom prst="rect">
          <a:avLst/>
        </a:prstGeom>
      </xdr:spPr>
    </xdr:pic>
    <xdr:clientData/>
  </xdr:twoCellAnchor>
  <xdr:twoCellAnchor>
    <xdr:from>
      <xdr:col>16</xdr:col>
      <xdr:colOff>182218</xdr:colOff>
      <xdr:row>34</xdr:row>
      <xdr:rowOff>124239</xdr:rowOff>
    </xdr:from>
    <xdr:to>
      <xdr:col>17</xdr:col>
      <xdr:colOff>223631</xdr:colOff>
      <xdr:row>35</xdr:row>
      <xdr:rowOff>157370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9450457" y="8638761"/>
          <a:ext cx="571500" cy="281609"/>
        </a:xfrm>
        <a:prstGeom prst="rect">
          <a:avLst/>
        </a:prstGeom>
        <a:noFill/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19</xdr:col>
      <xdr:colOff>649940</xdr:colOff>
      <xdr:row>18</xdr:row>
      <xdr:rowOff>73916</xdr:rowOff>
    </xdr:from>
    <xdr:to>
      <xdr:col>27</xdr:col>
      <xdr:colOff>1123629</xdr:colOff>
      <xdr:row>37</xdr:row>
      <xdr:rowOff>56029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64469" y="4556269"/>
          <a:ext cx="9740954" cy="4666172"/>
        </a:xfrm>
        <a:prstGeom prst="rect">
          <a:avLst/>
        </a:prstGeom>
      </xdr:spPr>
    </xdr:pic>
    <xdr:clientData/>
  </xdr:twoCellAnchor>
  <xdr:twoCellAnchor>
    <xdr:from>
      <xdr:col>26</xdr:col>
      <xdr:colOff>907677</xdr:colOff>
      <xdr:row>34</xdr:row>
      <xdr:rowOff>224118</xdr:rowOff>
    </xdr:from>
    <xdr:to>
      <xdr:col>26</xdr:col>
      <xdr:colOff>1486973</xdr:colOff>
      <xdr:row>36</xdr:row>
      <xdr:rowOff>10720</xdr:rowOff>
    </xdr:to>
    <xdr:sp macro="" textlink="">
      <xdr:nvSpPr>
        <xdr:cNvPr id="7" name="Retângulo 6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19498236" y="8650942"/>
          <a:ext cx="579296" cy="279660"/>
        </a:xfrm>
        <a:prstGeom prst="rect">
          <a:avLst/>
        </a:prstGeom>
        <a:noFill/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113600</xdr:colOff>
      <xdr:row>4</xdr:row>
      <xdr:rowOff>62823</xdr:rowOff>
    </xdr:from>
    <xdr:ext cx="1374682" cy="474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00000000-0008-0000-0B00-000002000000}"/>
                </a:ext>
              </a:extLst>
            </xdr:cNvPr>
            <xdr:cNvSpPr txBox="1"/>
          </xdr:nvSpPr>
          <xdr:spPr>
            <a:xfrm>
              <a:off x="150425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7079C09A-397C-4335-89A4-791C5928C020}"/>
                </a:ext>
              </a:extLst>
            </xdr:cNvPr>
            <xdr:cNvSpPr txBox="1"/>
          </xdr:nvSpPr>
          <xdr:spPr>
            <a:xfrm>
              <a:off x="150425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𝐼=(𝑎</a:t>
              </a:r>
              <a:r>
                <a:rPr lang="pt-B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4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  <xdr:oneCellAnchor>
    <xdr:from>
      <xdr:col>2</xdr:col>
      <xdr:colOff>113600</xdr:colOff>
      <xdr:row>4</xdr:row>
      <xdr:rowOff>62823</xdr:rowOff>
    </xdr:from>
    <xdr:ext cx="1374682" cy="474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B00-000003000000}"/>
                </a:ext>
              </a:extLst>
            </xdr:cNvPr>
            <xdr:cNvSpPr txBox="1"/>
          </xdr:nvSpPr>
          <xdr:spPr>
            <a:xfrm>
              <a:off x="150425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FAAAA41-7CDB-42C3-B0FD-F155BD50F4E3}"/>
                </a:ext>
              </a:extLst>
            </xdr:cNvPr>
            <xdr:cNvSpPr txBox="1"/>
          </xdr:nvSpPr>
          <xdr:spPr>
            <a:xfrm>
              <a:off x="150425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𝐼=(𝑎</a:t>
              </a:r>
              <a:r>
                <a:rPr lang="pt-B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4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  <xdr:twoCellAnchor editAs="oneCell">
    <xdr:from>
      <xdr:col>3</xdr:col>
      <xdr:colOff>526676</xdr:colOff>
      <xdr:row>99</xdr:row>
      <xdr:rowOff>112058</xdr:rowOff>
    </xdr:from>
    <xdr:to>
      <xdr:col>19</xdr:col>
      <xdr:colOff>95045</xdr:colOff>
      <xdr:row>143</xdr:row>
      <xdr:rowOff>67235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79058" y="24103852"/>
          <a:ext cx="7566880" cy="9323295"/>
        </a:xfrm>
        <a:prstGeom prst="rect">
          <a:avLst/>
        </a:prstGeom>
      </xdr:spPr>
    </xdr:pic>
    <xdr:clientData/>
  </xdr:twoCellAnchor>
  <xdr:oneCellAnchor>
    <xdr:from>
      <xdr:col>2</xdr:col>
      <xdr:colOff>113600</xdr:colOff>
      <xdr:row>4</xdr:row>
      <xdr:rowOff>62823</xdr:rowOff>
    </xdr:from>
    <xdr:ext cx="1374682" cy="474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aixaDeTexto 4">
              <a:extLst>
                <a:ext uri="{FF2B5EF4-FFF2-40B4-BE49-F238E27FC236}">
                  <a16:creationId xmlns:a16="http://schemas.microsoft.com/office/drawing/2014/main" id="{00000000-0008-0000-0B00-000005000000}"/>
                </a:ext>
              </a:extLst>
            </xdr:cNvPr>
            <xdr:cNvSpPr txBox="1"/>
          </xdr:nvSpPr>
          <xdr:spPr>
            <a:xfrm>
              <a:off x="1656650" y="904198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5" name="CaixaDeTexto 4">
              <a:extLst>
                <a:ext uri="{FF2B5EF4-FFF2-40B4-BE49-F238E27FC236}">
                  <a16:creationId xmlns:a16="http://schemas.microsoft.com/office/drawing/2014/main" id="{DDA3BD40-BFF1-4F77-A282-ACDF3209F751}"/>
                </a:ext>
              </a:extLst>
            </xdr:cNvPr>
            <xdr:cNvSpPr txBox="1"/>
          </xdr:nvSpPr>
          <xdr:spPr>
            <a:xfrm>
              <a:off x="1656650" y="904198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𝐼=(𝑎</a:t>
              </a:r>
              <a:r>
                <a:rPr lang="pt-B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4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  <xdr:oneCellAnchor>
    <xdr:from>
      <xdr:col>2</xdr:col>
      <xdr:colOff>113600</xdr:colOff>
      <xdr:row>4</xdr:row>
      <xdr:rowOff>62823</xdr:rowOff>
    </xdr:from>
    <xdr:ext cx="1374682" cy="474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aixaDeTexto 5">
              <a:extLst>
                <a:ext uri="{FF2B5EF4-FFF2-40B4-BE49-F238E27FC236}">
                  <a16:creationId xmlns:a16="http://schemas.microsoft.com/office/drawing/2014/main" id="{00000000-0008-0000-0B00-000006000000}"/>
                </a:ext>
              </a:extLst>
            </xdr:cNvPr>
            <xdr:cNvSpPr txBox="1"/>
          </xdr:nvSpPr>
          <xdr:spPr>
            <a:xfrm>
              <a:off x="1656650" y="904198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6" name="CaixaDeTexto 5">
              <a:extLst>
                <a:ext uri="{FF2B5EF4-FFF2-40B4-BE49-F238E27FC236}">
                  <a16:creationId xmlns:a16="http://schemas.microsoft.com/office/drawing/2014/main" id="{4669338F-2F9E-4B32-AEBE-4B81D0DCAF1A}"/>
                </a:ext>
              </a:extLst>
            </xdr:cNvPr>
            <xdr:cNvSpPr txBox="1"/>
          </xdr:nvSpPr>
          <xdr:spPr>
            <a:xfrm>
              <a:off x="1656650" y="904198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𝐼=(𝑎</a:t>
              </a:r>
              <a:r>
                <a:rPr lang="pt-B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4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  <xdr:twoCellAnchor editAs="oneCell">
    <xdr:from>
      <xdr:col>3</xdr:col>
      <xdr:colOff>526676</xdr:colOff>
      <xdr:row>99</xdr:row>
      <xdr:rowOff>112058</xdr:rowOff>
    </xdr:from>
    <xdr:to>
      <xdr:col>19</xdr:col>
      <xdr:colOff>95045</xdr:colOff>
      <xdr:row>143</xdr:row>
      <xdr:rowOff>67236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19051" y="21762383"/>
          <a:ext cx="8429794" cy="91753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113600</xdr:colOff>
      <xdr:row>4</xdr:row>
      <xdr:rowOff>62823</xdr:rowOff>
    </xdr:from>
    <xdr:ext cx="1374682" cy="474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00000000-0008-0000-0C00-000002000000}"/>
                </a:ext>
              </a:extLst>
            </xdr:cNvPr>
            <xdr:cNvSpPr txBox="1"/>
          </xdr:nvSpPr>
          <xdr:spPr>
            <a:xfrm>
              <a:off x="133280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2" name="CaixaDeTexto 1">
              <a:extLst>
                <a:ext uri="{FF2B5EF4-FFF2-40B4-BE49-F238E27FC236}">
                  <a16:creationId xmlns:a16="http://schemas.microsoft.com/office/drawing/2014/main" id="{5A48BD40-052E-4F46-8C69-55F6D8DB5A34}"/>
                </a:ext>
              </a:extLst>
            </xdr:cNvPr>
            <xdr:cNvSpPr txBox="1"/>
          </xdr:nvSpPr>
          <xdr:spPr>
            <a:xfrm>
              <a:off x="1332800" y="901023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𝐼=(𝑎</a:t>
              </a:r>
              <a:r>
                <a:rPr lang="pt-B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4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  <xdr:oneCellAnchor>
    <xdr:from>
      <xdr:col>2</xdr:col>
      <xdr:colOff>113600</xdr:colOff>
      <xdr:row>4</xdr:row>
      <xdr:rowOff>62823</xdr:rowOff>
    </xdr:from>
    <xdr:ext cx="1374682" cy="4749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C00-000003000000}"/>
                </a:ext>
              </a:extLst>
            </xdr:cNvPr>
            <xdr:cNvSpPr txBox="1"/>
          </xdr:nvSpPr>
          <xdr:spPr>
            <a:xfrm>
              <a:off x="1466150" y="904198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pt-BR" sz="14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pt-BR" sz="14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pt-BR" sz="14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pt-BR" sz="1400" b="0" i="1">
                            <a:latin typeface="Cambria Math" panose="02040503050406030204" pitchFamily="18" charset="0"/>
                          </a:rPr>
                          <m:t>𝑎</m:t>
                        </m:r>
                        <m:r>
                          <a:rPr lang="pt-BR" sz="14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𝑏</m:t>
                            </m:r>
                          </m:sup>
                        </m:sSup>
                      </m:num>
                      <m:den>
                        <m:sSup>
                          <m:sSupPr>
                            <m:ctrlPr>
                              <a:rPr lang="pt-BR" sz="1400" b="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𝑡𝑐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+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𝑐</m:t>
                            </m:r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)</m:t>
                            </m:r>
                          </m:e>
                          <m:sup>
                            <m:r>
                              <a:rPr lang="pt-BR" sz="1400" b="0" i="1">
                                <a:latin typeface="Cambria Math" panose="02040503050406030204" pitchFamily="18" charset="0"/>
                              </a:rPr>
                              <m:t>𝑑</m:t>
                            </m:r>
                          </m:sup>
                        </m:sSup>
                      </m:den>
                    </m:f>
                  </m:oMath>
                </m:oMathPara>
              </a14:m>
              <a:endParaRPr lang="pt-BR" sz="1100"/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C43A53F8-1097-4A2E-8663-6CB68CBE1F3C}"/>
                </a:ext>
              </a:extLst>
            </xdr:cNvPr>
            <xdr:cNvSpPr txBox="1"/>
          </xdr:nvSpPr>
          <xdr:spPr>
            <a:xfrm>
              <a:off x="1466150" y="904198"/>
              <a:ext cx="1374682" cy="4749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pt-BR" sz="1400" b="0" i="0">
                  <a:latin typeface="Cambria Math" panose="02040503050406030204" pitchFamily="18" charset="0"/>
                </a:rPr>
                <a:t>𝐼=(𝑎</a:t>
              </a:r>
              <a:r>
                <a:rPr lang="pt-BR" sz="14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×〖𝑇𝑟〗^𝑏)/〖</a:t>
              </a:r>
              <a:r>
                <a:rPr lang="pt-BR" sz="1400" b="0" i="0">
                  <a:latin typeface="Cambria Math" panose="02040503050406030204" pitchFamily="18" charset="0"/>
                </a:rPr>
                <a:t>(𝑡𝑐+𝑐)〗^𝑑 </a:t>
              </a:r>
              <a:endParaRPr lang="pt-BR" sz="1100"/>
            </a:p>
          </xdr:txBody>
        </xdr:sp>
      </mc:Fallback>
    </mc:AlternateContent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639537</xdr:colOff>
      <xdr:row>36</xdr:row>
      <xdr:rowOff>65315</xdr:rowOff>
    </xdr:from>
    <xdr:ext cx="447674" cy="429308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39937" y="18810515"/>
          <a:ext cx="447674" cy="429308"/>
        </a:xfrm>
        <a:prstGeom prst="rect">
          <a:avLst/>
        </a:prstGeom>
      </xdr:spPr>
    </xdr:pic>
    <xdr:clientData/>
  </xdr:oneCellAnchor>
  <xdr:oneCellAnchor>
    <xdr:from>
      <xdr:col>2</xdr:col>
      <xdr:colOff>659547</xdr:colOff>
      <xdr:row>35</xdr:row>
      <xdr:rowOff>56830</xdr:rowOff>
    </xdr:from>
    <xdr:ext cx="399825" cy="409659"/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15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9020" t="21215" r="38534" b="38039"/>
        <a:stretch/>
      </xdr:blipFill>
      <xdr:spPr>
        <a:xfrm>
          <a:off x="3859947" y="18230530"/>
          <a:ext cx="399825" cy="409659"/>
        </a:xfrm>
        <a:prstGeom prst="rect">
          <a:avLst/>
        </a:prstGeom>
      </xdr:spPr>
    </xdr:pic>
    <xdr:clientData/>
  </xdr:oneCellAnchor>
  <xdr:twoCellAnchor editAs="oneCell">
    <xdr:from>
      <xdr:col>2</xdr:col>
      <xdr:colOff>530679</xdr:colOff>
      <xdr:row>14</xdr:row>
      <xdr:rowOff>40820</xdr:rowOff>
    </xdr:from>
    <xdr:to>
      <xdr:col>2</xdr:col>
      <xdr:colOff>1160490</xdr:colOff>
      <xdr:row>14</xdr:row>
      <xdr:rowOff>513261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00000000-0008-0000-15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31079" y="8089445"/>
          <a:ext cx="633621" cy="476251"/>
        </a:xfrm>
        <a:prstGeom prst="rect">
          <a:avLst/>
        </a:prstGeom>
      </xdr:spPr>
    </xdr:pic>
    <xdr:clientData/>
  </xdr:twoCellAnchor>
  <xdr:twoCellAnchor editAs="oneCell">
    <xdr:from>
      <xdr:col>2</xdr:col>
      <xdr:colOff>517071</xdr:colOff>
      <xdr:row>15</xdr:row>
      <xdr:rowOff>81644</xdr:rowOff>
    </xdr:from>
    <xdr:to>
      <xdr:col>2</xdr:col>
      <xdr:colOff>1200783</xdr:colOff>
      <xdr:row>15</xdr:row>
      <xdr:rowOff>498362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00000000-0008-0000-1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6393" r="11475"/>
        <a:stretch/>
      </xdr:blipFill>
      <xdr:spPr>
        <a:xfrm>
          <a:off x="3717471" y="8701769"/>
          <a:ext cx="674187" cy="416718"/>
        </a:xfrm>
        <a:prstGeom prst="rect">
          <a:avLst/>
        </a:prstGeom>
      </xdr:spPr>
    </xdr:pic>
    <xdr:clientData/>
  </xdr:twoCellAnchor>
  <xdr:twoCellAnchor editAs="oneCell">
    <xdr:from>
      <xdr:col>2</xdr:col>
      <xdr:colOff>517072</xdr:colOff>
      <xdr:row>17</xdr:row>
      <xdr:rowOff>95250</xdr:rowOff>
    </xdr:from>
    <xdr:to>
      <xdr:col>2</xdr:col>
      <xdr:colOff>1168799</xdr:colOff>
      <xdr:row>17</xdr:row>
      <xdr:rowOff>520573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15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16200000">
          <a:off x="3830674" y="9745173"/>
          <a:ext cx="431038" cy="657442"/>
        </a:xfrm>
        <a:prstGeom prst="rect">
          <a:avLst/>
        </a:prstGeom>
      </xdr:spPr>
    </xdr:pic>
    <xdr:clientData/>
  </xdr:twoCellAnchor>
  <xdr:twoCellAnchor editAs="oneCell">
    <xdr:from>
      <xdr:col>2</xdr:col>
      <xdr:colOff>503465</xdr:colOff>
      <xdr:row>18</xdr:row>
      <xdr:rowOff>95250</xdr:rowOff>
    </xdr:from>
    <xdr:to>
      <xdr:col>2</xdr:col>
      <xdr:colOff>1160639</xdr:colOff>
      <xdr:row>18</xdr:row>
      <xdr:rowOff>437594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00000000-0008-0000-15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5400000">
          <a:off x="3861280" y="10272460"/>
          <a:ext cx="351869" cy="666699"/>
        </a:xfrm>
        <a:prstGeom prst="rect">
          <a:avLst/>
        </a:prstGeom>
      </xdr:spPr>
    </xdr:pic>
    <xdr:clientData/>
  </xdr:twoCellAnchor>
  <xdr:oneCellAnchor>
    <xdr:from>
      <xdr:col>2</xdr:col>
      <xdr:colOff>437809</xdr:colOff>
      <xdr:row>3</xdr:row>
      <xdr:rowOff>108858</xdr:rowOff>
    </xdr:from>
    <xdr:ext cx="746011" cy="416196"/>
    <xdr:pic>
      <xdr:nvPicPr>
        <xdr:cNvPr id="16" name="Imagem 15">
          <a:extLst>
            <a:ext uri="{FF2B5EF4-FFF2-40B4-BE49-F238E27FC236}">
              <a16:creationId xmlns:a16="http://schemas.microsoft.com/office/drawing/2014/main" id="{00000000-0008-0000-15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8209" y="2004333"/>
          <a:ext cx="746011" cy="416196"/>
        </a:xfrm>
        <a:prstGeom prst="rect">
          <a:avLst/>
        </a:prstGeom>
      </xdr:spPr>
    </xdr:pic>
    <xdr:clientData/>
  </xdr:oneCellAnchor>
  <xdr:oneCellAnchor>
    <xdr:from>
      <xdr:col>2</xdr:col>
      <xdr:colOff>435429</xdr:colOff>
      <xdr:row>4</xdr:row>
      <xdr:rowOff>77329</xdr:rowOff>
    </xdr:from>
    <xdr:ext cx="761999" cy="425116"/>
    <xdr:pic>
      <xdr:nvPicPr>
        <xdr:cNvPr id="17" name="Imagem 16">
          <a:extLst>
            <a:ext uri="{FF2B5EF4-FFF2-40B4-BE49-F238E27FC236}">
              <a16:creationId xmlns:a16="http://schemas.microsoft.com/office/drawing/2014/main" id="{00000000-0008-0000-15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5829" y="2544304"/>
          <a:ext cx="761999" cy="425116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485775</xdr:colOff>
          <xdr:row>49</xdr:row>
          <xdr:rowOff>38100</xdr:rowOff>
        </xdr:from>
        <xdr:to>
          <xdr:col>2</xdr:col>
          <xdr:colOff>1514475</xdr:colOff>
          <xdr:row>49</xdr:row>
          <xdr:rowOff>504825</xdr:rowOff>
        </xdr:to>
        <xdr:sp macro="" textlink="">
          <xdr:nvSpPr>
            <xdr:cNvPr id="125953" name="Object 1" hidden="1">
              <a:extLst>
                <a:ext uri="{63B3BB69-23CF-44E3-9099-C40C66FF867C}">
                  <a14:compatExt spid="_x0000_s125953"/>
                </a:ext>
                <a:ext uri="{FF2B5EF4-FFF2-40B4-BE49-F238E27FC236}">
                  <a16:creationId xmlns:a16="http://schemas.microsoft.com/office/drawing/2014/main" id="{00000000-0008-0000-1500-000001EC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2</xdr:col>
      <xdr:colOff>517071</xdr:colOff>
      <xdr:row>16</xdr:row>
      <xdr:rowOff>81644</xdr:rowOff>
    </xdr:from>
    <xdr:ext cx="674187" cy="416718"/>
    <xdr:pic>
      <xdr:nvPicPr>
        <xdr:cNvPr id="31" name="Imagem 30">
          <a:extLst>
            <a:ext uri="{FF2B5EF4-FFF2-40B4-BE49-F238E27FC236}">
              <a16:creationId xmlns:a16="http://schemas.microsoft.com/office/drawing/2014/main" id="{00000000-0008-0000-15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6393" r="11475"/>
        <a:stretch/>
      </xdr:blipFill>
      <xdr:spPr>
        <a:xfrm>
          <a:off x="3717471" y="9273269"/>
          <a:ext cx="674187" cy="416718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254286</xdr:colOff>
      <xdr:row>6</xdr:row>
      <xdr:rowOff>168967</xdr:rowOff>
    </xdr:from>
    <xdr:ext cx="1062650" cy="323356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177" t="38959" r="37622" b="45739"/>
        <a:stretch/>
      </xdr:blipFill>
      <xdr:spPr>
        <a:xfrm>
          <a:off x="2626011" y="2607367"/>
          <a:ext cx="1062650" cy="323356"/>
        </a:xfrm>
        <a:prstGeom prst="rect">
          <a:avLst/>
        </a:prstGeom>
      </xdr:spPr>
    </xdr:pic>
    <xdr:clientData/>
  </xdr:oneCellAnchor>
  <xdr:oneCellAnchor>
    <xdr:from>
      <xdr:col>2</xdr:col>
      <xdr:colOff>411241</xdr:colOff>
      <xdr:row>17</xdr:row>
      <xdr:rowOff>38737</xdr:rowOff>
    </xdr:from>
    <xdr:ext cx="503640" cy="396691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3529" t="29561" r="32643" b="36712"/>
        <a:stretch/>
      </xdr:blipFill>
      <xdr:spPr>
        <a:xfrm>
          <a:off x="2782966" y="8592187"/>
          <a:ext cx="503640" cy="396691"/>
        </a:xfrm>
        <a:prstGeom prst="rect">
          <a:avLst/>
        </a:prstGeom>
      </xdr:spPr>
    </xdr:pic>
    <xdr:clientData/>
  </xdr:oneCellAnchor>
  <xdr:twoCellAnchor>
    <xdr:from>
      <xdr:col>2</xdr:col>
      <xdr:colOff>209130</xdr:colOff>
      <xdr:row>12</xdr:row>
      <xdr:rowOff>265864</xdr:rowOff>
    </xdr:from>
    <xdr:to>
      <xdr:col>2</xdr:col>
      <xdr:colOff>1095375</xdr:colOff>
      <xdr:row>12</xdr:row>
      <xdr:rowOff>266700</xdr:rowOff>
    </xdr:to>
    <xdr:cxnSp macro="">
      <xdr:nvCxnSpPr>
        <xdr:cNvPr id="4" name="Conector reto 3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CxnSpPr/>
      </xdr:nvCxnSpPr>
      <xdr:spPr>
        <a:xfrm>
          <a:off x="2580855" y="5790364"/>
          <a:ext cx="886245" cy="836"/>
        </a:xfrm>
        <a:prstGeom prst="line">
          <a:avLst/>
        </a:prstGeom>
        <a:ln w="889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2</xdr:col>
      <xdr:colOff>200197</xdr:colOff>
      <xdr:row>13</xdr:row>
      <xdr:rowOff>57262</xdr:rowOff>
    </xdr:from>
    <xdr:ext cx="983625" cy="444144"/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4190" t="31243" r="29050" b="35928"/>
        <a:stretch/>
      </xdr:blipFill>
      <xdr:spPr>
        <a:xfrm>
          <a:off x="2571922" y="6096112"/>
          <a:ext cx="983625" cy="444144"/>
        </a:xfrm>
        <a:prstGeom prst="rect">
          <a:avLst/>
        </a:prstGeom>
      </xdr:spPr>
    </xdr:pic>
    <xdr:clientData/>
  </xdr:oneCellAnchor>
  <xdr:oneCellAnchor>
    <xdr:from>
      <xdr:col>2</xdr:col>
      <xdr:colOff>494698</xdr:colOff>
      <xdr:row>21</xdr:row>
      <xdr:rowOff>36142</xdr:rowOff>
    </xdr:from>
    <xdr:ext cx="399825" cy="409659"/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16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39020" t="21215" r="38534" b="38039"/>
        <a:stretch/>
      </xdr:blipFill>
      <xdr:spPr>
        <a:xfrm>
          <a:off x="2866423" y="10761292"/>
          <a:ext cx="399825" cy="409659"/>
        </a:xfrm>
        <a:prstGeom prst="rect">
          <a:avLst/>
        </a:prstGeom>
      </xdr:spPr>
    </xdr:pic>
    <xdr:clientData/>
  </xdr:oneCellAnchor>
  <xdr:oneCellAnchor>
    <xdr:from>
      <xdr:col>2</xdr:col>
      <xdr:colOff>167304</xdr:colOff>
      <xdr:row>16</xdr:row>
      <xdr:rowOff>58653</xdr:rowOff>
    </xdr:from>
    <xdr:ext cx="953925" cy="408695"/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37354" t="33063" r="17198" b="32759"/>
        <a:stretch/>
      </xdr:blipFill>
      <xdr:spPr>
        <a:xfrm>
          <a:off x="2539029" y="7983453"/>
          <a:ext cx="953925" cy="408695"/>
        </a:xfrm>
        <a:prstGeom prst="rect">
          <a:avLst/>
        </a:prstGeom>
      </xdr:spPr>
    </xdr:pic>
    <xdr:clientData/>
  </xdr:oneCellAnchor>
  <xdr:oneCellAnchor>
    <xdr:from>
      <xdr:col>2</xdr:col>
      <xdr:colOff>211681</xdr:colOff>
      <xdr:row>7</xdr:row>
      <xdr:rowOff>115955</xdr:rowOff>
    </xdr:from>
    <xdr:ext cx="1005863" cy="314741"/>
    <xdr:pic>
      <xdr:nvPicPr>
        <xdr:cNvPr id="8" name="Imagem 7">
          <a:extLst>
            <a:ext uri="{FF2B5EF4-FFF2-40B4-BE49-F238E27FC236}">
              <a16:creationId xmlns:a16="http://schemas.microsoft.com/office/drawing/2014/main" id="{00000000-0008-0000-16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29744" t="40155" r="46400" b="49897"/>
        <a:stretch/>
      </xdr:blipFill>
      <xdr:spPr>
        <a:xfrm>
          <a:off x="2583406" y="3068705"/>
          <a:ext cx="1005863" cy="314741"/>
        </a:xfrm>
        <a:prstGeom prst="rect">
          <a:avLst/>
        </a:prstGeom>
      </xdr:spPr>
    </xdr:pic>
    <xdr:clientData/>
  </xdr:oneCellAnchor>
  <xdr:twoCellAnchor editAs="oneCell">
    <xdr:from>
      <xdr:col>2</xdr:col>
      <xdr:colOff>470647</xdr:colOff>
      <xdr:row>22</xdr:row>
      <xdr:rowOff>56029</xdr:rowOff>
    </xdr:from>
    <xdr:to>
      <xdr:col>2</xdr:col>
      <xdr:colOff>888034</xdr:colOff>
      <xdr:row>22</xdr:row>
      <xdr:rowOff>493058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16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842372" y="11486029"/>
          <a:ext cx="417387" cy="437029"/>
        </a:xfrm>
        <a:prstGeom prst="rect">
          <a:avLst/>
        </a:prstGeom>
      </xdr:spPr>
    </xdr:pic>
    <xdr:clientData/>
  </xdr:twoCellAnchor>
  <xdr:oneCellAnchor>
    <xdr:from>
      <xdr:col>2</xdr:col>
      <xdr:colOff>217715</xdr:colOff>
      <xdr:row>29</xdr:row>
      <xdr:rowOff>54430</xdr:rowOff>
    </xdr:from>
    <xdr:ext cx="829834" cy="405848"/>
    <xdr:pic>
      <xdr:nvPicPr>
        <xdr:cNvPr id="10" name="Imagem 9">
          <a:extLst>
            <a:ext uri="{FF2B5EF4-FFF2-40B4-BE49-F238E27FC236}">
              <a16:creationId xmlns:a16="http://schemas.microsoft.com/office/drawing/2014/main" id="{00000000-0008-0000-16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589440" y="13541830"/>
          <a:ext cx="829834" cy="40584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04-EXC/ANTUNES/Jardim%20Antunes%20-%20Or&#231;amento%20e%20Mem&#243;ria_R03.xlsx" TargetMode="External"/><Relationship Id="rId2" Type="http://schemas.openxmlformats.org/officeDocument/2006/relationships/externalLinkPath" Target="file:///S:\TRABALHO\00.%20Projetos\16.%20CEL%20SAPUCAIA\01.%20ANTUNES-LARANJEIRA\04-EXC\ANTUNES\Jardim%20Antunes%20-%20Or&#231;amento%20e%20Mem&#243;ria_R03.xlsx" TargetMode="External"/><Relationship Id="rId1" Type="http://schemas.openxmlformats.org/officeDocument/2006/relationships/externalLinkPath" Target="/TRABALHO/00.%20Projetos/16.%20CEL%20SAPUCAIA/01.%20ANTUNES-LARANJEIRA/04-EXC/ANTUNES/Jardim%20Antunes%20-%20Or&#231;amento%20e%20Mem&#243;ria_R03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04-EXC/LARANJEIRA/PQ_IND-R00-PE-MEM-001-MS-ATIVO.xlsx" TargetMode="External"/><Relationship Id="rId2" Type="http://schemas.openxmlformats.org/officeDocument/2006/relationships/externalLinkPath" Target="file:///S:\TRABALHO\00.%20Projetos\16.%20CEL%20SAPUCAIA\01.%20ANTUNES-LARANJEIRA\04-EXC\LARANJEIRA\PQ_IND-R00-PE-MEM-001-MS-ATIVO.xlsx" TargetMode="External"/><Relationship Id="rId1" Type="http://schemas.openxmlformats.org/officeDocument/2006/relationships/externalLinkPath" Target="/TRABALHO/00.%20Projetos/16.%20CEL%20SAPUCAIA/01.%20ANTUNES-LARANJEIRA/04-EXC/LARANJEIRA/PQ_IND-R00-PE-MEM-001-MS-ATI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ORÇ. RESUMIDO"/>
      <sheetName val="ORÇ. SINTÉTICO"/>
      <sheetName val="CFF"/>
      <sheetName val="CPUs"/>
      <sheetName val="DMT"/>
      <sheetName val="MAT BET"/>
      <sheetName val="GRELHA"/>
      <sheetName val="PRELIMINARES"/>
      <sheetName val="DRENAGEM"/>
      <sheetName val="DRENO"/>
      <sheetName val="DISP. DRENAGEM"/>
      <sheetName val="PAVIMENTAÇÃO"/>
      <sheetName val="CALÇADA"/>
      <sheetName val="SINALIZAÇÃ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9">
          <cell r="D9" t="str">
            <v>+</v>
          </cell>
          <cell r="G9" t="str">
            <v>+</v>
          </cell>
        </row>
        <row r="10">
          <cell r="C10">
            <v>0</v>
          </cell>
          <cell r="D10" t="str">
            <v>+</v>
          </cell>
          <cell r="G10" t="str">
            <v>+</v>
          </cell>
        </row>
        <row r="11">
          <cell r="C11">
            <v>0</v>
          </cell>
          <cell r="D11" t="str">
            <v>+</v>
          </cell>
          <cell r="G11" t="str">
            <v>+</v>
          </cell>
        </row>
        <row r="12">
          <cell r="C12">
            <v>0</v>
          </cell>
        </row>
      </sheetData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RESUMO"/>
      <sheetName val="ORÇ. SINTÉTICO"/>
      <sheetName val="CFF"/>
      <sheetName val="CPU"/>
      <sheetName val="DMT"/>
      <sheetName val="MAT BET"/>
      <sheetName val="GRELHA"/>
      <sheetName val="PRELIMINARES"/>
      <sheetName val="DEMOLIÇÃO"/>
      <sheetName val="COORD RETIRADAS"/>
      <sheetName val="DRENAGEM"/>
      <sheetName val="DISP. DRENAGEM"/>
      <sheetName val="REMENDO"/>
      <sheetName val="RECAPEAMENTO"/>
      <sheetName val="PAVIMENTAÇÃO"/>
      <sheetName val="CALÇADA E ACESS."/>
      <sheetName val="SINALIZAÇÃ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F8">
            <v>65.8</v>
          </cell>
        </row>
        <row r="10">
          <cell r="F10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Guinevere Marques" id="{994EA113-33D9-4B35-9696-39F59012CFC2}" userId="879f78722c31fde8" providerId="Windows Liv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V35" dT="2025-02-12T13:29:18.89" personId="{994EA113-33D9-4B35-9696-39F59012CFC2}" id="{89DCCE0D-55B2-4B65-87FC-3B19A81D48DA}">
    <text>Verificar se tem tubo de PEAD</text>
  </threadedComment>
  <threadedComment ref="AV36" dT="2025-02-12T13:29:41.88" personId="{994EA113-33D9-4B35-9696-39F59012CFC2}" id="{F4A08C47-3BCF-46D8-9832-4773E918E126}">
    <text>Verificar se tem tubo de PEAD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32" dT="2025-02-12T13:44:22.54" personId="{994EA113-33D9-4B35-9696-39F59012CFC2}" id="{9BEB03D0-0B3C-4399-BA08-AE505B4D9020}">
    <text>Pintura com tinta epóxi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9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11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3.xml"/></Relationships>
</file>

<file path=xl/worksheets/_rels/sheet18.xml.rels><?xml version="1.0" encoding="UTF-8" standalone="yes"?>
<Relationships xmlns="http://schemas.openxmlformats.org/package/2006/relationships"><Relationship Id="rId8" Type="http://schemas.microsoft.com/office/2017/10/relationships/threadedComment" Target="../threadedComments/threadedComment2.xml"/><Relationship Id="rId3" Type="http://schemas.openxmlformats.org/officeDocument/2006/relationships/vmlDrawing" Target="../drawings/vmlDrawing20.vml"/><Relationship Id="rId7" Type="http://schemas.openxmlformats.org/officeDocument/2006/relationships/comments" Target="../comments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8.bin"/><Relationship Id="rId6" Type="http://schemas.openxmlformats.org/officeDocument/2006/relationships/image" Target="../media/image20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1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2060"/>
    <pageSetUpPr fitToPage="1"/>
  </sheetPr>
  <dimension ref="B2:J16"/>
  <sheetViews>
    <sheetView showGridLines="0" tabSelected="1" zoomScaleNormal="100" zoomScaleSheetLayoutView="100" workbookViewId="0">
      <selection activeCell="G13" sqref="G13"/>
    </sheetView>
  </sheetViews>
  <sheetFormatPr defaultColWidth="10.6640625" defaultRowHeight="15" x14ac:dyDescent="0.2"/>
  <cols>
    <col min="1" max="1" width="10.6640625" style="5"/>
    <col min="2" max="2" width="45.33203125" style="5" customWidth="1"/>
    <col min="3" max="4" width="28.83203125" style="5" customWidth="1"/>
    <col min="5" max="5" width="18.33203125" style="5" customWidth="1"/>
    <col min="6" max="6" width="17.5" style="5" customWidth="1"/>
    <col min="7" max="7" width="20.83203125" style="5" bestFit="1" customWidth="1"/>
    <col min="8" max="9" width="10.6640625" style="5"/>
    <col min="10" max="10" width="13.83203125" style="5" bestFit="1" customWidth="1"/>
    <col min="11" max="16384" width="10.6640625" style="5"/>
  </cols>
  <sheetData>
    <row r="2" spans="2:10" ht="24.75" customHeight="1" x14ac:dyDescent="0.2">
      <c r="B2" s="1138" t="s">
        <v>783</v>
      </c>
      <c r="C2" s="1139"/>
      <c r="D2" s="1139"/>
      <c r="E2" s="1139"/>
      <c r="F2" s="1140"/>
    </row>
    <row r="3" spans="2:10" ht="7.5" customHeight="1" thickBot="1" x14ac:dyDescent="0.25"/>
    <row r="4" spans="2:10" ht="30" customHeight="1" x14ac:dyDescent="0.2">
      <c r="B4" s="1141" t="s">
        <v>9</v>
      </c>
      <c r="C4" s="1142"/>
      <c r="D4" s="1142"/>
      <c r="E4" s="1142"/>
      <c r="F4" s="1143"/>
    </row>
    <row r="5" spans="2:10" ht="30" customHeight="1" x14ac:dyDescent="0.2">
      <c r="B5" s="1145" t="s">
        <v>10</v>
      </c>
      <c r="C5" s="1144" t="s">
        <v>11</v>
      </c>
      <c r="D5" s="1144"/>
      <c r="E5" s="1144" t="s">
        <v>12</v>
      </c>
      <c r="F5" s="1146" t="s">
        <v>13</v>
      </c>
    </row>
    <row r="6" spans="2:10" ht="30" customHeight="1" x14ac:dyDescent="0.2">
      <c r="B6" s="1145"/>
      <c r="C6" s="439" t="s">
        <v>14</v>
      </c>
      <c r="D6" s="439" t="s">
        <v>15</v>
      </c>
      <c r="E6" s="1144"/>
      <c r="F6" s="1146"/>
    </row>
    <row r="7" spans="2:10" ht="30" customHeight="1" x14ac:dyDescent="0.2">
      <c r="B7" s="454" t="s">
        <v>149</v>
      </c>
      <c r="C7" s="532" t="s">
        <v>567</v>
      </c>
      <c r="D7" s="440" t="s">
        <v>570</v>
      </c>
      <c r="E7" s="441">
        <v>65.400000000000006</v>
      </c>
      <c r="F7" s="449">
        <f>E7</f>
        <v>65.400000000000006</v>
      </c>
      <c r="G7" s="840"/>
    </row>
    <row r="8" spans="2:10" ht="30" customHeight="1" x14ac:dyDescent="0.2">
      <c r="B8" s="455" t="s">
        <v>16</v>
      </c>
      <c r="C8" s="442" t="s">
        <v>568</v>
      </c>
      <c r="D8" s="443" t="s">
        <v>570</v>
      </c>
      <c r="E8" s="444">
        <f>'MAT BET'!H9</f>
        <v>402.9</v>
      </c>
      <c r="F8" s="449">
        <f>E8</f>
        <v>402.9</v>
      </c>
      <c r="G8" s="840"/>
    </row>
    <row r="9" spans="2:10" ht="30" customHeight="1" x14ac:dyDescent="0.2">
      <c r="B9" s="828" t="s">
        <v>782</v>
      </c>
      <c r="C9" s="445" t="s">
        <v>568</v>
      </c>
      <c r="D9" s="440" t="s">
        <v>570</v>
      </c>
      <c r="E9" s="441">
        <f>'MAT BET'!H6</f>
        <v>402.9</v>
      </c>
      <c r="F9" s="449">
        <f>E9</f>
        <v>402.9</v>
      </c>
      <c r="G9" s="840"/>
    </row>
    <row r="10" spans="2:10" ht="30" customHeight="1" x14ac:dyDescent="0.2">
      <c r="B10" s="456" t="s">
        <v>17</v>
      </c>
      <c r="C10" s="446" t="s">
        <v>567</v>
      </c>
      <c r="D10" s="440" t="s">
        <v>570</v>
      </c>
      <c r="E10" s="441">
        <f>E7</f>
        <v>65.400000000000006</v>
      </c>
      <c r="F10" s="449">
        <f>E10</f>
        <v>65.400000000000006</v>
      </c>
      <c r="G10" s="840"/>
    </row>
    <row r="11" spans="2:10" ht="30" customHeight="1" x14ac:dyDescent="0.2">
      <c r="B11" s="457" t="s">
        <v>18</v>
      </c>
      <c r="C11" s="447" t="s">
        <v>569</v>
      </c>
      <c r="D11" s="440" t="s">
        <v>570</v>
      </c>
      <c r="E11" s="441">
        <v>170</v>
      </c>
      <c r="F11" s="449">
        <f>E11</f>
        <v>170</v>
      </c>
      <c r="G11" s="840"/>
    </row>
    <row r="12" spans="2:10" ht="30" hidden="1" customHeight="1" x14ac:dyDescent="0.2">
      <c r="B12" s="458" t="s">
        <v>375</v>
      </c>
      <c r="C12" s="447"/>
      <c r="D12" s="440" t="s">
        <v>570</v>
      </c>
      <c r="E12" s="441"/>
      <c r="F12" s="449">
        <f t="shared" ref="F12:F15" si="0">E12</f>
        <v>0</v>
      </c>
      <c r="G12" s="840"/>
    </row>
    <row r="13" spans="2:10" ht="30" customHeight="1" x14ac:dyDescent="0.2">
      <c r="B13" s="459" t="s">
        <v>19</v>
      </c>
      <c r="C13" s="448" t="s">
        <v>569</v>
      </c>
      <c r="D13" s="440" t="s">
        <v>570</v>
      </c>
      <c r="E13" s="441">
        <f>E11</f>
        <v>170</v>
      </c>
      <c r="F13" s="449">
        <f t="shared" si="0"/>
        <v>170</v>
      </c>
      <c r="G13" s="840"/>
    </row>
    <row r="14" spans="2:10" ht="31.5" customHeight="1" x14ac:dyDescent="0.2">
      <c r="B14" s="541" t="s">
        <v>572</v>
      </c>
      <c r="C14" s="635" t="s">
        <v>610</v>
      </c>
      <c r="D14" s="440" t="s">
        <v>570</v>
      </c>
      <c r="E14" s="441">
        <f>GRELHA!H5</f>
        <v>876.8</v>
      </c>
      <c r="F14" s="449">
        <f t="shared" si="0"/>
        <v>876.8</v>
      </c>
      <c r="G14" s="840"/>
    </row>
    <row r="15" spans="2:10" ht="30" customHeight="1" x14ac:dyDescent="0.2">
      <c r="B15" s="460" t="s">
        <v>335</v>
      </c>
      <c r="C15" s="447" t="s">
        <v>570</v>
      </c>
      <c r="D15" s="440" t="s">
        <v>570</v>
      </c>
      <c r="E15" s="441">
        <v>3.4</v>
      </c>
      <c r="F15" s="449">
        <f t="shared" si="0"/>
        <v>3.4</v>
      </c>
      <c r="G15" s="840"/>
      <c r="J15" s="238"/>
    </row>
    <row r="16" spans="2:10" ht="30" customHeight="1" thickBot="1" x14ac:dyDescent="0.25">
      <c r="B16" s="461" t="s">
        <v>501</v>
      </c>
      <c r="C16" s="450" t="s">
        <v>567</v>
      </c>
      <c r="D16" s="451" t="s">
        <v>570</v>
      </c>
      <c r="E16" s="452">
        <f>E7</f>
        <v>65.400000000000006</v>
      </c>
      <c r="F16" s="453">
        <f>E16</f>
        <v>65.400000000000006</v>
      </c>
      <c r="G16" s="840"/>
      <c r="J16" s="238"/>
    </row>
  </sheetData>
  <mergeCells count="6">
    <mergeCell ref="B2:F2"/>
    <mergeCell ref="B4:F4"/>
    <mergeCell ref="C5:D5"/>
    <mergeCell ref="B5:B6"/>
    <mergeCell ref="F5:F6"/>
    <mergeCell ref="E5:E6"/>
  </mergeCells>
  <printOptions horizontalCentered="1"/>
  <pageMargins left="0.51181102362204722" right="0.51181102362204722" top="0.98425196850393704" bottom="0.59055118110236227" header="0.31496062992125984" footer="0.51181102362204722"/>
  <pageSetup paperSize="9" fitToHeight="0" orientation="landscape" r:id="rId1"/>
  <headerFooter>
    <oddHeader>&amp;R&amp;G</oddHeader>
    <oddFooter>&amp;C&amp;"-,Regular"&amp;K01+049&amp;P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1B65C-AA71-4BCB-B9F7-5351CD839F57}">
  <sheetPr>
    <tabColor rgb="FF002060"/>
    <pageSetUpPr fitToPage="1"/>
  </sheetPr>
  <dimension ref="B2:M38"/>
  <sheetViews>
    <sheetView showGridLines="0" zoomScaleNormal="100" zoomScaleSheetLayoutView="110" workbookViewId="0">
      <selection activeCell="H12" sqref="H12"/>
    </sheetView>
  </sheetViews>
  <sheetFormatPr defaultColWidth="10.6640625" defaultRowHeight="15" x14ac:dyDescent="0.2"/>
  <cols>
    <col min="1" max="1" width="6.33203125" style="216" customWidth="1"/>
    <col min="2" max="2" width="42.1640625" style="216" customWidth="1"/>
    <col min="3" max="3" width="13.1640625" style="216" customWidth="1"/>
    <col min="4" max="4" width="17.5" style="216" customWidth="1"/>
    <col min="5" max="5" width="19.5" style="216" customWidth="1"/>
    <col min="6" max="12" width="16.1640625" style="216" customWidth="1"/>
    <col min="13" max="13" width="18.83203125" style="216" customWidth="1"/>
    <col min="14" max="14" width="5" style="216" customWidth="1"/>
    <col min="15" max="15" width="16.1640625" style="216" customWidth="1"/>
    <col min="16" max="16" width="20.6640625" style="216" customWidth="1"/>
    <col min="17" max="17" width="21" style="216" customWidth="1"/>
    <col min="18" max="18" width="18.1640625" style="216" customWidth="1"/>
    <col min="19" max="19" width="23" style="216" customWidth="1"/>
    <col min="20" max="20" width="19.83203125" style="216" customWidth="1"/>
    <col min="21" max="16384" width="10.6640625" style="216"/>
  </cols>
  <sheetData>
    <row r="2" spans="2:13" ht="27.75" customHeight="1" x14ac:dyDescent="0.2">
      <c r="B2" s="1155" t="s">
        <v>217</v>
      </c>
      <c r="C2" s="1155"/>
      <c r="D2" s="1155"/>
      <c r="E2" s="1155"/>
      <c r="F2" s="1155"/>
      <c r="G2" s="1155"/>
      <c r="H2" s="1155"/>
      <c r="I2" s="1155"/>
      <c r="J2" s="1155"/>
      <c r="K2" s="1155"/>
      <c r="L2" s="1155"/>
      <c r="M2" s="1155"/>
    </row>
    <row r="3" spans="2:13" ht="50.25" customHeight="1" thickBot="1" x14ac:dyDescent="0.25">
      <c r="B3" s="217" t="s">
        <v>165</v>
      </c>
      <c r="C3" s="217" t="s">
        <v>167</v>
      </c>
      <c r="D3" s="217" t="s">
        <v>218</v>
      </c>
      <c r="E3" s="217" t="s">
        <v>168</v>
      </c>
      <c r="F3" s="218" t="s">
        <v>368</v>
      </c>
      <c r="G3" s="218" t="s">
        <v>178</v>
      </c>
      <c r="H3" s="218" t="s">
        <v>164</v>
      </c>
      <c r="I3" s="218" t="s">
        <v>369</v>
      </c>
      <c r="J3" s="218" t="s">
        <v>370</v>
      </c>
      <c r="K3" s="218" t="s">
        <v>177</v>
      </c>
      <c r="L3" s="218" t="s">
        <v>371</v>
      </c>
      <c r="M3" s="218" t="s">
        <v>372</v>
      </c>
    </row>
    <row r="4" spans="2:13" ht="20.100000000000001" customHeight="1" thickTop="1" x14ac:dyDescent="0.2">
      <c r="B4" s="1156" t="s">
        <v>166</v>
      </c>
      <c r="C4" s="533">
        <v>46023</v>
      </c>
      <c r="D4" s="533" t="s">
        <v>219</v>
      </c>
      <c r="E4" s="534" t="s">
        <v>336</v>
      </c>
      <c r="F4" s="535">
        <v>3.26</v>
      </c>
      <c r="G4" s="536">
        <f t="shared" ref="G4:G9" si="0">TRUNC(F4*1000,2)</f>
        <v>3260</v>
      </c>
      <c r="H4" s="536">
        <v>574.1</v>
      </c>
      <c r="I4" s="536">
        <f>2.49*30</f>
        <v>74.7</v>
      </c>
      <c r="J4" s="536">
        <f>(H4-30)*0.98</f>
        <v>533.21799999999996</v>
      </c>
      <c r="K4" s="536">
        <f>D17</f>
        <v>3</v>
      </c>
      <c r="L4" s="536">
        <f t="shared" ref="L4:L9" si="1">G4+K4</f>
        <v>3263</v>
      </c>
      <c r="M4" s="536">
        <f>G4+I4+J4+K4</f>
        <v>3870.9179999999997</v>
      </c>
    </row>
    <row r="5" spans="2:13" ht="20.100000000000001" customHeight="1" x14ac:dyDescent="0.2">
      <c r="B5" s="1156"/>
      <c r="C5" s="219">
        <v>46023</v>
      </c>
      <c r="D5" s="220" t="s">
        <v>220</v>
      </c>
      <c r="E5" s="221" t="s">
        <v>206</v>
      </c>
      <c r="F5" s="222">
        <v>3.7320000000000002</v>
      </c>
      <c r="G5" s="223">
        <f t="shared" si="0"/>
        <v>3732</v>
      </c>
      <c r="H5" s="223">
        <v>402.1</v>
      </c>
      <c r="I5" s="223">
        <v>0</v>
      </c>
      <c r="J5" s="223">
        <v>0</v>
      </c>
      <c r="K5" s="223">
        <f>E17</f>
        <v>0</v>
      </c>
      <c r="L5" s="224">
        <f t="shared" si="1"/>
        <v>3732</v>
      </c>
      <c r="M5" s="224">
        <f t="shared" ref="M5:M6" si="2">G5+I5+J5+K5</f>
        <v>3732</v>
      </c>
    </row>
    <row r="6" spans="2:13" s="225" customFormat="1" ht="20.100000000000001" customHeight="1" thickBot="1" x14ac:dyDescent="0.25">
      <c r="B6" s="1157"/>
      <c r="C6" s="537">
        <v>46023</v>
      </c>
      <c r="D6" s="537" t="s">
        <v>571</v>
      </c>
      <c r="E6" s="538" t="s">
        <v>206</v>
      </c>
      <c r="F6" s="539">
        <v>3</v>
      </c>
      <c r="G6" s="540">
        <f t="shared" si="0"/>
        <v>3000</v>
      </c>
      <c r="H6" s="540">
        <v>402.9</v>
      </c>
      <c r="I6" s="540">
        <f>2.49*30</f>
        <v>74.7</v>
      </c>
      <c r="J6" s="540">
        <f>(H6-30)*0.98</f>
        <v>365.44199999999995</v>
      </c>
      <c r="K6" s="540">
        <f>F17</f>
        <v>13.44</v>
      </c>
      <c r="L6" s="540">
        <f t="shared" si="1"/>
        <v>3013.44</v>
      </c>
      <c r="M6" s="540">
        <f t="shared" si="2"/>
        <v>3453.5819999999999</v>
      </c>
    </row>
    <row r="7" spans="2:13" ht="20.100000000000001" customHeight="1" thickTop="1" x14ac:dyDescent="0.2">
      <c r="B7" s="1156" t="s">
        <v>373</v>
      </c>
      <c r="C7" s="533">
        <f>C4</f>
        <v>46023</v>
      </c>
      <c r="D7" s="533" t="s">
        <v>219</v>
      </c>
      <c r="E7" s="534" t="s">
        <v>336</v>
      </c>
      <c r="F7" s="535">
        <v>3.67</v>
      </c>
      <c r="G7" s="536">
        <f t="shared" si="0"/>
        <v>3670</v>
      </c>
      <c r="H7" s="536">
        <f>H4</f>
        <v>574.1</v>
      </c>
      <c r="I7" s="536">
        <f>2.49*30</f>
        <v>74.7</v>
      </c>
      <c r="J7" s="536">
        <f>(H7-30)*0.98</f>
        <v>533.21799999999996</v>
      </c>
      <c r="K7" s="536">
        <f>D17</f>
        <v>3</v>
      </c>
      <c r="L7" s="536">
        <f t="shared" si="1"/>
        <v>3673</v>
      </c>
      <c r="M7" s="536">
        <f>G7+I7+J7+K7</f>
        <v>4280.9179999999997</v>
      </c>
    </row>
    <row r="8" spans="2:13" ht="20.100000000000001" customHeight="1" x14ac:dyDescent="0.2">
      <c r="B8" s="1156"/>
      <c r="C8" s="219">
        <f>C5</f>
        <v>46023</v>
      </c>
      <c r="D8" s="220" t="s">
        <v>220</v>
      </c>
      <c r="E8" s="221" t="s">
        <v>206</v>
      </c>
      <c r="F8" s="222">
        <v>4.6020000000000003</v>
      </c>
      <c r="G8" s="223">
        <f t="shared" si="0"/>
        <v>4602</v>
      </c>
      <c r="H8" s="223">
        <f>H5</f>
        <v>402.1</v>
      </c>
      <c r="I8" s="223">
        <v>0</v>
      </c>
      <c r="J8" s="223">
        <v>0</v>
      </c>
      <c r="K8" s="223">
        <f>E17</f>
        <v>0</v>
      </c>
      <c r="L8" s="224">
        <f t="shared" si="1"/>
        <v>4602</v>
      </c>
      <c r="M8" s="224">
        <f t="shared" ref="M8:M9" si="3">G8+I8+J8+K8</f>
        <v>4602</v>
      </c>
    </row>
    <row r="9" spans="2:13" s="225" customFormat="1" ht="20.100000000000001" customHeight="1" thickBot="1" x14ac:dyDescent="0.25">
      <c r="B9" s="1157"/>
      <c r="C9" s="537">
        <f>C6</f>
        <v>46023</v>
      </c>
      <c r="D9" s="537" t="s">
        <v>571</v>
      </c>
      <c r="E9" s="538" t="s">
        <v>206</v>
      </c>
      <c r="F9" s="539">
        <v>3.7</v>
      </c>
      <c r="G9" s="540">
        <f t="shared" si="0"/>
        <v>3700</v>
      </c>
      <c r="H9" s="540">
        <f>H6</f>
        <v>402.9</v>
      </c>
      <c r="I9" s="540">
        <f>2.49*30</f>
        <v>74.7</v>
      </c>
      <c r="J9" s="540">
        <f>(H9-30)*0.98</f>
        <v>365.44199999999995</v>
      </c>
      <c r="K9" s="540">
        <f>F17</f>
        <v>13.44</v>
      </c>
      <c r="L9" s="540">
        <f t="shared" si="1"/>
        <v>3713.44</v>
      </c>
      <c r="M9" s="540">
        <f t="shared" si="3"/>
        <v>4153.5819999999994</v>
      </c>
    </row>
    <row r="10" spans="2:13" ht="20.100000000000001" customHeight="1" thickTop="1" x14ac:dyDescent="0.2">
      <c r="J10" s="1158"/>
      <c r="K10" s="1158"/>
      <c r="L10" s="1158" t="s">
        <v>374</v>
      </c>
      <c r="M10" s="1158"/>
    </row>
    <row r="11" spans="2:13" x14ac:dyDescent="0.2">
      <c r="B11" s="1147" t="s">
        <v>221</v>
      </c>
      <c r="C11" s="1159"/>
      <c r="D11" s="1159"/>
      <c r="E11" s="1159"/>
      <c r="F11" s="1148"/>
      <c r="G11" s="226"/>
    </row>
    <row r="12" spans="2:13" ht="24.75" customHeight="1" x14ac:dyDescent="0.2">
      <c r="B12" s="1147" t="s">
        <v>44</v>
      </c>
      <c r="C12" s="1148"/>
      <c r="D12" s="227" t="s">
        <v>336</v>
      </c>
      <c r="E12" s="227" t="s">
        <v>206</v>
      </c>
      <c r="F12" s="227" t="s">
        <v>206</v>
      </c>
      <c r="G12" s="227" t="s">
        <v>150</v>
      </c>
    </row>
    <row r="13" spans="2:13" ht="18" customHeight="1" x14ac:dyDescent="0.2">
      <c r="B13" s="1149" t="s">
        <v>169</v>
      </c>
      <c r="C13" s="11" t="s">
        <v>170</v>
      </c>
      <c r="D13" s="12">
        <v>39</v>
      </c>
      <c r="E13" s="6">
        <v>0</v>
      </c>
      <c r="F13" s="12">
        <v>168</v>
      </c>
      <c r="G13" s="7" t="s">
        <v>171</v>
      </c>
    </row>
    <row r="14" spans="2:13" ht="18" customHeight="1" x14ac:dyDescent="0.2">
      <c r="B14" s="1150"/>
      <c r="C14" s="11" t="s">
        <v>172</v>
      </c>
      <c r="D14" s="12">
        <v>36</v>
      </c>
      <c r="E14" s="6">
        <f>E13</f>
        <v>0</v>
      </c>
      <c r="F14" s="12">
        <f>F13</f>
        <v>168</v>
      </c>
      <c r="G14" s="7" t="s">
        <v>171</v>
      </c>
      <c r="J14" s="1160"/>
      <c r="K14" s="1160"/>
      <c r="L14" s="1160"/>
    </row>
    <row r="15" spans="2:13" ht="18" customHeight="1" x14ac:dyDescent="0.2">
      <c r="B15" s="1151"/>
      <c r="C15" s="11" t="s">
        <v>0</v>
      </c>
      <c r="D15" s="6">
        <f>D13+D14</f>
        <v>75</v>
      </c>
      <c r="E15" s="6">
        <f>E13+E14</f>
        <v>0</v>
      </c>
      <c r="F15" s="6">
        <f>F13+F14</f>
        <v>336</v>
      </c>
      <c r="G15" s="7" t="s">
        <v>171</v>
      </c>
    </row>
    <row r="16" spans="2:13" ht="18" customHeight="1" x14ac:dyDescent="0.2">
      <c r="B16" s="1152" t="s">
        <v>173</v>
      </c>
      <c r="C16" s="1153"/>
      <c r="D16" s="228">
        <v>25</v>
      </c>
      <c r="E16" s="228">
        <v>25</v>
      </c>
      <c r="F16" s="228">
        <v>25</v>
      </c>
      <c r="G16" s="7" t="s">
        <v>174</v>
      </c>
    </row>
    <row r="17" spans="2:12" ht="18" customHeight="1" x14ac:dyDescent="0.2">
      <c r="B17" s="1154" t="s">
        <v>175</v>
      </c>
      <c r="C17" s="1154"/>
      <c r="D17" s="8">
        <f>ROUND(D15/D16,2)</f>
        <v>3</v>
      </c>
      <c r="E17" s="8">
        <f>ROUND(E15/E16,2)</f>
        <v>0</v>
      </c>
      <c r="F17" s="8">
        <f>ROUND(F15/F16,2)</f>
        <v>13.44</v>
      </c>
      <c r="G17" s="229" t="s">
        <v>176</v>
      </c>
    </row>
    <row r="18" spans="2:12" ht="18" customHeight="1" x14ac:dyDescent="0.2"/>
    <row r="19" spans="2:12" x14ac:dyDescent="0.2">
      <c r="C19" s="216" t="s">
        <v>336</v>
      </c>
      <c r="H19" s="216" t="s">
        <v>206</v>
      </c>
      <c r="L19" s="216" t="s">
        <v>206</v>
      </c>
    </row>
    <row r="20" spans="2:12" x14ac:dyDescent="0.2">
      <c r="C20" s="638" t="s">
        <v>219</v>
      </c>
      <c r="H20" s="638" t="s">
        <v>616</v>
      </c>
      <c r="L20" s="638" t="s">
        <v>615</v>
      </c>
    </row>
    <row r="37" spans="2:2" x14ac:dyDescent="0.2">
      <c r="B37" s="230"/>
    </row>
    <row r="38" spans="2:2" x14ac:dyDescent="0.2">
      <c r="B38" s="230"/>
    </row>
  </sheetData>
  <mergeCells count="11">
    <mergeCell ref="B12:C12"/>
    <mergeCell ref="B13:B15"/>
    <mergeCell ref="B16:C16"/>
    <mergeCell ref="B17:C17"/>
    <mergeCell ref="B2:M2"/>
    <mergeCell ref="B4:B6"/>
    <mergeCell ref="B7:B9"/>
    <mergeCell ref="J10:K10"/>
    <mergeCell ref="L10:M10"/>
    <mergeCell ref="B11:F11"/>
    <mergeCell ref="J14:L14"/>
  </mergeCells>
  <printOptions horizontalCentered="1"/>
  <pageMargins left="0.51181102362204722" right="0.51181102362204722" top="0.98425196850393704" bottom="0.59055118110236227" header="0.31496062992125984" footer="0.51181102362204722"/>
  <pageSetup paperSize="9" scale="65" fitToHeight="0" orientation="landscape" r:id="rId1"/>
  <headerFooter>
    <oddHeader>&amp;L&amp;G&amp;R&amp;G</oddHead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041E2-B4EB-4540-AEBA-A2E3B4A51576}">
  <sheetPr>
    <tabColor rgb="FF002060"/>
    <pageSetUpPr fitToPage="1"/>
  </sheetPr>
  <dimension ref="B2:M35"/>
  <sheetViews>
    <sheetView showGridLines="0" zoomScaleNormal="100" zoomScaleSheetLayoutView="110" workbookViewId="0">
      <selection activeCell="J14" sqref="J14"/>
    </sheetView>
  </sheetViews>
  <sheetFormatPr defaultColWidth="10.6640625" defaultRowHeight="15" x14ac:dyDescent="0.2"/>
  <cols>
    <col min="1" max="1" width="6.33203125" style="611" customWidth="1"/>
    <col min="2" max="2" width="42.1640625" style="611" customWidth="1"/>
    <col min="3" max="3" width="13.1640625" style="611" customWidth="1"/>
    <col min="4" max="4" width="19.5" style="611" bestFit="1" customWidth="1"/>
    <col min="5" max="5" width="19.5" style="611" customWidth="1"/>
    <col min="6" max="9" width="16.1640625" style="611" customWidth="1"/>
    <col min="10" max="10" width="20.33203125" style="611" customWidth="1"/>
    <col min="11" max="12" width="16.1640625" style="611" customWidth="1"/>
    <col min="13" max="13" width="18.83203125" style="611" customWidth="1"/>
    <col min="14" max="14" width="5" style="611" customWidth="1"/>
    <col min="15" max="15" width="16.1640625" style="611" customWidth="1"/>
    <col min="16" max="16" width="20.6640625" style="611" customWidth="1"/>
    <col min="17" max="17" width="21" style="611" customWidth="1"/>
    <col min="18" max="18" width="18.1640625" style="611" customWidth="1"/>
    <col min="19" max="19" width="23" style="611" customWidth="1"/>
    <col min="20" max="20" width="19.83203125" style="611" customWidth="1"/>
    <col min="21" max="16384" width="10.6640625" style="611"/>
  </cols>
  <sheetData>
    <row r="2" spans="2:13" ht="27.75" customHeight="1" x14ac:dyDescent="0.2">
      <c r="B2" s="1162" t="s">
        <v>590</v>
      </c>
      <c r="C2" s="1162"/>
      <c r="D2" s="1162"/>
      <c r="E2" s="1162"/>
      <c r="F2" s="1162"/>
      <c r="G2" s="1162"/>
      <c r="H2" s="1162"/>
      <c r="I2" s="1162"/>
      <c r="J2" s="1162"/>
      <c r="K2" s="1162"/>
      <c r="L2" s="1162"/>
      <c r="M2" s="1162"/>
    </row>
    <row r="3" spans="2:13" ht="50.25" customHeight="1" thickBot="1" x14ac:dyDescent="0.25">
      <c r="B3" s="612" t="s">
        <v>165</v>
      </c>
      <c r="C3" s="612" t="s">
        <v>167</v>
      </c>
      <c r="D3" s="612" t="s">
        <v>218</v>
      </c>
      <c r="E3" s="612" t="s">
        <v>168</v>
      </c>
      <c r="F3" s="613" t="s">
        <v>591</v>
      </c>
      <c r="G3" s="613" t="s">
        <v>591</v>
      </c>
      <c r="H3" s="613" t="s">
        <v>164</v>
      </c>
      <c r="I3" s="613" t="s">
        <v>592</v>
      </c>
      <c r="J3" s="613" t="s">
        <v>593</v>
      </c>
      <c r="K3" s="613" t="s">
        <v>177</v>
      </c>
      <c r="L3" s="613" t="s">
        <v>371</v>
      </c>
      <c r="M3" s="613" t="s">
        <v>594</v>
      </c>
    </row>
    <row r="4" spans="2:13" ht="20.100000000000001" customHeight="1" thickTop="1" x14ac:dyDescent="0.2">
      <c r="B4" s="1163" t="s">
        <v>572</v>
      </c>
      <c r="C4" s="614">
        <v>45931</v>
      </c>
      <c r="D4" s="614" t="s">
        <v>595</v>
      </c>
      <c r="E4" s="615" t="s">
        <v>596</v>
      </c>
      <c r="F4" s="829">
        <v>350</v>
      </c>
      <c r="G4" s="616">
        <f>TRUNC(F4,2)</f>
        <v>350</v>
      </c>
      <c r="H4" s="616">
        <v>1481.5</v>
      </c>
      <c r="I4" s="616">
        <f>2.2*30*0.04</f>
        <v>2.64</v>
      </c>
      <c r="J4" s="616">
        <f>(H4-30)*0.87*0.04</f>
        <v>50.512200000000007</v>
      </c>
      <c r="K4" s="616">
        <f>D14</f>
        <v>4.33</v>
      </c>
      <c r="L4" s="616">
        <f>G4+K4</f>
        <v>354.33</v>
      </c>
      <c r="M4" s="616">
        <f>G4+I4+J4+K4</f>
        <v>407.48219999999998</v>
      </c>
    </row>
    <row r="5" spans="2:13" ht="20.100000000000001" customHeight="1" x14ac:dyDescent="0.2">
      <c r="B5" s="1163"/>
      <c r="C5" s="617">
        <v>45931</v>
      </c>
      <c r="D5" s="618" t="s">
        <v>607</v>
      </c>
      <c r="E5" s="619" t="s">
        <v>608</v>
      </c>
      <c r="F5" s="830">
        <v>801</v>
      </c>
      <c r="G5" s="620">
        <f>TRUNC(F5,2)</f>
        <v>801</v>
      </c>
      <c r="H5" s="621">
        <v>876.8</v>
      </c>
      <c r="I5" s="620">
        <f>2.2*30*0.04</f>
        <v>2.64</v>
      </c>
      <c r="J5" s="620">
        <f>(H5-30)*0.87*0.04</f>
        <v>29.468640000000001</v>
      </c>
      <c r="K5" s="621">
        <f>E14</f>
        <v>1.02</v>
      </c>
      <c r="L5" s="621">
        <f>G5+K5</f>
        <v>802.02</v>
      </c>
      <c r="M5" s="621">
        <f>G5+I5+J5+K5</f>
        <v>834.12864000000002</v>
      </c>
    </row>
    <row r="6" spans="2:13" s="625" customFormat="1" ht="20.100000000000001" customHeight="1" thickBot="1" x14ac:dyDescent="0.25">
      <c r="B6" s="1164"/>
      <c r="C6" s="622">
        <v>45931</v>
      </c>
      <c r="D6" s="622" t="s">
        <v>597</v>
      </c>
      <c r="E6" s="623" t="s">
        <v>598</v>
      </c>
      <c r="F6" s="831">
        <v>795</v>
      </c>
      <c r="G6" s="624">
        <f>TRUNC(F6,2)</f>
        <v>795</v>
      </c>
      <c r="H6" s="624">
        <v>1483.6</v>
      </c>
      <c r="I6" s="624">
        <f>2.2*30*0.04</f>
        <v>2.64</v>
      </c>
      <c r="J6" s="624">
        <f>(H6-30)*0.87*0.04</f>
        <v>50.585279999999997</v>
      </c>
      <c r="K6" s="624">
        <f>F14</f>
        <v>4.33</v>
      </c>
      <c r="L6" s="624">
        <f>G6+K6</f>
        <v>799.33</v>
      </c>
      <c r="M6" s="624">
        <f>G6+I6+J6+K6</f>
        <v>852.55528000000004</v>
      </c>
    </row>
    <row r="7" spans="2:13" ht="20.100000000000001" customHeight="1" thickTop="1" x14ac:dyDescent="0.2">
      <c r="J7" s="1161"/>
      <c r="K7" s="1161"/>
      <c r="L7" s="1161"/>
      <c r="M7" s="1161"/>
    </row>
    <row r="8" spans="2:13" ht="15.75" thickBot="1" x14ac:dyDescent="0.25">
      <c r="B8" s="1147" t="s">
        <v>599</v>
      </c>
      <c r="C8" s="1159"/>
      <c r="D8" s="1159"/>
      <c r="E8" s="1159"/>
      <c r="F8" s="1148"/>
      <c r="G8" s="226"/>
    </row>
    <row r="9" spans="2:13" ht="24.75" customHeight="1" x14ac:dyDescent="0.2">
      <c r="B9" s="1147" t="s">
        <v>44</v>
      </c>
      <c r="C9" s="1148"/>
      <c r="D9" s="227" t="str">
        <f>E4</f>
        <v>Carmo da Mata/MG</v>
      </c>
      <c r="E9" s="227" t="str">
        <f>E5</f>
        <v>Curitiba/PR</v>
      </c>
      <c r="F9" s="227" t="str">
        <f>E6</f>
        <v>Claudio/MG</v>
      </c>
      <c r="G9" s="227" t="s">
        <v>150</v>
      </c>
      <c r="I9" s="1165" t="s">
        <v>600</v>
      </c>
      <c r="J9" s="1166"/>
      <c r="K9" s="626">
        <v>9000</v>
      </c>
      <c r="L9" s="627" t="s">
        <v>601</v>
      </c>
    </row>
    <row r="10" spans="2:13" ht="18" customHeight="1" x14ac:dyDescent="0.2">
      <c r="B10" s="1149" t="s">
        <v>169</v>
      </c>
      <c r="C10" s="11" t="s">
        <v>170</v>
      </c>
      <c r="D10" s="12">
        <v>487.45</v>
      </c>
      <c r="E10" s="6">
        <v>115.2</v>
      </c>
      <c r="F10" s="12">
        <v>487.45</v>
      </c>
      <c r="G10" s="7" t="s">
        <v>171</v>
      </c>
      <c r="I10" s="1167" t="s">
        <v>602</v>
      </c>
      <c r="J10" s="1168"/>
      <c r="K10" s="628">
        <v>40</v>
      </c>
      <c r="L10" s="629" t="s">
        <v>603</v>
      </c>
    </row>
    <row r="11" spans="2:13" ht="18" customHeight="1" thickBot="1" x14ac:dyDescent="0.25">
      <c r="B11" s="1150"/>
      <c r="C11" s="11" t="s">
        <v>172</v>
      </c>
      <c r="D11" s="12">
        <f>D10</f>
        <v>487.45</v>
      </c>
      <c r="E11" s="6">
        <f>E10</f>
        <v>115.2</v>
      </c>
      <c r="F11" s="12">
        <f>F10</f>
        <v>487.45</v>
      </c>
      <c r="G11" s="7" t="s">
        <v>171</v>
      </c>
      <c r="I11" s="1169" t="s">
        <v>604</v>
      </c>
      <c r="J11" s="1170"/>
      <c r="K11" s="630">
        <f>K9/K10</f>
        <v>225</v>
      </c>
      <c r="L11" s="631" t="s">
        <v>41</v>
      </c>
    </row>
    <row r="12" spans="2:13" ht="18" customHeight="1" x14ac:dyDescent="0.2">
      <c r="B12" s="1151"/>
      <c r="C12" s="11" t="s">
        <v>0</v>
      </c>
      <c r="D12" s="6">
        <f>D10+D11</f>
        <v>974.9</v>
      </c>
      <c r="E12" s="6">
        <f>E10+E11</f>
        <v>230.4</v>
      </c>
      <c r="F12" s="6">
        <f>F10+F11</f>
        <v>974.9</v>
      </c>
      <c r="G12" s="7" t="s">
        <v>171</v>
      </c>
    </row>
    <row r="13" spans="2:13" ht="18" customHeight="1" x14ac:dyDescent="0.2">
      <c r="B13" s="1152" t="s">
        <v>605</v>
      </c>
      <c r="C13" s="1153"/>
      <c r="D13" s="632">
        <f>K11</f>
        <v>225</v>
      </c>
      <c r="E13" s="632">
        <f>K11</f>
        <v>225</v>
      </c>
      <c r="F13" s="632">
        <f>K11</f>
        <v>225</v>
      </c>
      <c r="G13" s="7" t="s">
        <v>606</v>
      </c>
    </row>
    <row r="14" spans="2:13" ht="18" customHeight="1" x14ac:dyDescent="0.2">
      <c r="B14" s="1171" t="s">
        <v>175</v>
      </c>
      <c r="C14" s="1171"/>
      <c r="D14" s="8">
        <f>ROUND(D12/D13,2)</f>
        <v>4.33</v>
      </c>
      <c r="E14" s="8">
        <f>ROUND(E12/E13,2)</f>
        <v>1.02</v>
      </c>
      <c r="F14" s="8">
        <f>ROUND(F12/F13,2)</f>
        <v>4.33</v>
      </c>
      <c r="G14" s="633" t="s">
        <v>176</v>
      </c>
    </row>
    <row r="15" spans="2:13" ht="18" customHeight="1" x14ac:dyDescent="0.2"/>
    <row r="16" spans="2:13" x14ac:dyDescent="0.2">
      <c r="B16" s="611" t="str">
        <f>E4</f>
        <v>Carmo da Mata/MG</v>
      </c>
      <c r="E16" s="1161" t="str">
        <f>E5</f>
        <v>Curitiba/PR</v>
      </c>
      <c r="F16" s="1161"/>
      <c r="G16" s="1161"/>
      <c r="K16" s="611" t="str">
        <f>F9</f>
        <v>Claudio/MG</v>
      </c>
    </row>
    <row r="34" spans="2:2" x14ac:dyDescent="0.2">
      <c r="B34" s="634"/>
    </row>
    <row r="35" spans="2:2" x14ac:dyDescent="0.2">
      <c r="B35" s="634"/>
    </row>
  </sheetData>
  <mergeCells count="13">
    <mergeCell ref="E16:G16"/>
    <mergeCell ref="B2:M2"/>
    <mergeCell ref="B4:B6"/>
    <mergeCell ref="J7:K7"/>
    <mergeCell ref="L7:M7"/>
    <mergeCell ref="B8:F8"/>
    <mergeCell ref="B9:C9"/>
    <mergeCell ref="I9:J9"/>
    <mergeCell ref="B10:B12"/>
    <mergeCell ref="I10:J10"/>
    <mergeCell ref="I11:J11"/>
    <mergeCell ref="B13:C13"/>
    <mergeCell ref="B14:C1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tToHeight="0" orientation="landscape" r:id="rId1"/>
  <headerFooter>
    <oddHeader>&amp;L&amp;G&amp;R&amp;G</oddHead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6" tint="0.39997558519241921"/>
    <pageSetUpPr fitToPage="1"/>
  </sheetPr>
  <dimension ref="B1:DE51"/>
  <sheetViews>
    <sheetView showGridLines="0" view="pageBreakPreview" zoomScale="85" zoomScaleNormal="100" zoomScaleSheetLayoutView="85" workbookViewId="0">
      <selection activeCell="L9" sqref="L9"/>
    </sheetView>
  </sheetViews>
  <sheetFormatPr defaultColWidth="9.33203125" defaultRowHeight="15.75" x14ac:dyDescent="0.25"/>
  <cols>
    <col min="1" max="1" width="4.83203125" style="2" customWidth="1"/>
    <col min="2" max="2" width="43.33203125" style="1" bestFit="1" customWidth="1"/>
    <col min="3" max="3" width="32.83203125" style="1" customWidth="1"/>
    <col min="4" max="4" width="44.1640625" style="1" customWidth="1"/>
    <col min="5" max="7" width="16.33203125" style="2" customWidth="1"/>
    <col min="8" max="16384" width="9.33203125" style="2"/>
  </cols>
  <sheetData>
    <row r="1" spans="2:7" ht="16.5" thickBot="1" x14ac:dyDescent="0.3"/>
    <row r="2" spans="2:7" ht="16.5" thickBot="1" x14ac:dyDescent="0.3">
      <c r="B2" s="1172" t="s">
        <v>340</v>
      </c>
      <c r="C2" s="1173"/>
      <c r="D2" s="1173"/>
      <c r="E2" s="1173"/>
      <c r="F2" s="1173"/>
      <c r="G2" s="1174"/>
    </row>
    <row r="3" spans="2:7" x14ac:dyDescent="0.25">
      <c r="B3" s="407"/>
      <c r="C3" s="408"/>
      <c r="D3" s="411"/>
      <c r="E3" s="414"/>
      <c r="F3" s="414"/>
      <c r="G3" s="415"/>
    </row>
    <row r="4" spans="2:7" x14ac:dyDescent="0.25">
      <c r="B4" s="1177" t="s">
        <v>20</v>
      </c>
      <c r="C4" s="1178"/>
      <c r="D4" s="399">
        <f>'DRENAGEM - JDML'!AU18+'DRENAGEM - JDA-E2'!AU21+'DRENO - JDA-E2'!L12</f>
        <v>2120.8000000000002</v>
      </c>
      <c r="E4" s="416"/>
      <c r="G4" s="4"/>
    </row>
    <row r="5" spans="2:7" x14ac:dyDescent="0.25">
      <c r="B5" s="1177" t="s">
        <v>21</v>
      </c>
      <c r="C5" s="1178"/>
      <c r="D5" s="399">
        <f>'PAVIMENTAÇÃO - JDML'!I12+'PAVIMENTAÇÃO - JDA-E2'!I13</f>
        <v>2183.6780000000003</v>
      </c>
      <c r="E5" s="416"/>
      <c r="G5" s="4"/>
    </row>
    <row r="6" spans="2:7" x14ac:dyDescent="0.25">
      <c r="B6" s="409"/>
      <c r="C6" s="410"/>
      <c r="D6" s="410"/>
      <c r="E6" s="413"/>
      <c r="F6" s="413"/>
      <c r="G6" s="412"/>
    </row>
    <row r="7" spans="2:7" x14ac:dyDescent="0.25">
      <c r="B7" s="401" t="s">
        <v>22</v>
      </c>
      <c r="C7" s="1179" t="s">
        <v>23</v>
      </c>
      <c r="D7" s="1179"/>
      <c r="E7" s="1179"/>
      <c r="F7" s="1179"/>
      <c r="G7" s="402" t="s">
        <v>0</v>
      </c>
    </row>
    <row r="8" spans="2:7" ht="39.950000000000003" customHeight="1" x14ac:dyDescent="0.25">
      <c r="B8" s="1177" t="s">
        <v>24</v>
      </c>
      <c r="C8" s="1175" t="s">
        <v>25</v>
      </c>
      <c r="D8" s="1175"/>
      <c r="E8" s="3">
        <v>15</v>
      </c>
      <c r="F8" s="1180">
        <f>D4+D5</f>
        <v>4304.478000000001</v>
      </c>
      <c r="G8" s="1181" t="s">
        <v>215</v>
      </c>
    </row>
    <row r="9" spans="2:7" ht="39.950000000000003" customHeight="1" x14ac:dyDescent="0.25">
      <c r="B9" s="1177"/>
      <c r="C9" s="1175" t="s">
        <v>26</v>
      </c>
      <c r="D9" s="1175"/>
      <c r="E9" s="3">
        <v>30</v>
      </c>
      <c r="F9" s="1180"/>
      <c r="G9" s="1181"/>
    </row>
    <row r="10" spans="2:7" ht="39.950000000000003" customHeight="1" x14ac:dyDescent="0.25">
      <c r="B10" s="1177"/>
      <c r="C10" s="1175" t="s">
        <v>27</v>
      </c>
      <c r="D10" s="1175"/>
      <c r="E10" s="3">
        <v>45</v>
      </c>
      <c r="F10" s="1180"/>
      <c r="G10" s="1181"/>
    </row>
    <row r="11" spans="2:7" ht="39.950000000000003" customHeight="1" x14ac:dyDescent="0.25">
      <c r="B11" s="330" t="s">
        <v>28</v>
      </c>
      <c r="C11" s="1175" t="s">
        <v>29</v>
      </c>
      <c r="D11" s="1175"/>
      <c r="E11" s="418"/>
      <c r="F11" s="400">
        <f>D4+D5</f>
        <v>4304.478000000001</v>
      </c>
      <c r="G11" s="404">
        <f>ROUNDUP(F11/200,0)</f>
        <v>22</v>
      </c>
    </row>
    <row r="12" spans="2:7" ht="39.950000000000003" customHeight="1" x14ac:dyDescent="0.25">
      <c r="B12" s="330" t="s">
        <v>30</v>
      </c>
      <c r="C12" s="1175" t="s">
        <v>31</v>
      </c>
      <c r="D12" s="1175"/>
      <c r="E12" s="419"/>
      <c r="F12" s="400">
        <f>D4</f>
        <v>2120.8000000000002</v>
      </c>
      <c r="G12" s="403">
        <f>ROUNDUP(F12*1.2/4,0)</f>
        <v>637</v>
      </c>
    </row>
    <row r="13" spans="2:7" ht="39.950000000000003" customHeight="1" thickBot="1" x14ac:dyDescent="0.3">
      <c r="B13" s="331" t="s">
        <v>32</v>
      </c>
      <c r="C13" s="1176" t="s">
        <v>33</v>
      </c>
      <c r="D13" s="1176"/>
      <c r="E13" s="417"/>
      <c r="F13" s="405">
        <f>D4</f>
        <v>2120.8000000000002</v>
      </c>
      <c r="G13" s="406">
        <f>ROUNDUP(F13/4,0)</f>
        <v>531</v>
      </c>
    </row>
    <row r="22" spans="64:109" x14ac:dyDescent="0.25">
      <c r="BL22" s="842"/>
      <c r="BM22" s="842"/>
      <c r="BN22" s="842"/>
      <c r="BO22" s="842"/>
      <c r="BP22" s="842"/>
      <c r="BQ22" s="842"/>
      <c r="BR22" s="842"/>
      <c r="BS22" s="842"/>
      <c r="BT22" s="842"/>
      <c r="BU22" s="842"/>
      <c r="BV22" s="842"/>
      <c r="BW22" s="842"/>
      <c r="BX22" s="842"/>
      <c r="BY22" s="842"/>
      <c r="BZ22" s="842"/>
      <c r="CA22" s="842"/>
      <c r="CB22" s="842"/>
      <c r="CC22" s="842"/>
      <c r="CD22" s="842"/>
      <c r="CE22" s="842"/>
      <c r="CF22" s="842"/>
      <c r="CG22" s="842"/>
      <c r="CH22" s="842"/>
      <c r="CI22" s="842"/>
      <c r="CJ22" s="842"/>
      <c r="CK22" s="842"/>
      <c r="CL22" s="842"/>
      <c r="CM22" s="842"/>
      <c r="CN22" s="842"/>
      <c r="CO22" s="842"/>
      <c r="CP22" s="842"/>
      <c r="CQ22" s="842"/>
      <c r="CR22" s="842"/>
      <c r="CS22" s="842"/>
      <c r="CT22" s="842"/>
      <c r="CU22" s="842"/>
      <c r="CV22" s="842"/>
      <c r="CW22" s="842"/>
      <c r="CX22" s="842"/>
      <c r="CY22" s="842"/>
      <c r="CZ22" s="842"/>
      <c r="DA22" s="842"/>
      <c r="DB22" s="842"/>
      <c r="DC22" s="842"/>
      <c r="DD22" s="842"/>
      <c r="DE22" s="842"/>
    </row>
    <row r="23" spans="64:109" x14ac:dyDescent="0.25">
      <c r="BL23" s="842"/>
      <c r="BM23" s="842"/>
      <c r="BN23" s="842"/>
      <c r="BO23" s="842"/>
      <c r="BP23" s="842"/>
      <c r="BQ23" s="842"/>
      <c r="BR23" s="842"/>
      <c r="BS23" s="842"/>
      <c r="BT23" s="842"/>
      <c r="BU23" s="842"/>
      <c r="BV23" s="842"/>
      <c r="BW23" s="842"/>
      <c r="BX23" s="842"/>
      <c r="BY23" s="842"/>
      <c r="BZ23" s="842"/>
      <c r="CA23" s="842"/>
      <c r="CB23" s="842"/>
      <c r="CC23" s="842"/>
      <c r="CD23" s="842"/>
      <c r="CE23" s="842"/>
      <c r="CF23" s="842"/>
      <c r="CG23" s="842"/>
      <c r="CH23" s="842"/>
      <c r="CI23" s="842"/>
      <c r="CJ23" s="842"/>
      <c r="CK23" s="842"/>
      <c r="CL23" s="842"/>
      <c r="CM23" s="842"/>
      <c r="CN23" s="842"/>
      <c r="CO23" s="842"/>
      <c r="CP23" s="842"/>
      <c r="CQ23" s="842"/>
      <c r="CR23" s="842"/>
      <c r="CS23" s="842"/>
      <c r="CT23" s="842"/>
      <c r="CU23" s="842"/>
      <c r="CV23" s="842"/>
      <c r="CW23" s="842"/>
      <c r="CX23" s="842"/>
      <c r="CY23" s="842"/>
      <c r="CZ23" s="842"/>
      <c r="DA23" s="842"/>
      <c r="DB23" s="842"/>
      <c r="DC23" s="842"/>
      <c r="DD23" s="842"/>
      <c r="DE23" s="842"/>
    </row>
    <row r="24" spans="64:109" x14ac:dyDescent="0.25">
      <c r="BL24" s="842"/>
      <c r="BM24" s="842"/>
      <c r="BN24" s="842"/>
      <c r="BO24" s="842"/>
      <c r="BP24" s="842"/>
      <c r="BQ24" s="842"/>
      <c r="BR24" s="842"/>
      <c r="BS24" s="842"/>
      <c r="BT24" s="842"/>
      <c r="BU24" s="842"/>
      <c r="BV24" s="842"/>
      <c r="BW24" s="842"/>
      <c r="BX24" s="842"/>
      <c r="BY24" s="842"/>
      <c r="BZ24" s="842"/>
      <c r="CA24" s="842"/>
      <c r="CB24" s="842"/>
      <c r="CC24" s="842"/>
      <c r="CD24" s="842"/>
      <c r="CE24" s="842"/>
      <c r="CF24" s="842"/>
      <c r="CG24" s="842"/>
      <c r="CH24" s="842"/>
      <c r="CI24" s="842"/>
      <c r="CJ24" s="842"/>
      <c r="CK24" s="842"/>
      <c r="CL24" s="842"/>
      <c r="CM24" s="842"/>
      <c r="CN24" s="842"/>
      <c r="CO24" s="842"/>
      <c r="CP24" s="842"/>
      <c r="CQ24" s="842"/>
      <c r="CR24" s="842"/>
      <c r="CS24" s="842"/>
      <c r="CT24" s="842"/>
      <c r="CU24" s="842"/>
      <c r="CV24" s="842"/>
      <c r="CW24" s="842"/>
      <c r="CX24" s="842"/>
      <c r="CY24" s="842"/>
      <c r="CZ24" s="842"/>
      <c r="DA24" s="842"/>
      <c r="DB24" s="842"/>
      <c r="DC24" s="842"/>
      <c r="DD24" s="842"/>
      <c r="DE24" s="842"/>
    </row>
    <row r="25" spans="64:109" x14ac:dyDescent="0.25">
      <c r="BL25" s="842"/>
      <c r="BM25" s="842"/>
      <c r="BN25" s="842"/>
      <c r="BO25" s="842"/>
      <c r="BP25" s="842"/>
      <c r="BQ25" s="842"/>
      <c r="BR25" s="842"/>
      <c r="BS25" s="842"/>
      <c r="BT25" s="842"/>
      <c r="BU25" s="842"/>
      <c r="BV25" s="842"/>
      <c r="BW25" s="842"/>
      <c r="BX25" s="842"/>
      <c r="BY25" s="842"/>
      <c r="BZ25" s="842"/>
      <c r="CA25" s="842"/>
      <c r="CB25" s="842"/>
      <c r="CC25" s="842"/>
      <c r="CD25" s="842"/>
      <c r="CE25" s="842"/>
      <c r="CF25" s="842"/>
      <c r="CG25" s="842"/>
      <c r="CH25" s="842"/>
      <c r="CI25" s="842"/>
      <c r="CJ25" s="842"/>
      <c r="CK25" s="842"/>
      <c r="CL25" s="842"/>
      <c r="CM25" s="842"/>
      <c r="CN25" s="842"/>
      <c r="CO25" s="842"/>
      <c r="CP25" s="842"/>
      <c r="CQ25" s="842"/>
      <c r="CR25" s="842"/>
      <c r="CS25" s="842"/>
      <c r="CT25" s="842"/>
      <c r="CU25" s="842"/>
      <c r="CV25" s="842"/>
      <c r="CW25" s="842"/>
      <c r="CX25" s="842"/>
      <c r="CY25" s="842"/>
      <c r="CZ25" s="842"/>
      <c r="DA25" s="842"/>
      <c r="DB25" s="842"/>
      <c r="DC25" s="842"/>
      <c r="DD25" s="842"/>
      <c r="DE25" s="842"/>
    </row>
    <row r="26" spans="64:109" x14ac:dyDescent="0.25">
      <c r="BL26" s="842"/>
      <c r="BM26" s="842"/>
      <c r="BN26" s="842"/>
      <c r="BO26" s="842"/>
      <c r="BP26" s="842"/>
      <c r="BQ26" s="842"/>
      <c r="BR26" s="842"/>
      <c r="BS26" s="842"/>
      <c r="BT26" s="842"/>
      <c r="BU26" s="842"/>
      <c r="BV26" s="842"/>
      <c r="BW26" s="842"/>
      <c r="BX26" s="842"/>
      <c r="BY26" s="842"/>
      <c r="BZ26" s="842"/>
      <c r="CA26" s="842"/>
      <c r="CB26" s="842"/>
      <c r="CC26" s="842"/>
      <c r="CD26" s="842"/>
      <c r="CE26" s="842"/>
      <c r="CF26" s="842"/>
      <c r="CG26" s="842"/>
      <c r="CH26" s="842"/>
      <c r="CI26" s="842"/>
      <c r="CJ26" s="842"/>
      <c r="CK26" s="842"/>
      <c r="CL26" s="842"/>
      <c r="CM26" s="842"/>
      <c r="CN26" s="842"/>
      <c r="CO26" s="842"/>
      <c r="CP26" s="842"/>
      <c r="CQ26" s="842"/>
      <c r="CR26" s="842"/>
      <c r="CS26" s="842"/>
      <c r="CT26" s="842"/>
      <c r="CU26" s="842"/>
      <c r="CV26" s="842"/>
      <c r="CW26" s="842"/>
      <c r="CX26" s="842"/>
      <c r="CY26" s="842"/>
      <c r="CZ26" s="842"/>
      <c r="DA26" s="842"/>
      <c r="DB26" s="842"/>
      <c r="DC26" s="842"/>
      <c r="DD26" s="842"/>
      <c r="DE26" s="842"/>
    </row>
    <row r="27" spans="64:109" x14ac:dyDescent="0.25">
      <c r="BL27" s="842"/>
      <c r="BM27" s="842"/>
      <c r="BN27" s="842"/>
      <c r="BO27" s="842"/>
      <c r="BP27" s="842"/>
      <c r="BQ27" s="842"/>
      <c r="BR27" s="842"/>
      <c r="BS27" s="842"/>
      <c r="BT27" s="842"/>
      <c r="BU27" s="842"/>
      <c r="BV27" s="842"/>
      <c r="BW27" s="842"/>
      <c r="BX27" s="842"/>
      <c r="BY27" s="842"/>
      <c r="BZ27" s="842"/>
      <c r="CA27" s="842"/>
      <c r="CB27" s="842"/>
      <c r="CC27" s="842"/>
      <c r="CD27" s="842"/>
      <c r="CE27" s="842"/>
      <c r="CF27" s="842"/>
      <c r="CG27" s="842"/>
      <c r="CH27" s="842"/>
      <c r="CI27" s="842"/>
      <c r="CJ27" s="842"/>
      <c r="CK27" s="842"/>
      <c r="CL27" s="842"/>
      <c r="CM27" s="842"/>
      <c r="CN27" s="842"/>
      <c r="CO27" s="842"/>
      <c r="CP27" s="842"/>
      <c r="CQ27" s="842"/>
      <c r="CR27" s="842"/>
      <c r="CS27" s="842"/>
      <c r="CT27" s="842"/>
      <c r="CU27" s="842"/>
      <c r="CV27" s="842"/>
      <c r="CW27" s="842"/>
      <c r="CX27" s="842"/>
      <c r="CY27" s="842"/>
      <c r="CZ27" s="842"/>
      <c r="DA27" s="842"/>
      <c r="DB27" s="842"/>
      <c r="DC27" s="842"/>
      <c r="DD27" s="842"/>
      <c r="DE27" s="842"/>
    </row>
    <row r="33" spans="50:102" x14ac:dyDescent="0.25">
      <c r="BK33" s="842"/>
      <c r="BL33" s="842"/>
      <c r="BM33" s="842"/>
      <c r="BN33" s="842"/>
      <c r="BO33" s="842"/>
      <c r="BP33" s="842"/>
      <c r="BQ33" s="842"/>
      <c r="BR33" s="842"/>
      <c r="BS33" s="842"/>
      <c r="BT33" s="842"/>
      <c r="BU33" s="842"/>
      <c r="BV33" s="842"/>
      <c r="BW33" s="842"/>
      <c r="BX33" s="842"/>
      <c r="BY33" s="842"/>
      <c r="BZ33" s="842"/>
      <c r="CA33" s="842"/>
      <c r="CB33" s="842"/>
      <c r="CC33" s="842"/>
      <c r="CD33" s="842"/>
      <c r="CE33" s="842"/>
      <c r="CF33" s="842"/>
      <c r="CG33" s="842"/>
      <c r="CH33" s="842"/>
      <c r="CI33" s="842"/>
      <c r="CJ33" s="842"/>
      <c r="CK33" s="842"/>
      <c r="CL33" s="842"/>
      <c r="CM33" s="842"/>
      <c r="CN33" s="842"/>
      <c r="CO33" s="842"/>
      <c r="CP33" s="842"/>
      <c r="CQ33" s="842"/>
      <c r="CR33" s="842"/>
      <c r="CS33" s="842"/>
      <c r="CT33" s="842"/>
      <c r="CU33" s="842"/>
      <c r="CV33" s="842"/>
      <c r="CW33" s="842"/>
      <c r="CX33" s="842"/>
    </row>
    <row r="35" spans="50:102" x14ac:dyDescent="0.25">
      <c r="BE35" s="842"/>
      <c r="BF35" s="842"/>
    </row>
    <row r="36" spans="50:102" x14ac:dyDescent="0.25">
      <c r="BE36" s="842"/>
      <c r="BF36" s="842"/>
    </row>
    <row r="37" spans="50:102" x14ac:dyDescent="0.25">
      <c r="BE37" s="842"/>
      <c r="BF37" s="842"/>
    </row>
    <row r="38" spans="50:102" x14ac:dyDescent="0.25">
      <c r="BE38" s="842"/>
      <c r="BF38" s="842"/>
    </row>
    <row r="39" spans="50:102" x14ac:dyDescent="0.25">
      <c r="BE39" s="842"/>
      <c r="BF39" s="842"/>
    </row>
    <row r="47" spans="50:102" x14ac:dyDescent="0.25">
      <c r="AX47" s="842"/>
    </row>
    <row r="48" spans="50:102" x14ac:dyDescent="0.25">
      <c r="AX48" s="842"/>
    </row>
    <row r="49" spans="50:50" x14ac:dyDescent="0.25">
      <c r="AX49" s="842"/>
    </row>
    <row r="50" spans="50:50" x14ac:dyDescent="0.25">
      <c r="AX50" s="842"/>
    </row>
    <row r="51" spans="50:50" x14ac:dyDescent="0.25">
      <c r="AX51" s="842"/>
    </row>
  </sheetData>
  <mergeCells count="13">
    <mergeCell ref="B2:G2"/>
    <mergeCell ref="C11:D11"/>
    <mergeCell ref="C12:D12"/>
    <mergeCell ref="C13:D13"/>
    <mergeCell ref="B4:C4"/>
    <mergeCell ref="B5:C5"/>
    <mergeCell ref="C7:F7"/>
    <mergeCell ref="B8:B10"/>
    <mergeCell ref="C8:D8"/>
    <mergeCell ref="F8:F10"/>
    <mergeCell ref="G8:G10"/>
    <mergeCell ref="C9:D9"/>
    <mergeCell ref="C10:D10"/>
  </mergeCells>
  <printOptions horizontalCentered="1"/>
  <pageMargins left="0.51181102362204722" right="0.51181102362204722" top="0.98425196850393704" bottom="0.59055118110236227" header="0.31496062992125984" footer="0.51181102362204722"/>
  <pageSetup paperSize="9" scale="61" fitToHeight="0" orientation="portrait" r:id="rId1"/>
  <headerFooter>
    <oddHeader>&amp;L&amp;G&amp;R&amp;G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2F27F-CB78-4FBD-9BDB-B59AF4F36F93}">
  <sheetPr>
    <tabColor theme="6" tint="0.39997558519241921"/>
    <pageSetUpPr fitToPage="1"/>
  </sheetPr>
  <dimension ref="D4:L22"/>
  <sheetViews>
    <sheetView showGridLines="0" view="pageBreakPreview" topLeftCell="D1" zoomScale="85" zoomScaleNormal="100" zoomScaleSheetLayoutView="85" workbookViewId="0">
      <selection activeCell="L9" sqref="L9"/>
    </sheetView>
  </sheetViews>
  <sheetFormatPr defaultColWidth="10.6640625" defaultRowHeight="15" x14ac:dyDescent="0.2"/>
  <cols>
    <col min="1" max="3" width="10.6640625" style="420"/>
    <col min="4" max="4" width="29" style="420" bestFit="1" customWidth="1"/>
    <col min="5" max="5" width="18" style="420" customWidth="1"/>
    <col min="6" max="6" width="15" style="420" customWidth="1"/>
    <col min="7" max="7" width="14.1640625" style="420" customWidth="1"/>
    <col min="8" max="8" width="13.83203125" style="420" customWidth="1"/>
    <col min="9" max="9" width="15.1640625" style="420" customWidth="1"/>
    <col min="10" max="10" width="14.1640625" style="420" customWidth="1"/>
    <col min="11" max="11" width="13.83203125" style="420" customWidth="1"/>
    <col min="12" max="12" width="15.1640625" style="420" customWidth="1"/>
    <col min="13" max="16384" width="10.6640625" style="420"/>
  </cols>
  <sheetData>
    <row r="4" spans="4:12" ht="24.75" customHeight="1" x14ac:dyDescent="0.2">
      <c r="D4" s="1182" t="s">
        <v>467</v>
      </c>
      <c r="E4" s="1182"/>
      <c r="F4" s="1182"/>
      <c r="G4" s="1182"/>
      <c r="H4" s="1182"/>
      <c r="I4" s="1182"/>
      <c r="J4" s="1182"/>
      <c r="K4" s="1182"/>
      <c r="L4" s="1182"/>
    </row>
    <row r="5" spans="4:12" ht="60" x14ac:dyDescent="0.2">
      <c r="D5" s="558" t="s">
        <v>455</v>
      </c>
      <c r="E5" s="421" t="s">
        <v>159</v>
      </c>
      <c r="F5" s="421" t="s">
        <v>160</v>
      </c>
      <c r="G5" s="421" t="s">
        <v>456</v>
      </c>
      <c r="H5" s="421" t="s">
        <v>457</v>
      </c>
      <c r="I5" s="421" t="s">
        <v>458</v>
      </c>
      <c r="J5" s="422" t="s">
        <v>459</v>
      </c>
      <c r="K5" s="422" t="s">
        <v>460</v>
      </c>
      <c r="L5" s="422" t="s">
        <v>461</v>
      </c>
    </row>
    <row r="6" spans="4:12" ht="21.95" hidden="1" customHeight="1" x14ac:dyDescent="0.2">
      <c r="D6" s="559" t="s">
        <v>462</v>
      </c>
      <c r="E6" s="423">
        <v>0</v>
      </c>
      <c r="F6" s="423" t="s">
        <v>41</v>
      </c>
      <c r="G6" s="424">
        <v>0</v>
      </c>
      <c r="H6" s="425">
        <v>0.72899999999999998</v>
      </c>
      <c r="I6" s="425">
        <v>0</v>
      </c>
      <c r="J6" s="426">
        <f>TRUNC(E6*G6,2)</f>
        <v>0</v>
      </c>
      <c r="K6" s="426">
        <f>TRUNC(E6*H6,2)</f>
        <v>0</v>
      </c>
      <c r="L6" s="426" t="s">
        <v>40</v>
      </c>
    </row>
    <row r="7" spans="4:12" ht="21.95" customHeight="1" x14ac:dyDescent="0.2">
      <c r="D7" s="559" t="s">
        <v>463</v>
      </c>
      <c r="E7" s="423">
        <f>44.07+45.43</f>
        <v>89.5</v>
      </c>
      <c r="F7" s="423" t="s">
        <v>1</v>
      </c>
      <c r="G7" s="424">
        <v>0</v>
      </c>
      <c r="H7" s="425">
        <v>0</v>
      </c>
      <c r="I7" s="425">
        <f>E7</f>
        <v>89.5</v>
      </c>
      <c r="J7" s="426" t="s">
        <v>40</v>
      </c>
      <c r="K7" s="426" t="s">
        <v>40</v>
      </c>
      <c r="L7" s="426">
        <f>I7</f>
        <v>89.5</v>
      </c>
    </row>
    <row r="8" spans="4:12" ht="21.95" customHeight="1" x14ac:dyDescent="0.2">
      <c r="D8" s="559" t="s">
        <v>464</v>
      </c>
      <c r="E8" s="423">
        <v>79.75</v>
      </c>
      <c r="F8" s="423" t="s">
        <v>3</v>
      </c>
      <c r="G8" s="424">
        <v>6.1499999999999999E-2</v>
      </c>
      <c r="H8" s="425">
        <v>0</v>
      </c>
      <c r="I8" s="425">
        <v>0</v>
      </c>
      <c r="J8" s="426">
        <f>TRUNC(E8*G8,2)</f>
        <v>4.9000000000000004</v>
      </c>
      <c r="K8" s="426">
        <f t="shared" ref="K8:K9" si="0">TRUNC(E8*H8,2)</f>
        <v>0</v>
      </c>
      <c r="L8" s="426" t="s">
        <v>40</v>
      </c>
    </row>
    <row r="9" spans="4:12" ht="21.95" hidden="1" customHeight="1" x14ac:dyDescent="0.2">
      <c r="D9" s="560" t="s">
        <v>465</v>
      </c>
      <c r="E9" s="427">
        <v>0</v>
      </c>
      <c r="F9" s="427" t="s">
        <v>1</v>
      </c>
      <c r="G9" s="428">
        <f>1*0.07</f>
        <v>7.0000000000000007E-2</v>
      </c>
      <c r="H9" s="429">
        <v>0</v>
      </c>
      <c r="I9" s="429">
        <v>0</v>
      </c>
      <c r="J9" s="426">
        <f>TRUNC(E9*G9,2)</f>
        <v>0</v>
      </c>
      <c r="K9" s="426">
        <f t="shared" si="0"/>
        <v>0</v>
      </c>
      <c r="L9" s="426" t="s">
        <v>40</v>
      </c>
    </row>
    <row r="10" spans="4:12" ht="21.95" customHeight="1" x14ac:dyDescent="0.2">
      <c r="D10" s="1183" t="s">
        <v>34</v>
      </c>
      <c r="E10" s="1183"/>
      <c r="F10" s="1183"/>
      <c r="G10" s="1183"/>
      <c r="H10" s="1183"/>
      <c r="I10" s="1183"/>
      <c r="J10" s="561">
        <f>SUM(J6:J9)</f>
        <v>4.9000000000000004</v>
      </c>
      <c r="K10" s="561">
        <f>SUM(K6:K9)</f>
        <v>0</v>
      </c>
      <c r="L10" s="561">
        <f>SUM(L6:L9)</f>
        <v>89.5</v>
      </c>
    </row>
    <row r="11" spans="4:12" ht="21.95" customHeight="1" x14ac:dyDescent="0.2"/>
    <row r="12" spans="4:12" ht="21.95" customHeight="1" x14ac:dyDescent="0.2">
      <c r="I12" s="430" t="s">
        <v>468</v>
      </c>
      <c r="J12" s="431">
        <f>TRUNC((J10+K10+(L10*0.03))*1.3,2)</f>
        <v>9.86</v>
      </c>
      <c r="K12" s="432" t="s">
        <v>2</v>
      </c>
    </row>
    <row r="13" spans="4:12" ht="21.95" customHeight="1" x14ac:dyDescent="0.2">
      <c r="I13" s="430" t="s">
        <v>161</v>
      </c>
      <c r="J13" s="431">
        <f>DMT!F15</f>
        <v>3.4</v>
      </c>
      <c r="K13" s="432" t="s">
        <v>38</v>
      </c>
    </row>
    <row r="14" spans="4:12" ht="21.95" customHeight="1" x14ac:dyDescent="0.2">
      <c r="I14" s="430" t="s">
        <v>466</v>
      </c>
      <c r="J14" s="431">
        <f>TRUNC(J12*J13,2)</f>
        <v>33.520000000000003</v>
      </c>
      <c r="K14" s="432" t="s">
        <v>8</v>
      </c>
    </row>
    <row r="15" spans="4:12" ht="21.95" customHeight="1" x14ac:dyDescent="0.2">
      <c r="I15" s="430"/>
      <c r="J15" s="431"/>
      <c r="K15" s="432"/>
    </row>
    <row r="16" spans="4:12" ht="21.95" customHeight="1" x14ac:dyDescent="0.2">
      <c r="I16" s="430"/>
      <c r="J16" s="431"/>
      <c r="K16" s="432"/>
    </row>
    <row r="17" spans="9:11" ht="21.95" customHeight="1" x14ac:dyDescent="0.2">
      <c r="I17" s="430"/>
      <c r="J17" s="431"/>
      <c r="K17" s="432"/>
    </row>
    <row r="18" spans="9:11" ht="21.95" customHeight="1" x14ac:dyDescent="0.2">
      <c r="I18" s="430"/>
      <c r="J18" s="431"/>
      <c r="K18" s="432"/>
    </row>
    <row r="19" spans="9:11" ht="21.95" customHeight="1" x14ac:dyDescent="0.2">
      <c r="I19" s="430"/>
      <c r="J19" s="431"/>
      <c r="K19" s="432"/>
    </row>
    <row r="20" spans="9:11" ht="21.95" customHeight="1" x14ac:dyDescent="0.2">
      <c r="I20" s="430"/>
      <c r="J20" s="431"/>
      <c r="K20" s="432"/>
    </row>
    <row r="21" spans="9:11" ht="21.95" customHeight="1" x14ac:dyDescent="0.2">
      <c r="J21" s="431"/>
      <c r="K21" s="432"/>
    </row>
    <row r="22" spans="9:11" ht="21.95" customHeight="1" x14ac:dyDescent="0.2">
      <c r="J22" s="431"/>
      <c r="K22" s="432"/>
    </row>
  </sheetData>
  <mergeCells count="2">
    <mergeCell ref="D4:L4"/>
    <mergeCell ref="D10:I10"/>
  </mergeCells>
  <printOptions horizontalCentered="1"/>
  <pageMargins left="0.51181102362204722" right="0.51181102362204722" top="0.98425196850393704" bottom="0.59055118110236227" header="0.31496062992125984" footer="0.51181102362204722"/>
  <pageSetup paperSize="9" scale="69" fitToHeight="0" orientation="portrait" r:id="rId1"/>
  <headerFooter>
    <oddHeader>&amp;L&amp;G&amp;R&amp;G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82994-C2BE-40BB-ACCD-384850E261CA}">
  <sheetPr>
    <tabColor rgb="FF002060"/>
    <pageSetUpPr fitToPage="1"/>
  </sheetPr>
  <dimension ref="B2:H26"/>
  <sheetViews>
    <sheetView showGridLines="0" zoomScaleNormal="100" zoomScaleSheetLayoutView="115" workbookViewId="0">
      <selection activeCell="J126" sqref="J126:L128"/>
    </sheetView>
  </sheetViews>
  <sheetFormatPr defaultColWidth="9.33203125" defaultRowHeight="12.75" x14ac:dyDescent="0.2"/>
  <cols>
    <col min="1" max="1" width="9.33203125" style="206"/>
    <col min="2" max="4" width="20.83203125" style="206" customWidth="1"/>
    <col min="5" max="5" width="10.83203125" style="206" customWidth="1"/>
    <col min="6" max="8" width="20.83203125" style="206" customWidth="1"/>
    <col min="9" max="9" width="10.83203125" style="206" customWidth="1"/>
    <col min="10" max="12" width="20.83203125" style="206" customWidth="1"/>
    <col min="13" max="16384" width="9.33203125" style="206"/>
  </cols>
  <sheetData>
    <row r="2" spans="2:8" ht="13.5" thickBot="1" x14ac:dyDescent="0.25"/>
    <row r="3" spans="2:8" ht="18" customHeight="1" thickBot="1" x14ac:dyDescent="0.25">
      <c r="B3" s="1184" t="s">
        <v>362</v>
      </c>
      <c r="C3" s="1185"/>
      <c r="D3" s="1186"/>
      <c r="F3" s="1184" t="s">
        <v>365</v>
      </c>
      <c r="G3" s="1185"/>
      <c r="H3" s="1186"/>
    </row>
    <row r="4" spans="2:8" ht="18" customHeight="1" thickBot="1" x14ac:dyDescent="0.25">
      <c r="B4" s="207" t="s">
        <v>363</v>
      </c>
      <c r="C4" s="208" t="s">
        <v>364</v>
      </c>
      <c r="D4" s="209" t="s">
        <v>43</v>
      </c>
      <c r="F4" s="207" t="s">
        <v>363</v>
      </c>
      <c r="G4" s="208" t="s">
        <v>364</v>
      </c>
      <c r="H4" s="209" t="s">
        <v>43</v>
      </c>
    </row>
    <row r="5" spans="2:8" ht="18" customHeight="1" x14ac:dyDescent="0.2">
      <c r="B5" s="267" t="s">
        <v>397</v>
      </c>
      <c r="C5" s="210"/>
      <c r="D5" s="211"/>
      <c r="F5" s="267" t="s">
        <v>398</v>
      </c>
      <c r="G5" s="210"/>
      <c r="H5" s="211"/>
    </row>
    <row r="6" spans="2:8" ht="18" customHeight="1" x14ac:dyDescent="0.2">
      <c r="B6" s="268" t="s">
        <v>397</v>
      </c>
      <c r="C6" s="212"/>
      <c r="D6" s="213"/>
      <c r="F6" s="268" t="s">
        <v>398</v>
      </c>
      <c r="G6" s="212"/>
      <c r="H6" s="213"/>
    </row>
    <row r="7" spans="2:8" ht="18" customHeight="1" x14ac:dyDescent="0.2">
      <c r="B7" s="268" t="s">
        <v>397</v>
      </c>
      <c r="C7" s="212"/>
      <c r="D7" s="213"/>
      <c r="F7" s="268" t="s">
        <v>398</v>
      </c>
      <c r="G7" s="212"/>
      <c r="H7" s="213"/>
    </row>
    <row r="8" spans="2:8" ht="18" customHeight="1" x14ac:dyDescent="0.2">
      <c r="B8" s="268" t="s">
        <v>397</v>
      </c>
      <c r="C8" s="212"/>
      <c r="D8" s="213"/>
      <c r="F8" s="268" t="s">
        <v>398</v>
      </c>
      <c r="G8" s="212"/>
      <c r="H8" s="213"/>
    </row>
    <row r="9" spans="2:8" ht="18" customHeight="1" thickBot="1" x14ac:dyDescent="0.25">
      <c r="B9" s="269" t="s">
        <v>397</v>
      </c>
      <c r="C9" s="214"/>
      <c r="D9" s="215"/>
      <c r="F9" s="269" t="s">
        <v>398</v>
      </c>
      <c r="G9" s="214"/>
      <c r="H9" s="215"/>
    </row>
    <row r="10" spans="2:8" ht="18" customHeight="1" x14ac:dyDescent="0.2"/>
    <row r="11" spans="2:8" ht="18" customHeight="1" x14ac:dyDescent="0.2"/>
    <row r="12" spans="2:8" ht="18" customHeight="1" x14ac:dyDescent="0.2"/>
    <row r="13" spans="2:8" ht="18" customHeight="1" x14ac:dyDescent="0.2"/>
    <row r="14" spans="2:8" ht="18" customHeight="1" x14ac:dyDescent="0.2"/>
    <row r="15" spans="2:8" ht="18" customHeight="1" x14ac:dyDescent="0.2"/>
    <row r="16" spans="2:8" ht="18" customHeight="1" x14ac:dyDescent="0.2"/>
    <row r="17" ht="18" customHeight="1" x14ac:dyDescent="0.2"/>
    <row r="18" ht="18" customHeight="1" x14ac:dyDescent="0.2"/>
    <row r="19" ht="18" customHeight="1" x14ac:dyDescent="0.2"/>
    <row r="20" ht="18" customHeight="1" x14ac:dyDescent="0.2"/>
    <row r="21" ht="18" customHeight="1" x14ac:dyDescent="0.2"/>
    <row r="22" ht="18" customHeight="1" x14ac:dyDescent="0.2"/>
    <row r="23" ht="18" customHeight="1" x14ac:dyDescent="0.2"/>
    <row r="24" ht="18" customHeight="1" x14ac:dyDescent="0.2"/>
    <row r="25" ht="18" customHeight="1" x14ac:dyDescent="0.2"/>
    <row r="26" ht="18" customHeight="1" x14ac:dyDescent="0.2"/>
  </sheetData>
  <mergeCells count="2">
    <mergeCell ref="B3:D3"/>
    <mergeCell ref="F3:H3"/>
  </mergeCells>
  <phoneticPr fontId="92" type="noConversion"/>
  <printOptions horizontalCentered="1"/>
  <pageMargins left="0.51181102362204722" right="0.51181102362204722" top="0.98425196850393704" bottom="0.59055118110236227" header="0.31496062992125984" footer="0.51181102362204722"/>
  <pageSetup paperSize="9" fitToHeight="0" orientation="landscape" r:id="rId1"/>
  <headerFooter>
    <oddHeader>&amp;R&amp;G</oddHeader>
    <oddFooter>&amp;C&amp;"-,Regular"&amp;K01+049&amp;P de &amp;N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07F1E-3A5C-4BB4-8070-1B6DBC148838}">
  <sheetPr>
    <tabColor theme="5" tint="0.39997558519241921"/>
    <pageSetUpPr fitToPage="1"/>
  </sheetPr>
  <dimension ref="B2:W18"/>
  <sheetViews>
    <sheetView showGridLines="0" view="pageBreakPreview" zoomScale="85" zoomScaleNormal="115" zoomScaleSheetLayoutView="85" workbookViewId="0">
      <selection activeCell="L9" sqref="L9"/>
    </sheetView>
  </sheetViews>
  <sheetFormatPr defaultColWidth="27.83203125" defaultRowHeight="20.100000000000001" customHeight="1" x14ac:dyDescent="0.2"/>
  <cols>
    <col min="1" max="1" width="7.1640625" style="655" customWidth="1"/>
    <col min="2" max="2" width="26" style="655" customWidth="1"/>
    <col min="3" max="3" width="7.83203125" style="655" customWidth="1"/>
    <col min="4" max="4" width="2.1640625" style="655" bestFit="1" customWidth="1"/>
    <col min="5" max="6" width="7.83203125" style="655" customWidth="1"/>
    <col min="7" max="7" width="2.1640625" style="655" bestFit="1" customWidth="1"/>
    <col min="8" max="8" width="7.83203125" style="655" customWidth="1"/>
    <col min="9" max="9" width="12" style="655" customWidth="1"/>
    <col min="10" max="10" width="14.33203125" style="655" customWidth="1"/>
    <col min="11" max="11" width="15.83203125" style="655" customWidth="1"/>
    <col min="12" max="12" width="11" style="655" customWidth="1"/>
    <col min="13" max="13" width="10" style="655" customWidth="1"/>
    <col min="14" max="14" width="10.1640625" style="655" customWidth="1"/>
    <col min="15" max="15" width="10" style="655" customWidth="1"/>
    <col min="16" max="16" width="10.1640625" style="655" customWidth="1"/>
    <col min="17" max="17" width="9.33203125" style="655" customWidth="1"/>
    <col min="18" max="18" width="9.1640625" style="655" customWidth="1"/>
    <col min="19" max="19" width="9.83203125" style="655" customWidth="1"/>
    <col min="20" max="20" width="11.33203125" style="655" customWidth="1"/>
    <col min="21" max="21" width="12.5" style="655" customWidth="1"/>
    <col min="22" max="22" width="12.6640625" style="655" customWidth="1"/>
    <col min="23" max="23" width="14.1640625" style="655" customWidth="1"/>
    <col min="24" max="16384" width="27.83203125" style="655"/>
  </cols>
  <sheetData>
    <row r="2" spans="2:23" ht="21.75" customHeight="1" x14ac:dyDescent="0.2">
      <c r="B2" s="1196" t="s">
        <v>671</v>
      </c>
      <c r="C2" s="1196"/>
      <c r="D2" s="1196"/>
      <c r="E2" s="1196"/>
      <c r="F2" s="1196"/>
      <c r="G2" s="1196"/>
      <c r="H2" s="1196"/>
      <c r="I2" s="1196"/>
      <c r="J2" s="1196"/>
      <c r="K2" s="1196"/>
      <c r="L2" s="1196"/>
      <c r="M2" s="1196"/>
      <c r="N2" s="1196"/>
      <c r="O2" s="1196"/>
      <c r="P2" s="1196"/>
      <c r="Q2" s="1196"/>
      <c r="R2" s="1196"/>
      <c r="S2" s="1196"/>
      <c r="T2" s="1196"/>
      <c r="U2" s="1196"/>
      <c r="V2" s="1196"/>
      <c r="W2" s="1196"/>
    </row>
    <row r="3" spans="2:23" ht="30.75" customHeight="1" x14ac:dyDescent="0.2">
      <c r="B3" s="1193" t="s">
        <v>4</v>
      </c>
      <c r="C3" s="1194" t="s">
        <v>281</v>
      </c>
      <c r="D3" s="1194"/>
      <c r="E3" s="1194"/>
      <c r="F3" s="1194"/>
      <c r="G3" s="1194"/>
      <c r="H3" s="1194"/>
      <c r="I3" s="1195" t="s">
        <v>670</v>
      </c>
      <c r="J3" s="1193" t="s">
        <v>669</v>
      </c>
      <c r="K3" s="1193" t="s">
        <v>668</v>
      </c>
      <c r="L3" s="1193"/>
      <c r="M3" s="1190" t="s">
        <v>667</v>
      </c>
      <c r="N3" s="1191"/>
      <c r="O3" s="1192"/>
      <c r="P3" s="1190" t="s">
        <v>666</v>
      </c>
      <c r="Q3" s="1191"/>
      <c r="R3" s="1192"/>
      <c r="S3" s="1190" t="s">
        <v>665</v>
      </c>
      <c r="T3" s="1191"/>
      <c r="U3" s="1192"/>
      <c r="V3" s="1193" t="s">
        <v>664</v>
      </c>
      <c r="W3" s="1193"/>
    </row>
    <row r="4" spans="2:23" ht="27" customHeight="1" x14ac:dyDescent="0.2">
      <c r="B4" s="1193"/>
      <c r="C4" s="1194" t="s">
        <v>5</v>
      </c>
      <c r="D4" s="1194"/>
      <c r="E4" s="1194"/>
      <c r="F4" s="1194" t="s">
        <v>6</v>
      </c>
      <c r="G4" s="1194"/>
      <c r="H4" s="1194"/>
      <c r="I4" s="1195"/>
      <c r="J4" s="1193"/>
      <c r="K4" s="637" t="s">
        <v>42</v>
      </c>
      <c r="L4" s="637" t="s">
        <v>662</v>
      </c>
      <c r="M4" s="637" t="s">
        <v>663</v>
      </c>
      <c r="N4" s="637" t="s">
        <v>662</v>
      </c>
      <c r="O4" s="637" t="s">
        <v>661</v>
      </c>
      <c r="P4" s="637" t="s">
        <v>663</v>
      </c>
      <c r="Q4" s="637" t="s">
        <v>662</v>
      </c>
      <c r="R4" s="637" t="s">
        <v>661</v>
      </c>
      <c r="S4" s="637" t="s">
        <v>163</v>
      </c>
      <c r="T4" s="637" t="s">
        <v>162</v>
      </c>
      <c r="U4" s="637" t="s">
        <v>278</v>
      </c>
      <c r="V4" s="637" t="s">
        <v>660</v>
      </c>
      <c r="W4" s="637" t="s">
        <v>163</v>
      </c>
    </row>
    <row r="5" spans="2:23" ht="18" customHeight="1" x14ac:dyDescent="0.2">
      <c r="B5" s="672" t="s">
        <v>658</v>
      </c>
      <c r="C5" s="671">
        <f>[1]PAVIMENTAÇÃO!C7</f>
        <v>0</v>
      </c>
      <c r="D5" s="673" t="s">
        <v>7</v>
      </c>
      <c r="E5" s="669">
        <v>0</v>
      </c>
      <c r="F5" s="671">
        <v>5</v>
      </c>
      <c r="G5" s="673" t="s">
        <v>7</v>
      </c>
      <c r="H5" s="669">
        <v>9.08</v>
      </c>
      <c r="I5" s="333">
        <f t="shared" ref="I5:I11" si="0">(F5*20+H5)-(C5*20+E5)</f>
        <v>109.08</v>
      </c>
      <c r="J5" s="10">
        <v>7.44</v>
      </c>
      <c r="K5" s="10" t="s">
        <v>659</v>
      </c>
      <c r="L5" s="10">
        <f t="shared" ref="L5:L11" si="1">ROUNDUP(I5,0)*2</f>
        <v>220</v>
      </c>
      <c r="M5" s="668">
        <v>0.16739999999999999</v>
      </c>
      <c r="N5" s="10">
        <f>L5</f>
        <v>220</v>
      </c>
      <c r="O5" s="10">
        <f>M5*N5*2</f>
        <v>73.655999999999992</v>
      </c>
      <c r="P5" s="668">
        <v>0</v>
      </c>
      <c r="Q5" s="10">
        <v>0</v>
      </c>
      <c r="R5" s="10">
        <f t="shared" ref="R5:R11" si="2">P5*Q5*2</f>
        <v>0</v>
      </c>
      <c r="S5" s="10">
        <f>(I5*J5)</f>
        <v>811.55520000000001</v>
      </c>
      <c r="T5" s="10">
        <v>0.3</v>
      </c>
      <c r="U5" s="10">
        <f t="shared" ref="U5:U11" si="3">T5*S5</f>
        <v>243.46655999999999</v>
      </c>
      <c r="V5" s="10">
        <f>T5*2</f>
        <v>0.6</v>
      </c>
      <c r="W5" s="10">
        <f>(I5*(V5+J5))</f>
        <v>877.00320000000011</v>
      </c>
    </row>
    <row r="6" spans="2:23" ht="18" customHeight="1" x14ac:dyDescent="0.2">
      <c r="B6" s="672" t="s">
        <v>658</v>
      </c>
      <c r="C6" s="671">
        <v>6</v>
      </c>
      <c r="D6" s="673" t="str">
        <f>[1]PAVIMENTAÇÃO!D9</f>
        <v>+</v>
      </c>
      <c r="E6" s="669">
        <v>12.378</v>
      </c>
      <c r="F6" s="671">
        <v>11</v>
      </c>
      <c r="G6" s="673" t="str">
        <f>[1]PAVIMENTAÇÃO!G9</f>
        <v>+</v>
      </c>
      <c r="H6" s="669">
        <v>13.571</v>
      </c>
      <c r="I6" s="333">
        <f t="shared" si="0"/>
        <v>101.19300000000001</v>
      </c>
      <c r="J6" s="10">
        <v>0</v>
      </c>
      <c r="K6" s="10" t="s">
        <v>654</v>
      </c>
      <c r="L6" s="10">
        <f t="shared" si="1"/>
        <v>204</v>
      </c>
      <c r="M6" s="668">
        <v>0</v>
      </c>
      <c r="N6" s="10">
        <f t="shared" ref="N6:N11" si="4">(M6*L6)*2</f>
        <v>0</v>
      </c>
      <c r="O6" s="10">
        <v>0</v>
      </c>
      <c r="P6" s="668">
        <v>0.81640000000000001</v>
      </c>
      <c r="Q6" s="10">
        <f t="shared" ref="Q6:Q11" si="5">(P6*L6)*2</f>
        <v>333.09120000000001</v>
      </c>
      <c r="R6" s="10">
        <f t="shared" si="2"/>
        <v>543.87131136000005</v>
      </c>
      <c r="S6" s="10">
        <v>0</v>
      </c>
      <c r="T6" s="10">
        <v>0</v>
      </c>
      <c r="U6" s="10">
        <f t="shared" si="3"/>
        <v>0</v>
      </c>
      <c r="V6" s="10">
        <v>0</v>
      </c>
      <c r="W6" s="10">
        <v>0</v>
      </c>
    </row>
    <row r="7" spans="2:23" ht="18" customHeight="1" x14ac:dyDescent="0.2">
      <c r="B7" s="672" t="s">
        <v>658</v>
      </c>
      <c r="C7" s="671">
        <v>12</v>
      </c>
      <c r="D7" s="673" t="str">
        <f>[1]PAVIMENTAÇÃO!D10</f>
        <v>+</v>
      </c>
      <c r="E7" s="669">
        <v>14.17</v>
      </c>
      <c r="F7" s="671">
        <v>17</v>
      </c>
      <c r="G7" s="673" t="str">
        <f>[1]PAVIMENTAÇÃO!G10</f>
        <v>+</v>
      </c>
      <c r="H7" s="669">
        <v>11.688000000000001</v>
      </c>
      <c r="I7" s="333">
        <f t="shared" si="0"/>
        <v>97.518000000000001</v>
      </c>
      <c r="J7" s="10">
        <v>0</v>
      </c>
      <c r="K7" s="10" t="s">
        <v>654</v>
      </c>
      <c r="L7" s="10">
        <f t="shared" si="1"/>
        <v>196</v>
      </c>
      <c r="M7" s="668">
        <v>0</v>
      </c>
      <c r="N7" s="10">
        <f t="shared" si="4"/>
        <v>0</v>
      </c>
      <c r="O7" s="10">
        <v>0</v>
      </c>
      <c r="P7" s="668">
        <v>0.81640000000000001</v>
      </c>
      <c r="Q7" s="10">
        <f t="shared" si="5"/>
        <v>320.02879999999999</v>
      </c>
      <c r="R7" s="10">
        <f t="shared" si="2"/>
        <v>522.54302464</v>
      </c>
      <c r="S7" s="10">
        <v>0</v>
      </c>
      <c r="T7" s="10">
        <v>0</v>
      </c>
      <c r="U7" s="10">
        <f t="shared" si="3"/>
        <v>0</v>
      </c>
      <c r="V7" s="10">
        <v>0</v>
      </c>
      <c r="W7" s="10">
        <v>0</v>
      </c>
    </row>
    <row r="8" spans="2:23" ht="18" customHeight="1" x14ac:dyDescent="0.2">
      <c r="B8" s="672" t="s">
        <v>658</v>
      </c>
      <c r="C8" s="671">
        <v>18</v>
      </c>
      <c r="D8" s="673" t="str">
        <f>[1]PAVIMENTAÇÃO!D11</f>
        <v>+</v>
      </c>
      <c r="E8" s="669">
        <v>12.177</v>
      </c>
      <c r="F8" s="671">
        <v>21</v>
      </c>
      <c r="G8" s="673" t="str">
        <f>[1]PAVIMENTAÇÃO!G11</f>
        <v>+</v>
      </c>
      <c r="H8" s="669">
        <v>8.8650000000000002</v>
      </c>
      <c r="I8" s="333">
        <f t="shared" si="0"/>
        <v>56.687999999999988</v>
      </c>
      <c r="J8" s="10">
        <v>0</v>
      </c>
      <c r="K8" s="10" t="s">
        <v>654</v>
      </c>
      <c r="L8" s="10">
        <f t="shared" si="1"/>
        <v>114</v>
      </c>
      <c r="M8" s="668">
        <v>0</v>
      </c>
      <c r="N8" s="10">
        <f t="shared" si="4"/>
        <v>0</v>
      </c>
      <c r="O8" s="10">
        <v>0</v>
      </c>
      <c r="P8" s="668">
        <v>0.81640000000000001</v>
      </c>
      <c r="Q8" s="10">
        <f t="shared" si="5"/>
        <v>186.13920000000002</v>
      </c>
      <c r="R8" s="10">
        <f t="shared" si="2"/>
        <v>303.92808576000004</v>
      </c>
      <c r="S8" s="10">
        <v>0</v>
      </c>
      <c r="T8" s="10">
        <v>0</v>
      </c>
      <c r="U8" s="10">
        <f t="shared" si="3"/>
        <v>0</v>
      </c>
      <c r="V8" s="10">
        <v>0</v>
      </c>
      <c r="W8" s="10">
        <v>0</v>
      </c>
    </row>
    <row r="9" spans="2:23" ht="18" customHeight="1" x14ac:dyDescent="0.2">
      <c r="B9" s="672" t="s">
        <v>657</v>
      </c>
      <c r="C9" s="671">
        <f>[1]PAVIMENTAÇÃO!C10</f>
        <v>0</v>
      </c>
      <c r="D9" s="673" t="str">
        <f>[1]PAVIMENTAÇÃO!D10</f>
        <v>+</v>
      </c>
      <c r="E9" s="669">
        <v>6.3780000000000001</v>
      </c>
      <c r="F9" s="671">
        <v>4</v>
      </c>
      <c r="G9" s="673" t="str">
        <f>[1]PAVIMENTAÇÃO!G10</f>
        <v>+</v>
      </c>
      <c r="H9" s="669">
        <v>9.0340000000000007</v>
      </c>
      <c r="I9" s="333">
        <f t="shared" si="0"/>
        <v>82.656000000000006</v>
      </c>
      <c r="J9" s="10">
        <v>0</v>
      </c>
      <c r="K9" s="10" t="s">
        <v>654</v>
      </c>
      <c r="L9" s="10">
        <f t="shared" si="1"/>
        <v>166</v>
      </c>
      <c r="M9" s="668">
        <v>0</v>
      </c>
      <c r="N9" s="10">
        <f t="shared" si="4"/>
        <v>0</v>
      </c>
      <c r="O9" s="10">
        <v>0</v>
      </c>
      <c r="P9" s="668">
        <v>0.81640000000000001</v>
      </c>
      <c r="Q9" s="10">
        <f t="shared" si="5"/>
        <v>271.04480000000001</v>
      </c>
      <c r="R9" s="10">
        <f t="shared" si="2"/>
        <v>442.56194944000003</v>
      </c>
      <c r="S9" s="10">
        <v>0</v>
      </c>
      <c r="T9" s="10">
        <v>0</v>
      </c>
      <c r="U9" s="10">
        <f t="shared" si="3"/>
        <v>0</v>
      </c>
      <c r="V9" s="10">
        <v>0</v>
      </c>
      <c r="W9" s="10">
        <v>0</v>
      </c>
    </row>
    <row r="10" spans="2:23" ht="18" customHeight="1" x14ac:dyDescent="0.2">
      <c r="B10" s="672" t="s">
        <v>656</v>
      </c>
      <c r="C10" s="671">
        <f>[1]PAVIMENTAÇÃO!C11</f>
        <v>0</v>
      </c>
      <c r="D10" s="673" t="str">
        <f>[1]PAVIMENTAÇÃO!D11</f>
        <v>+</v>
      </c>
      <c r="E10" s="669">
        <v>6.5940000000000003</v>
      </c>
      <c r="F10" s="671">
        <v>4</v>
      </c>
      <c r="G10" s="673" t="str">
        <f>[1]PAVIMENTAÇÃO!G11</f>
        <v>+</v>
      </c>
      <c r="H10" s="669">
        <v>6.4880000000000004</v>
      </c>
      <c r="I10" s="333">
        <f t="shared" si="0"/>
        <v>79.894000000000005</v>
      </c>
      <c r="J10" s="10">
        <v>0</v>
      </c>
      <c r="K10" s="10" t="s">
        <v>654</v>
      </c>
      <c r="L10" s="10">
        <f t="shared" si="1"/>
        <v>160</v>
      </c>
      <c r="M10" s="668">
        <v>0</v>
      </c>
      <c r="N10" s="10">
        <f t="shared" si="4"/>
        <v>0</v>
      </c>
      <c r="O10" s="10">
        <v>0</v>
      </c>
      <c r="P10" s="668">
        <v>0.81640000000000001</v>
      </c>
      <c r="Q10" s="10">
        <f t="shared" si="5"/>
        <v>261.24799999999999</v>
      </c>
      <c r="R10" s="10">
        <f t="shared" si="2"/>
        <v>426.5657344</v>
      </c>
      <c r="S10" s="10">
        <v>0</v>
      </c>
      <c r="T10" s="10">
        <v>0</v>
      </c>
      <c r="U10" s="10">
        <f t="shared" si="3"/>
        <v>0</v>
      </c>
      <c r="V10" s="10">
        <v>0</v>
      </c>
      <c r="W10" s="10">
        <v>0</v>
      </c>
    </row>
    <row r="11" spans="2:23" ht="18" customHeight="1" x14ac:dyDescent="0.2">
      <c r="B11" s="672" t="s">
        <v>655</v>
      </c>
      <c r="C11" s="671">
        <f>[1]PAVIMENTAÇÃO!C12</f>
        <v>0</v>
      </c>
      <c r="D11" s="670" t="s">
        <v>7</v>
      </c>
      <c r="E11" s="669">
        <v>6.6870000000000003</v>
      </c>
      <c r="F11" s="671">
        <v>4</v>
      </c>
      <c r="G11" s="670" t="s">
        <v>7</v>
      </c>
      <c r="H11" s="669">
        <v>4.6500000000000004</v>
      </c>
      <c r="I11" s="333">
        <f t="shared" si="0"/>
        <v>77.963000000000008</v>
      </c>
      <c r="J11" s="10">
        <v>0</v>
      </c>
      <c r="K11" s="10" t="s">
        <v>654</v>
      </c>
      <c r="L11" s="10">
        <f t="shared" si="1"/>
        <v>156</v>
      </c>
      <c r="M11" s="668">
        <v>0</v>
      </c>
      <c r="N11" s="10">
        <f t="shared" si="4"/>
        <v>0</v>
      </c>
      <c r="O11" s="10">
        <v>0</v>
      </c>
      <c r="P11" s="668">
        <v>0.81640000000000001</v>
      </c>
      <c r="Q11" s="10">
        <f t="shared" si="5"/>
        <v>254.71680000000001</v>
      </c>
      <c r="R11" s="10">
        <f t="shared" si="2"/>
        <v>415.90159104000003</v>
      </c>
      <c r="S11" s="10">
        <v>0</v>
      </c>
      <c r="T11" s="10">
        <v>0</v>
      </c>
      <c r="U11" s="10">
        <f t="shared" si="3"/>
        <v>0</v>
      </c>
      <c r="V11" s="10">
        <v>0</v>
      </c>
      <c r="W11" s="10">
        <v>0</v>
      </c>
    </row>
    <row r="12" spans="2:23" ht="18" customHeight="1" x14ac:dyDescent="0.2">
      <c r="B12" s="1189" t="s">
        <v>147</v>
      </c>
      <c r="C12" s="1189"/>
      <c r="D12" s="1189"/>
      <c r="E12" s="1189"/>
      <c r="F12" s="1189"/>
      <c r="G12" s="1189"/>
      <c r="H12" s="1189"/>
      <c r="I12" s="661"/>
      <c r="J12" s="667"/>
      <c r="K12" s="666"/>
      <c r="L12" s="665">
        <f>+SUM(L5:L11)</f>
        <v>1216</v>
      </c>
      <c r="M12" s="664"/>
      <c r="N12" s="660">
        <f>+SUM(N5:N11)</f>
        <v>220</v>
      </c>
      <c r="O12" s="660">
        <f>+SUM(O5:O11)</f>
        <v>73.655999999999992</v>
      </c>
      <c r="P12" s="664"/>
      <c r="Q12" s="660">
        <f>+SUM(Q5:Q11)</f>
        <v>1626.2688000000001</v>
      </c>
      <c r="R12" s="660">
        <f>+SUM(R5:R11)</f>
        <v>2655.3716966399998</v>
      </c>
      <c r="S12" s="663"/>
      <c r="T12" s="662"/>
      <c r="U12" s="660">
        <f>+SUM(U5:U11)</f>
        <v>243.46655999999999</v>
      </c>
      <c r="V12" s="661"/>
      <c r="W12" s="660">
        <f>+SUM(W5:W11)</f>
        <v>877.00320000000011</v>
      </c>
    </row>
    <row r="13" spans="2:23" ht="15" x14ac:dyDescent="0.2">
      <c r="M13" s="826"/>
      <c r="N13" s="826"/>
      <c r="O13" s="826"/>
      <c r="P13" s="826"/>
      <c r="Q13" s="826"/>
      <c r="R13" s="826"/>
      <c r="S13" s="826"/>
      <c r="T13" s="826"/>
      <c r="U13" s="826"/>
    </row>
    <row r="14" spans="2:23" ht="20.100000000000001" customHeight="1" x14ac:dyDescent="0.2">
      <c r="B14" s="658" t="s">
        <v>653</v>
      </c>
      <c r="N14"/>
      <c r="O14" s="1197" t="s">
        <v>652</v>
      </c>
      <c r="P14" s="1198"/>
      <c r="Q14" s="1198"/>
      <c r="R14" s="1198"/>
      <c r="S14" s="1198"/>
      <c r="T14" s="1198"/>
      <c r="U14" s="1199"/>
      <c r="V14" s="659"/>
    </row>
    <row r="15" spans="2:23" s="657" customFormat="1" ht="20.100000000000001" customHeight="1" x14ac:dyDescent="0.2">
      <c r="B15" s="658" t="s">
        <v>651</v>
      </c>
      <c r="N15"/>
      <c r="O15" s="1187" t="s">
        <v>650</v>
      </c>
      <c r="P15" s="1188"/>
      <c r="Q15" s="1188"/>
      <c r="R15" s="1188"/>
      <c r="S15" s="1188"/>
      <c r="T15" s="1188"/>
      <c r="U15" s="656">
        <f>(O12*0.1674)+(U12*0.8164)+(R12*(1.1+0.3))</f>
        <v>3928.6164892800002</v>
      </c>
    </row>
    <row r="16" spans="2:23" s="657" customFormat="1" ht="20.100000000000001" customHeight="1" x14ac:dyDescent="0.2">
      <c r="B16" s="658" t="s">
        <v>649</v>
      </c>
      <c r="N16"/>
      <c r="O16" s="1187" t="s">
        <v>648</v>
      </c>
      <c r="P16" s="1188"/>
      <c r="Q16" s="1188"/>
      <c r="R16" s="1188"/>
      <c r="S16" s="1188"/>
      <c r="T16" s="1188"/>
      <c r="U16" s="656">
        <f>U15*30</f>
        <v>117858.49467840001</v>
      </c>
    </row>
    <row r="17" spans="14:21" s="657" customFormat="1" ht="20.100000000000001" customHeight="1" x14ac:dyDescent="0.2">
      <c r="N17"/>
      <c r="O17" s="1187" t="s">
        <v>647</v>
      </c>
      <c r="P17" s="1188"/>
      <c r="Q17" s="1188"/>
      <c r="R17" s="1188"/>
      <c r="S17" s="1188"/>
      <c r="T17" s="1188"/>
      <c r="U17" s="656">
        <f>U15*(DMT!F10-30)</f>
        <v>139073.02372051202</v>
      </c>
    </row>
    <row r="18" spans="14:21" ht="20.100000000000001" customHeight="1" x14ac:dyDescent="0.2">
      <c r="N18"/>
      <c r="O18" s="1187" t="s">
        <v>646</v>
      </c>
      <c r="P18" s="1188"/>
      <c r="Q18" s="1188"/>
      <c r="R18" s="1188"/>
      <c r="S18" s="1188"/>
      <c r="T18" s="1188"/>
      <c r="U18" s="656">
        <f>U15</f>
        <v>3928.6164892800002</v>
      </c>
    </row>
  </sheetData>
  <mergeCells count="18">
    <mergeCell ref="B2:W2"/>
    <mergeCell ref="O14:U14"/>
    <mergeCell ref="O15:T15"/>
    <mergeCell ref="O16:T16"/>
    <mergeCell ref="O17:T17"/>
    <mergeCell ref="V3:W3"/>
    <mergeCell ref="C4:E4"/>
    <mergeCell ref="F4:H4"/>
    <mergeCell ref="O18:T18"/>
    <mergeCell ref="B12:H12"/>
    <mergeCell ref="M3:O3"/>
    <mergeCell ref="P3:R3"/>
    <mergeCell ref="B3:B4"/>
    <mergeCell ref="C3:H3"/>
    <mergeCell ref="I3:I4"/>
    <mergeCell ref="J3:J4"/>
    <mergeCell ref="K3:L3"/>
    <mergeCell ref="S3:U3"/>
  </mergeCells>
  <printOptions horizontalCentered="1"/>
  <pageMargins left="0.51181102362204722" right="0.51181102362204722" top="0.98425196850393704" bottom="0.39370078740157483" header="0.31496062992125984" footer="0.31496062992125984"/>
  <pageSetup paperSize="9" scale="57" fitToHeight="0" orientation="landscape" r:id="rId1"/>
  <headerFooter>
    <oddHeader>&amp;L&amp;G&amp;R&amp;G</oddHead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F59F4-0A73-484F-A7B7-BEFDF86126F2}">
  <sheetPr>
    <tabColor theme="6" tint="0.39997558519241921"/>
    <pageSetUpPr fitToPage="1"/>
  </sheetPr>
  <dimension ref="A1:DC202"/>
  <sheetViews>
    <sheetView showGridLines="0" view="pageBreakPreview" topLeftCell="AN1" zoomScale="55" zoomScaleNormal="55" zoomScaleSheetLayoutView="55" workbookViewId="0">
      <selection activeCell="BI53" sqref="BI53"/>
    </sheetView>
  </sheetViews>
  <sheetFormatPr defaultRowHeight="16.5" customHeight="1" outlineLevelCol="2" x14ac:dyDescent="0.2"/>
  <cols>
    <col min="1" max="1" width="10.6640625" style="45" customWidth="1" outlineLevel="1"/>
    <col min="2" max="2" width="13.6640625" style="127" customWidth="1" outlineLevel="1"/>
    <col min="3" max="3" width="15" style="47" customWidth="1" outlineLevel="1"/>
    <col min="4" max="5" width="13.6640625" style="47" customWidth="1" outlineLevel="1"/>
    <col min="6" max="6" width="16.83203125" style="47" customWidth="1" outlineLevel="1"/>
    <col min="7" max="7" width="19.6640625" style="47" customWidth="1" outlineLevel="1"/>
    <col min="8" max="8" width="18.33203125" style="47" hidden="1" customWidth="1" outlineLevel="2"/>
    <col min="9" max="9" width="13.6640625" style="47" customWidth="1" outlineLevel="1" collapsed="1"/>
    <col min="10" max="11" width="13.6640625" style="47" customWidth="1" outlineLevel="1"/>
    <col min="12" max="12" width="15.6640625" style="47" customWidth="1" outlineLevel="1"/>
    <col min="13" max="15" width="13.6640625" style="47" hidden="1" customWidth="1" outlineLevel="2"/>
    <col min="16" max="16" width="19" style="48" customWidth="1" outlineLevel="1" collapsed="1"/>
    <col min="17" max="19" width="13.6640625" style="47" hidden="1" customWidth="1" outlineLevel="2"/>
    <col min="20" max="20" width="14.1640625" style="49" customWidth="1" outlineLevel="1" collapsed="1"/>
    <col min="21" max="21" width="12.33203125" style="49" customWidth="1" outlineLevel="1"/>
    <col min="22" max="22" width="14" style="49" customWidth="1" outlineLevel="1"/>
    <col min="23" max="23" width="13.6640625" style="50" customWidth="1" outlineLevel="1"/>
    <col min="24" max="24" width="13.6640625" style="49" customWidth="1" outlineLevel="1"/>
    <col min="25" max="25" width="14.83203125" style="51" customWidth="1" outlineLevel="1"/>
    <col min="26" max="27" width="13.6640625" style="47" hidden="1" customWidth="1" outlineLevel="2"/>
    <col min="28" max="28" width="13.6640625" style="48" hidden="1" customWidth="1" outlineLevel="2"/>
    <col min="29" max="29" width="15.33203125" style="47" hidden="1" customWidth="1" outlineLevel="2"/>
    <col min="30" max="33" width="13.6640625" style="47" hidden="1" customWidth="1" outlineLevel="2"/>
    <col min="34" max="34" width="10.83203125" style="47" customWidth="1" outlineLevel="1" collapsed="1"/>
    <col min="35" max="36" width="10.33203125" style="49" customWidth="1" outlineLevel="1"/>
    <col min="37" max="38" width="9.83203125" style="47" customWidth="1" outlineLevel="1"/>
    <col min="39" max="39" width="10.83203125" style="49" customWidth="1" outlineLevel="1"/>
    <col min="40" max="40" width="9.33203125" style="49" customWidth="1" outlineLevel="1"/>
    <col min="41" max="42" width="13.6640625" style="47" customWidth="1" outlineLevel="1"/>
    <col min="43" max="44" width="9.83203125" style="47" customWidth="1" outlineLevel="1"/>
    <col min="45" max="45" width="14.5" style="47" customWidth="1"/>
    <col min="46" max="46" width="18.83203125" style="47" customWidth="1"/>
    <col min="47" max="47" width="18.1640625" style="47" customWidth="1"/>
    <col min="48" max="49" width="13.1640625" style="47" customWidth="1"/>
    <col min="50" max="56" width="10.6640625" style="47" customWidth="1"/>
    <col min="57" max="57" width="12.5" style="47" customWidth="1"/>
    <col min="58" max="58" width="10.6640625" style="47" customWidth="1"/>
    <col min="59" max="59" width="14" style="47" customWidth="1"/>
    <col min="60" max="61" width="10.6640625" style="47" customWidth="1"/>
    <col min="62" max="62" width="10.6640625" style="47" hidden="1" customWidth="1"/>
    <col min="63" max="63" width="12" style="47" customWidth="1"/>
    <col min="64" max="66" width="10.6640625" style="47" hidden="1" customWidth="1"/>
    <col min="67" max="67" width="12.33203125" style="47" customWidth="1"/>
    <col min="68" max="69" width="10.6640625" style="47" hidden="1" customWidth="1"/>
    <col min="70" max="70" width="13.33203125" style="47" hidden="1" customWidth="1"/>
    <col min="71" max="72" width="10.6640625" style="47" hidden="1" customWidth="1"/>
    <col min="73" max="73" width="13" style="47" hidden="1" customWidth="1"/>
    <col min="74" max="77" width="10.6640625" style="47" customWidth="1"/>
    <col min="78" max="78" width="13.33203125" style="47" customWidth="1"/>
    <col min="79" max="81" width="10.6640625" style="47" hidden="1" customWidth="1"/>
    <col min="82" max="82" width="19.1640625" style="47" customWidth="1"/>
    <col min="83" max="83" width="10.6640625" style="47" hidden="1" customWidth="1"/>
    <col min="84" max="84" width="0.1640625" style="47" hidden="1" customWidth="1"/>
    <col min="85" max="85" width="10.6640625" style="47" customWidth="1"/>
    <col min="86" max="86" width="11.5" style="47" customWidth="1"/>
    <col min="87" max="87" width="16.1640625" style="47" hidden="1" customWidth="1"/>
    <col min="88" max="89" width="10.6640625" style="47" hidden="1" customWidth="1"/>
    <col min="90" max="90" width="12.6640625" style="52" hidden="1" customWidth="1"/>
    <col min="91" max="91" width="12.83203125" style="47" hidden="1" customWidth="1"/>
    <col min="92" max="93" width="10.6640625" style="47" hidden="1" customWidth="1"/>
    <col min="94" max="94" width="10.6640625" style="47" customWidth="1"/>
    <col min="95" max="96" width="10.6640625" style="47" hidden="1" customWidth="1"/>
    <col min="97" max="97" width="11.83203125" style="47" customWidth="1"/>
    <col min="98" max="98" width="11.5" style="47" hidden="1" customWidth="1"/>
    <col min="99" max="99" width="11.5" style="47" bestFit="1" customWidth="1"/>
    <col min="100" max="100" width="10.83203125" style="47" customWidth="1"/>
    <col min="101" max="101" width="10.83203125" style="47" hidden="1" customWidth="1"/>
    <col min="102" max="102" width="10.83203125" style="47" customWidth="1"/>
    <col min="103" max="105" width="10.83203125" style="47" hidden="1" customWidth="1"/>
    <col min="106" max="106" width="10.83203125" style="47" customWidth="1"/>
    <col min="107" max="130" width="10.6640625" style="47" customWidth="1"/>
    <col min="131" max="220" width="8.83203125" style="47"/>
    <col min="221" max="221" width="13.5" style="47" customWidth="1"/>
    <col min="222" max="222" width="12.83203125" style="47" customWidth="1"/>
    <col min="223" max="223" width="11.1640625" style="47" customWidth="1"/>
    <col min="224" max="224" width="10.6640625" style="47" customWidth="1"/>
    <col min="225" max="225" width="8.5" style="47" customWidth="1"/>
    <col min="226" max="235" width="0" style="47" hidden="1" customWidth="1"/>
    <col min="236" max="236" width="12.5" style="47" customWidth="1"/>
    <col min="237" max="237" width="13.6640625" style="47" customWidth="1"/>
    <col min="238" max="241" width="0" style="47" hidden="1" customWidth="1"/>
    <col min="242" max="242" width="13.6640625" style="47" customWidth="1"/>
    <col min="243" max="243" width="12.5" style="47" customWidth="1"/>
    <col min="244" max="244" width="15.5" style="47" customWidth="1"/>
    <col min="245" max="245" width="13.6640625" style="47" customWidth="1"/>
    <col min="246" max="246" width="10.83203125" style="47" customWidth="1"/>
    <col min="247" max="247" width="10.33203125" style="47" customWidth="1"/>
    <col min="248" max="249" width="9.83203125" style="47" customWidth="1"/>
    <col min="250" max="250" width="10.83203125" style="47" customWidth="1"/>
    <col min="251" max="251" width="9.33203125" style="47" customWidth="1"/>
    <col min="252" max="254" width="9.83203125" style="47" customWidth="1"/>
    <col min="255" max="255" width="14.5" style="47" customWidth="1"/>
    <col min="256" max="256" width="18.1640625" style="47" customWidth="1"/>
    <col min="257" max="257" width="13.1640625" style="47" customWidth="1"/>
    <col min="258" max="258" width="13" style="47" customWidth="1"/>
    <col min="259" max="259" width="11" style="47" customWidth="1"/>
    <col min="260" max="264" width="0" style="47" hidden="1" customWidth="1"/>
    <col min="265" max="265" width="14.33203125" style="47" customWidth="1"/>
    <col min="266" max="268" width="0" style="47" hidden="1" customWidth="1"/>
    <col min="269" max="269" width="14.33203125" style="47" customWidth="1"/>
    <col min="270" max="272" width="0" style="47" hidden="1" customWidth="1"/>
    <col min="273" max="273" width="14.33203125" style="47" customWidth="1"/>
    <col min="274" max="276" width="0" style="47" hidden="1" customWidth="1"/>
    <col min="277" max="278" width="14.33203125" style="47" customWidth="1"/>
    <col min="279" max="279" width="14.1640625" style="47" customWidth="1"/>
    <col min="280" max="280" width="10.5" style="47" customWidth="1"/>
    <col min="281" max="281" width="10.1640625" style="47" customWidth="1"/>
    <col min="282" max="282" width="11.6640625" style="47" customWidth="1"/>
    <col min="283" max="283" width="9.83203125" style="47" customWidth="1"/>
    <col min="284" max="284" width="10.1640625" style="47" customWidth="1"/>
    <col min="285" max="285" width="9" style="47" customWidth="1"/>
    <col min="286" max="286" width="9.83203125" style="47" customWidth="1"/>
    <col min="287" max="287" width="9" style="47" customWidth="1"/>
    <col min="288" max="476" width="8.83203125" style="47"/>
    <col min="477" max="477" width="13.5" style="47" customWidth="1"/>
    <col min="478" max="478" width="12.83203125" style="47" customWidth="1"/>
    <col min="479" max="479" width="11.1640625" style="47" customWidth="1"/>
    <col min="480" max="480" width="10.6640625" style="47" customWidth="1"/>
    <col min="481" max="481" width="8.5" style="47" customWidth="1"/>
    <col min="482" max="491" width="0" style="47" hidden="1" customWidth="1"/>
    <col min="492" max="492" width="12.5" style="47" customWidth="1"/>
    <col min="493" max="493" width="13.6640625" style="47" customWidth="1"/>
    <col min="494" max="497" width="0" style="47" hidden="1" customWidth="1"/>
    <col min="498" max="498" width="13.6640625" style="47" customWidth="1"/>
    <col min="499" max="499" width="12.5" style="47" customWidth="1"/>
    <col min="500" max="500" width="15.5" style="47" customWidth="1"/>
    <col min="501" max="501" width="13.6640625" style="47" customWidth="1"/>
    <col min="502" max="502" width="10.83203125" style="47" customWidth="1"/>
    <col min="503" max="503" width="10.33203125" style="47" customWidth="1"/>
    <col min="504" max="505" width="9.83203125" style="47" customWidth="1"/>
    <col min="506" max="506" width="10.83203125" style="47" customWidth="1"/>
    <col min="507" max="507" width="9.33203125" style="47" customWidth="1"/>
    <col min="508" max="510" width="9.83203125" style="47" customWidth="1"/>
    <col min="511" max="511" width="14.5" style="47" customWidth="1"/>
    <col min="512" max="512" width="18.1640625" style="47" customWidth="1"/>
    <col min="513" max="513" width="13.1640625" style="47" customWidth="1"/>
    <col min="514" max="514" width="13" style="47" customWidth="1"/>
    <col min="515" max="515" width="11" style="47" customWidth="1"/>
    <col min="516" max="520" width="0" style="47" hidden="1" customWidth="1"/>
    <col min="521" max="521" width="14.33203125" style="47" customWidth="1"/>
    <col min="522" max="524" width="0" style="47" hidden="1" customWidth="1"/>
    <col min="525" max="525" width="14.33203125" style="47" customWidth="1"/>
    <col min="526" max="528" width="0" style="47" hidden="1" customWidth="1"/>
    <col min="529" max="529" width="14.33203125" style="47" customWidth="1"/>
    <col min="530" max="532" width="0" style="47" hidden="1" customWidth="1"/>
    <col min="533" max="534" width="14.33203125" style="47" customWidth="1"/>
    <col min="535" max="535" width="14.1640625" style="47" customWidth="1"/>
    <col min="536" max="536" width="10.5" style="47" customWidth="1"/>
    <col min="537" max="537" width="10.1640625" style="47" customWidth="1"/>
    <col min="538" max="538" width="11.6640625" style="47" customWidth="1"/>
    <col min="539" max="539" width="9.83203125" style="47" customWidth="1"/>
    <col min="540" max="540" width="10.1640625" style="47" customWidth="1"/>
    <col min="541" max="541" width="9" style="47" customWidth="1"/>
    <col min="542" max="542" width="9.83203125" style="47" customWidth="1"/>
    <col min="543" max="543" width="9" style="47" customWidth="1"/>
    <col min="544" max="732" width="8.83203125" style="47"/>
    <col min="733" max="733" width="13.5" style="47" customWidth="1"/>
    <col min="734" max="734" width="12.83203125" style="47" customWidth="1"/>
    <col min="735" max="735" width="11.1640625" style="47" customWidth="1"/>
    <col min="736" max="736" width="10.6640625" style="47" customWidth="1"/>
    <col min="737" max="737" width="8.5" style="47" customWidth="1"/>
    <col min="738" max="747" width="0" style="47" hidden="1" customWidth="1"/>
    <col min="748" max="748" width="12.5" style="47" customWidth="1"/>
    <col min="749" max="749" width="13.6640625" style="47" customWidth="1"/>
    <col min="750" max="753" width="0" style="47" hidden="1" customWidth="1"/>
    <col min="754" max="754" width="13.6640625" style="47" customWidth="1"/>
    <col min="755" max="755" width="12.5" style="47" customWidth="1"/>
    <col min="756" max="756" width="15.5" style="47" customWidth="1"/>
    <col min="757" max="757" width="13.6640625" style="47" customWidth="1"/>
    <col min="758" max="758" width="10.83203125" style="47" customWidth="1"/>
    <col min="759" max="759" width="10.33203125" style="47" customWidth="1"/>
    <col min="760" max="761" width="9.83203125" style="47" customWidth="1"/>
    <col min="762" max="762" width="10.83203125" style="47" customWidth="1"/>
    <col min="763" max="763" width="9.33203125" style="47" customWidth="1"/>
    <col min="764" max="766" width="9.83203125" style="47" customWidth="1"/>
    <col min="767" max="767" width="14.5" style="47" customWidth="1"/>
    <col min="768" max="768" width="18.1640625" style="47" customWidth="1"/>
    <col min="769" max="769" width="13.1640625" style="47" customWidth="1"/>
    <col min="770" max="770" width="13" style="47" customWidth="1"/>
    <col min="771" max="771" width="11" style="47" customWidth="1"/>
    <col min="772" max="776" width="0" style="47" hidden="1" customWidth="1"/>
    <col min="777" max="777" width="14.33203125" style="47" customWidth="1"/>
    <col min="778" max="780" width="0" style="47" hidden="1" customWidth="1"/>
    <col min="781" max="781" width="14.33203125" style="47" customWidth="1"/>
    <col min="782" max="784" width="0" style="47" hidden="1" customWidth="1"/>
    <col min="785" max="785" width="14.33203125" style="47" customWidth="1"/>
    <col min="786" max="788" width="0" style="47" hidden="1" customWidth="1"/>
    <col min="789" max="790" width="14.33203125" style="47" customWidth="1"/>
    <col min="791" max="791" width="14.1640625" style="47" customWidth="1"/>
    <col min="792" max="792" width="10.5" style="47" customWidth="1"/>
    <col min="793" max="793" width="10.1640625" style="47" customWidth="1"/>
    <col min="794" max="794" width="11.6640625" style="47" customWidth="1"/>
    <col min="795" max="795" width="9.83203125" style="47" customWidth="1"/>
    <col min="796" max="796" width="10.1640625" style="47" customWidth="1"/>
    <col min="797" max="797" width="9" style="47" customWidth="1"/>
    <col min="798" max="798" width="9.83203125" style="47" customWidth="1"/>
    <col min="799" max="799" width="9" style="47" customWidth="1"/>
    <col min="800" max="988" width="8.83203125" style="47"/>
    <col min="989" max="989" width="13.5" style="47" customWidth="1"/>
    <col min="990" max="990" width="12.83203125" style="47" customWidth="1"/>
    <col min="991" max="991" width="11.1640625" style="47" customWidth="1"/>
    <col min="992" max="992" width="10.6640625" style="47" customWidth="1"/>
    <col min="993" max="993" width="8.5" style="47" customWidth="1"/>
    <col min="994" max="1003" width="0" style="47" hidden="1" customWidth="1"/>
    <col min="1004" max="1004" width="12.5" style="47" customWidth="1"/>
    <col min="1005" max="1005" width="13.6640625" style="47" customWidth="1"/>
    <col min="1006" max="1009" width="0" style="47" hidden="1" customWidth="1"/>
    <col min="1010" max="1010" width="13.6640625" style="47" customWidth="1"/>
    <col min="1011" max="1011" width="12.5" style="47" customWidth="1"/>
    <col min="1012" max="1012" width="15.5" style="47" customWidth="1"/>
    <col min="1013" max="1013" width="13.6640625" style="47" customWidth="1"/>
    <col min="1014" max="1014" width="10.83203125" style="47" customWidth="1"/>
    <col min="1015" max="1015" width="10.33203125" style="47" customWidth="1"/>
    <col min="1016" max="1017" width="9.83203125" style="47" customWidth="1"/>
    <col min="1018" max="1018" width="10.83203125" style="47" customWidth="1"/>
    <col min="1019" max="1019" width="9.33203125" style="47" customWidth="1"/>
    <col min="1020" max="1022" width="9.83203125" style="47" customWidth="1"/>
    <col min="1023" max="1023" width="14.5" style="47" customWidth="1"/>
    <col min="1024" max="1024" width="18.1640625" style="47" customWidth="1"/>
    <col min="1025" max="1025" width="13.1640625" style="47" customWidth="1"/>
    <col min="1026" max="1026" width="13" style="47" customWidth="1"/>
    <col min="1027" max="1027" width="11" style="47" customWidth="1"/>
    <col min="1028" max="1032" width="0" style="47" hidden="1" customWidth="1"/>
    <col min="1033" max="1033" width="14.33203125" style="47" customWidth="1"/>
    <col min="1034" max="1036" width="0" style="47" hidden="1" customWidth="1"/>
    <col min="1037" max="1037" width="14.33203125" style="47" customWidth="1"/>
    <col min="1038" max="1040" width="0" style="47" hidden="1" customWidth="1"/>
    <col min="1041" max="1041" width="14.33203125" style="47" customWidth="1"/>
    <col min="1042" max="1044" width="0" style="47" hidden="1" customWidth="1"/>
    <col min="1045" max="1046" width="14.33203125" style="47" customWidth="1"/>
    <col min="1047" max="1047" width="14.1640625" style="47" customWidth="1"/>
    <col min="1048" max="1048" width="10.5" style="47" customWidth="1"/>
    <col min="1049" max="1049" width="10.1640625" style="47" customWidth="1"/>
    <col min="1050" max="1050" width="11.6640625" style="47" customWidth="1"/>
    <col min="1051" max="1051" width="9.83203125" style="47" customWidth="1"/>
    <col min="1052" max="1052" width="10.1640625" style="47" customWidth="1"/>
    <col min="1053" max="1053" width="9" style="47" customWidth="1"/>
    <col min="1054" max="1054" width="9.83203125" style="47" customWidth="1"/>
    <col min="1055" max="1055" width="9" style="47" customWidth="1"/>
    <col min="1056" max="1244" width="8.83203125" style="47"/>
    <col min="1245" max="1245" width="13.5" style="47" customWidth="1"/>
    <col min="1246" max="1246" width="12.83203125" style="47" customWidth="1"/>
    <col min="1247" max="1247" width="11.1640625" style="47" customWidth="1"/>
    <col min="1248" max="1248" width="10.6640625" style="47" customWidth="1"/>
    <col min="1249" max="1249" width="8.5" style="47" customWidth="1"/>
    <col min="1250" max="1259" width="0" style="47" hidden="1" customWidth="1"/>
    <col min="1260" max="1260" width="12.5" style="47" customWidth="1"/>
    <col min="1261" max="1261" width="13.6640625" style="47" customWidth="1"/>
    <col min="1262" max="1265" width="0" style="47" hidden="1" customWidth="1"/>
    <col min="1266" max="1266" width="13.6640625" style="47" customWidth="1"/>
    <col min="1267" max="1267" width="12.5" style="47" customWidth="1"/>
    <col min="1268" max="1268" width="15.5" style="47" customWidth="1"/>
    <col min="1269" max="1269" width="13.6640625" style="47" customWidth="1"/>
    <col min="1270" max="1270" width="10.83203125" style="47" customWidth="1"/>
    <col min="1271" max="1271" width="10.33203125" style="47" customWidth="1"/>
    <col min="1272" max="1273" width="9.83203125" style="47" customWidth="1"/>
    <col min="1274" max="1274" width="10.83203125" style="47" customWidth="1"/>
    <col min="1275" max="1275" width="9.33203125" style="47" customWidth="1"/>
    <col min="1276" max="1278" width="9.83203125" style="47" customWidth="1"/>
    <col min="1279" max="1279" width="14.5" style="47" customWidth="1"/>
    <col min="1280" max="1280" width="18.1640625" style="47" customWidth="1"/>
    <col min="1281" max="1281" width="13.1640625" style="47" customWidth="1"/>
    <col min="1282" max="1282" width="13" style="47" customWidth="1"/>
    <col min="1283" max="1283" width="11" style="47" customWidth="1"/>
    <col min="1284" max="1288" width="0" style="47" hidden="1" customWidth="1"/>
    <col min="1289" max="1289" width="14.33203125" style="47" customWidth="1"/>
    <col min="1290" max="1292" width="0" style="47" hidden="1" customWidth="1"/>
    <col min="1293" max="1293" width="14.33203125" style="47" customWidth="1"/>
    <col min="1294" max="1296" width="0" style="47" hidden="1" customWidth="1"/>
    <col min="1297" max="1297" width="14.33203125" style="47" customWidth="1"/>
    <col min="1298" max="1300" width="0" style="47" hidden="1" customWidth="1"/>
    <col min="1301" max="1302" width="14.33203125" style="47" customWidth="1"/>
    <col min="1303" max="1303" width="14.1640625" style="47" customWidth="1"/>
    <col min="1304" max="1304" width="10.5" style="47" customWidth="1"/>
    <col min="1305" max="1305" width="10.1640625" style="47" customWidth="1"/>
    <col min="1306" max="1306" width="11.6640625" style="47" customWidth="1"/>
    <col min="1307" max="1307" width="9.83203125" style="47" customWidth="1"/>
    <col min="1308" max="1308" width="10.1640625" style="47" customWidth="1"/>
    <col min="1309" max="1309" width="9" style="47" customWidth="1"/>
    <col min="1310" max="1310" width="9.83203125" style="47" customWidth="1"/>
    <col min="1311" max="1311" width="9" style="47" customWidth="1"/>
    <col min="1312" max="1500" width="8.83203125" style="47"/>
    <col min="1501" max="1501" width="13.5" style="47" customWidth="1"/>
    <col min="1502" max="1502" width="12.83203125" style="47" customWidth="1"/>
    <col min="1503" max="1503" width="11.1640625" style="47" customWidth="1"/>
    <col min="1504" max="1504" width="10.6640625" style="47" customWidth="1"/>
    <col min="1505" max="1505" width="8.5" style="47" customWidth="1"/>
    <col min="1506" max="1515" width="0" style="47" hidden="1" customWidth="1"/>
    <col min="1516" max="1516" width="12.5" style="47" customWidth="1"/>
    <col min="1517" max="1517" width="13.6640625" style="47" customWidth="1"/>
    <col min="1518" max="1521" width="0" style="47" hidden="1" customWidth="1"/>
    <col min="1522" max="1522" width="13.6640625" style="47" customWidth="1"/>
    <col min="1523" max="1523" width="12.5" style="47" customWidth="1"/>
    <col min="1524" max="1524" width="15.5" style="47" customWidth="1"/>
    <col min="1525" max="1525" width="13.6640625" style="47" customWidth="1"/>
    <col min="1526" max="1526" width="10.83203125" style="47" customWidth="1"/>
    <col min="1527" max="1527" width="10.33203125" style="47" customWidth="1"/>
    <col min="1528" max="1529" width="9.83203125" style="47" customWidth="1"/>
    <col min="1530" max="1530" width="10.83203125" style="47" customWidth="1"/>
    <col min="1531" max="1531" width="9.33203125" style="47" customWidth="1"/>
    <col min="1532" max="1534" width="9.83203125" style="47" customWidth="1"/>
    <col min="1535" max="1535" width="14.5" style="47" customWidth="1"/>
    <col min="1536" max="1536" width="18.1640625" style="47" customWidth="1"/>
    <col min="1537" max="1537" width="13.1640625" style="47" customWidth="1"/>
    <col min="1538" max="1538" width="13" style="47" customWidth="1"/>
    <col min="1539" max="1539" width="11" style="47" customWidth="1"/>
    <col min="1540" max="1544" width="0" style="47" hidden="1" customWidth="1"/>
    <col min="1545" max="1545" width="14.33203125" style="47" customWidth="1"/>
    <col min="1546" max="1548" width="0" style="47" hidden="1" customWidth="1"/>
    <col min="1549" max="1549" width="14.33203125" style="47" customWidth="1"/>
    <col min="1550" max="1552" width="0" style="47" hidden="1" customWidth="1"/>
    <col min="1553" max="1553" width="14.33203125" style="47" customWidth="1"/>
    <col min="1554" max="1556" width="0" style="47" hidden="1" customWidth="1"/>
    <col min="1557" max="1558" width="14.33203125" style="47" customWidth="1"/>
    <col min="1559" max="1559" width="14.1640625" style="47" customWidth="1"/>
    <col min="1560" max="1560" width="10.5" style="47" customWidth="1"/>
    <col min="1561" max="1561" width="10.1640625" style="47" customWidth="1"/>
    <col min="1562" max="1562" width="11.6640625" style="47" customWidth="1"/>
    <col min="1563" max="1563" width="9.83203125" style="47" customWidth="1"/>
    <col min="1564" max="1564" width="10.1640625" style="47" customWidth="1"/>
    <col min="1565" max="1565" width="9" style="47" customWidth="1"/>
    <col min="1566" max="1566" width="9.83203125" style="47" customWidth="1"/>
    <col min="1567" max="1567" width="9" style="47" customWidth="1"/>
    <col min="1568" max="1756" width="8.83203125" style="47"/>
    <col min="1757" max="1757" width="13.5" style="47" customWidth="1"/>
    <col min="1758" max="1758" width="12.83203125" style="47" customWidth="1"/>
    <col min="1759" max="1759" width="11.1640625" style="47" customWidth="1"/>
    <col min="1760" max="1760" width="10.6640625" style="47" customWidth="1"/>
    <col min="1761" max="1761" width="8.5" style="47" customWidth="1"/>
    <col min="1762" max="1771" width="0" style="47" hidden="1" customWidth="1"/>
    <col min="1772" max="1772" width="12.5" style="47" customWidth="1"/>
    <col min="1773" max="1773" width="13.6640625" style="47" customWidth="1"/>
    <col min="1774" max="1777" width="0" style="47" hidden="1" customWidth="1"/>
    <col min="1778" max="1778" width="13.6640625" style="47" customWidth="1"/>
    <col min="1779" max="1779" width="12.5" style="47" customWidth="1"/>
    <col min="1780" max="1780" width="15.5" style="47" customWidth="1"/>
    <col min="1781" max="1781" width="13.6640625" style="47" customWidth="1"/>
    <col min="1782" max="1782" width="10.83203125" style="47" customWidth="1"/>
    <col min="1783" max="1783" width="10.33203125" style="47" customWidth="1"/>
    <col min="1784" max="1785" width="9.83203125" style="47" customWidth="1"/>
    <col min="1786" max="1786" width="10.83203125" style="47" customWidth="1"/>
    <col min="1787" max="1787" width="9.33203125" style="47" customWidth="1"/>
    <col min="1788" max="1790" width="9.83203125" style="47" customWidth="1"/>
    <col min="1791" max="1791" width="14.5" style="47" customWidth="1"/>
    <col min="1792" max="1792" width="18.1640625" style="47" customWidth="1"/>
    <col min="1793" max="1793" width="13.1640625" style="47" customWidth="1"/>
    <col min="1794" max="1794" width="13" style="47" customWidth="1"/>
    <col min="1795" max="1795" width="11" style="47" customWidth="1"/>
    <col min="1796" max="1800" width="0" style="47" hidden="1" customWidth="1"/>
    <col min="1801" max="1801" width="14.33203125" style="47" customWidth="1"/>
    <col min="1802" max="1804" width="0" style="47" hidden="1" customWidth="1"/>
    <col min="1805" max="1805" width="14.33203125" style="47" customWidth="1"/>
    <col min="1806" max="1808" width="0" style="47" hidden="1" customWidth="1"/>
    <col min="1809" max="1809" width="14.33203125" style="47" customWidth="1"/>
    <col min="1810" max="1812" width="0" style="47" hidden="1" customWidth="1"/>
    <col min="1813" max="1814" width="14.33203125" style="47" customWidth="1"/>
    <col min="1815" max="1815" width="14.1640625" style="47" customWidth="1"/>
    <col min="1816" max="1816" width="10.5" style="47" customWidth="1"/>
    <col min="1817" max="1817" width="10.1640625" style="47" customWidth="1"/>
    <col min="1818" max="1818" width="11.6640625" style="47" customWidth="1"/>
    <col min="1819" max="1819" width="9.83203125" style="47" customWidth="1"/>
    <col min="1820" max="1820" width="10.1640625" style="47" customWidth="1"/>
    <col min="1821" max="1821" width="9" style="47" customWidth="1"/>
    <col min="1822" max="1822" width="9.83203125" style="47" customWidth="1"/>
    <col min="1823" max="1823" width="9" style="47" customWidth="1"/>
    <col min="1824" max="2012" width="8.83203125" style="47"/>
    <col min="2013" max="2013" width="13.5" style="47" customWidth="1"/>
    <col min="2014" max="2014" width="12.83203125" style="47" customWidth="1"/>
    <col min="2015" max="2015" width="11.1640625" style="47" customWidth="1"/>
    <col min="2016" max="2016" width="10.6640625" style="47" customWidth="1"/>
    <col min="2017" max="2017" width="8.5" style="47" customWidth="1"/>
    <col min="2018" max="2027" width="0" style="47" hidden="1" customWidth="1"/>
    <col min="2028" max="2028" width="12.5" style="47" customWidth="1"/>
    <col min="2029" max="2029" width="13.6640625" style="47" customWidth="1"/>
    <col min="2030" max="2033" width="0" style="47" hidden="1" customWidth="1"/>
    <col min="2034" max="2034" width="13.6640625" style="47" customWidth="1"/>
    <col min="2035" max="2035" width="12.5" style="47" customWidth="1"/>
    <col min="2036" max="2036" width="15.5" style="47" customWidth="1"/>
    <col min="2037" max="2037" width="13.6640625" style="47" customWidth="1"/>
    <col min="2038" max="2038" width="10.83203125" style="47" customWidth="1"/>
    <col min="2039" max="2039" width="10.33203125" style="47" customWidth="1"/>
    <col min="2040" max="2041" width="9.83203125" style="47" customWidth="1"/>
    <col min="2042" max="2042" width="10.83203125" style="47" customWidth="1"/>
    <col min="2043" max="2043" width="9.33203125" style="47" customWidth="1"/>
    <col min="2044" max="2046" width="9.83203125" style="47" customWidth="1"/>
    <col min="2047" max="2047" width="14.5" style="47" customWidth="1"/>
    <col min="2048" max="2048" width="18.1640625" style="47" customWidth="1"/>
    <col min="2049" max="2049" width="13.1640625" style="47" customWidth="1"/>
    <col min="2050" max="2050" width="13" style="47" customWidth="1"/>
    <col min="2051" max="2051" width="11" style="47" customWidth="1"/>
    <col min="2052" max="2056" width="0" style="47" hidden="1" customWidth="1"/>
    <col min="2057" max="2057" width="14.33203125" style="47" customWidth="1"/>
    <col min="2058" max="2060" width="0" style="47" hidden="1" customWidth="1"/>
    <col min="2061" max="2061" width="14.33203125" style="47" customWidth="1"/>
    <col min="2062" max="2064" width="0" style="47" hidden="1" customWidth="1"/>
    <col min="2065" max="2065" width="14.33203125" style="47" customWidth="1"/>
    <col min="2066" max="2068" width="0" style="47" hidden="1" customWidth="1"/>
    <col min="2069" max="2070" width="14.33203125" style="47" customWidth="1"/>
    <col min="2071" max="2071" width="14.1640625" style="47" customWidth="1"/>
    <col min="2072" max="2072" width="10.5" style="47" customWidth="1"/>
    <col min="2073" max="2073" width="10.1640625" style="47" customWidth="1"/>
    <col min="2074" max="2074" width="11.6640625" style="47" customWidth="1"/>
    <col min="2075" max="2075" width="9.83203125" style="47" customWidth="1"/>
    <col min="2076" max="2076" width="10.1640625" style="47" customWidth="1"/>
    <col min="2077" max="2077" width="9" style="47" customWidth="1"/>
    <col min="2078" max="2078" width="9.83203125" style="47" customWidth="1"/>
    <col min="2079" max="2079" width="9" style="47" customWidth="1"/>
    <col min="2080" max="2268" width="8.83203125" style="47"/>
    <col min="2269" max="2269" width="13.5" style="47" customWidth="1"/>
    <col min="2270" max="2270" width="12.83203125" style="47" customWidth="1"/>
    <col min="2271" max="2271" width="11.1640625" style="47" customWidth="1"/>
    <col min="2272" max="2272" width="10.6640625" style="47" customWidth="1"/>
    <col min="2273" max="2273" width="8.5" style="47" customWidth="1"/>
    <col min="2274" max="2283" width="0" style="47" hidden="1" customWidth="1"/>
    <col min="2284" max="2284" width="12.5" style="47" customWidth="1"/>
    <col min="2285" max="2285" width="13.6640625" style="47" customWidth="1"/>
    <col min="2286" max="2289" width="0" style="47" hidden="1" customWidth="1"/>
    <col min="2290" max="2290" width="13.6640625" style="47" customWidth="1"/>
    <col min="2291" max="2291" width="12.5" style="47" customWidth="1"/>
    <col min="2292" max="2292" width="15.5" style="47" customWidth="1"/>
    <col min="2293" max="2293" width="13.6640625" style="47" customWidth="1"/>
    <col min="2294" max="2294" width="10.83203125" style="47" customWidth="1"/>
    <col min="2295" max="2295" width="10.33203125" style="47" customWidth="1"/>
    <col min="2296" max="2297" width="9.83203125" style="47" customWidth="1"/>
    <col min="2298" max="2298" width="10.83203125" style="47" customWidth="1"/>
    <col min="2299" max="2299" width="9.33203125" style="47" customWidth="1"/>
    <col min="2300" max="2302" width="9.83203125" style="47" customWidth="1"/>
    <col min="2303" max="2303" width="14.5" style="47" customWidth="1"/>
    <col min="2304" max="2304" width="18.1640625" style="47" customWidth="1"/>
    <col min="2305" max="2305" width="13.1640625" style="47" customWidth="1"/>
    <col min="2306" max="2306" width="13" style="47" customWidth="1"/>
    <col min="2307" max="2307" width="11" style="47" customWidth="1"/>
    <col min="2308" max="2312" width="0" style="47" hidden="1" customWidth="1"/>
    <col min="2313" max="2313" width="14.33203125" style="47" customWidth="1"/>
    <col min="2314" max="2316" width="0" style="47" hidden="1" customWidth="1"/>
    <col min="2317" max="2317" width="14.33203125" style="47" customWidth="1"/>
    <col min="2318" max="2320" width="0" style="47" hidden="1" customWidth="1"/>
    <col min="2321" max="2321" width="14.33203125" style="47" customWidth="1"/>
    <col min="2322" max="2324" width="0" style="47" hidden="1" customWidth="1"/>
    <col min="2325" max="2326" width="14.33203125" style="47" customWidth="1"/>
    <col min="2327" max="2327" width="14.1640625" style="47" customWidth="1"/>
    <col min="2328" max="2328" width="10.5" style="47" customWidth="1"/>
    <col min="2329" max="2329" width="10.1640625" style="47" customWidth="1"/>
    <col min="2330" max="2330" width="11.6640625" style="47" customWidth="1"/>
    <col min="2331" max="2331" width="9.83203125" style="47" customWidth="1"/>
    <col min="2332" max="2332" width="10.1640625" style="47" customWidth="1"/>
    <col min="2333" max="2333" width="9" style="47" customWidth="1"/>
    <col min="2334" max="2334" width="9.83203125" style="47" customWidth="1"/>
    <col min="2335" max="2335" width="9" style="47" customWidth="1"/>
    <col min="2336" max="2524" width="8.83203125" style="47"/>
    <col min="2525" max="2525" width="13.5" style="47" customWidth="1"/>
    <col min="2526" max="2526" width="12.83203125" style="47" customWidth="1"/>
    <col min="2527" max="2527" width="11.1640625" style="47" customWidth="1"/>
    <col min="2528" max="2528" width="10.6640625" style="47" customWidth="1"/>
    <col min="2529" max="2529" width="8.5" style="47" customWidth="1"/>
    <col min="2530" max="2539" width="0" style="47" hidden="1" customWidth="1"/>
    <col min="2540" max="2540" width="12.5" style="47" customWidth="1"/>
    <col min="2541" max="2541" width="13.6640625" style="47" customWidth="1"/>
    <col min="2542" max="2545" width="0" style="47" hidden="1" customWidth="1"/>
    <col min="2546" max="2546" width="13.6640625" style="47" customWidth="1"/>
    <col min="2547" max="2547" width="12.5" style="47" customWidth="1"/>
    <col min="2548" max="2548" width="15.5" style="47" customWidth="1"/>
    <col min="2549" max="2549" width="13.6640625" style="47" customWidth="1"/>
    <col min="2550" max="2550" width="10.83203125" style="47" customWidth="1"/>
    <col min="2551" max="2551" width="10.33203125" style="47" customWidth="1"/>
    <col min="2552" max="2553" width="9.83203125" style="47" customWidth="1"/>
    <col min="2554" max="2554" width="10.83203125" style="47" customWidth="1"/>
    <col min="2555" max="2555" width="9.33203125" style="47" customWidth="1"/>
    <col min="2556" max="2558" width="9.83203125" style="47" customWidth="1"/>
    <col min="2559" max="2559" width="14.5" style="47" customWidth="1"/>
    <col min="2560" max="2560" width="18.1640625" style="47" customWidth="1"/>
    <col min="2561" max="2561" width="13.1640625" style="47" customWidth="1"/>
    <col min="2562" max="2562" width="13" style="47" customWidth="1"/>
    <col min="2563" max="2563" width="11" style="47" customWidth="1"/>
    <col min="2564" max="2568" width="0" style="47" hidden="1" customWidth="1"/>
    <col min="2569" max="2569" width="14.33203125" style="47" customWidth="1"/>
    <col min="2570" max="2572" width="0" style="47" hidden="1" customWidth="1"/>
    <col min="2573" max="2573" width="14.33203125" style="47" customWidth="1"/>
    <col min="2574" max="2576" width="0" style="47" hidden="1" customWidth="1"/>
    <col min="2577" max="2577" width="14.33203125" style="47" customWidth="1"/>
    <col min="2578" max="2580" width="0" style="47" hidden="1" customWidth="1"/>
    <col min="2581" max="2582" width="14.33203125" style="47" customWidth="1"/>
    <col min="2583" max="2583" width="14.1640625" style="47" customWidth="1"/>
    <col min="2584" max="2584" width="10.5" style="47" customWidth="1"/>
    <col min="2585" max="2585" width="10.1640625" style="47" customWidth="1"/>
    <col min="2586" max="2586" width="11.6640625" style="47" customWidth="1"/>
    <col min="2587" max="2587" width="9.83203125" style="47" customWidth="1"/>
    <col min="2588" max="2588" width="10.1640625" style="47" customWidth="1"/>
    <col min="2589" max="2589" width="9" style="47" customWidth="1"/>
    <col min="2590" max="2590" width="9.83203125" style="47" customWidth="1"/>
    <col min="2591" max="2591" width="9" style="47" customWidth="1"/>
    <col min="2592" max="2780" width="8.83203125" style="47"/>
    <col min="2781" max="2781" width="13.5" style="47" customWidth="1"/>
    <col min="2782" max="2782" width="12.83203125" style="47" customWidth="1"/>
    <col min="2783" max="2783" width="11.1640625" style="47" customWidth="1"/>
    <col min="2784" max="2784" width="10.6640625" style="47" customWidth="1"/>
    <col min="2785" max="2785" width="8.5" style="47" customWidth="1"/>
    <col min="2786" max="2795" width="0" style="47" hidden="1" customWidth="1"/>
    <col min="2796" max="2796" width="12.5" style="47" customWidth="1"/>
    <col min="2797" max="2797" width="13.6640625" style="47" customWidth="1"/>
    <col min="2798" max="2801" width="0" style="47" hidden="1" customWidth="1"/>
    <col min="2802" max="2802" width="13.6640625" style="47" customWidth="1"/>
    <col min="2803" max="2803" width="12.5" style="47" customWidth="1"/>
    <col min="2804" max="2804" width="15.5" style="47" customWidth="1"/>
    <col min="2805" max="2805" width="13.6640625" style="47" customWidth="1"/>
    <col min="2806" max="2806" width="10.83203125" style="47" customWidth="1"/>
    <col min="2807" max="2807" width="10.33203125" style="47" customWidth="1"/>
    <col min="2808" max="2809" width="9.83203125" style="47" customWidth="1"/>
    <col min="2810" max="2810" width="10.83203125" style="47" customWidth="1"/>
    <col min="2811" max="2811" width="9.33203125" style="47" customWidth="1"/>
    <col min="2812" max="2814" width="9.83203125" style="47" customWidth="1"/>
    <col min="2815" max="2815" width="14.5" style="47" customWidth="1"/>
    <col min="2816" max="2816" width="18.1640625" style="47" customWidth="1"/>
    <col min="2817" max="2817" width="13.1640625" style="47" customWidth="1"/>
    <col min="2818" max="2818" width="13" style="47" customWidth="1"/>
    <col min="2819" max="2819" width="11" style="47" customWidth="1"/>
    <col min="2820" max="2824" width="0" style="47" hidden="1" customWidth="1"/>
    <col min="2825" max="2825" width="14.33203125" style="47" customWidth="1"/>
    <col min="2826" max="2828" width="0" style="47" hidden="1" customWidth="1"/>
    <col min="2829" max="2829" width="14.33203125" style="47" customWidth="1"/>
    <col min="2830" max="2832" width="0" style="47" hidden="1" customWidth="1"/>
    <col min="2833" max="2833" width="14.33203125" style="47" customWidth="1"/>
    <col min="2834" max="2836" width="0" style="47" hidden="1" customWidth="1"/>
    <col min="2837" max="2838" width="14.33203125" style="47" customWidth="1"/>
    <col min="2839" max="2839" width="14.1640625" style="47" customWidth="1"/>
    <col min="2840" max="2840" width="10.5" style="47" customWidth="1"/>
    <col min="2841" max="2841" width="10.1640625" style="47" customWidth="1"/>
    <col min="2842" max="2842" width="11.6640625" style="47" customWidth="1"/>
    <col min="2843" max="2843" width="9.83203125" style="47" customWidth="1"/>
    <col min="2844" max="2844" width="10.1640625" style="47" customWidth="1"/>
    <col min="2845" max="2845" width="9" style="47" customWidth="1"/>
    <col min="2846" max="2846" width="9.83203125" style="47" customWidth="1"/>
    <col min="2847" max="2847" width="9" style="47" customWidth="1"/>
    <col min="2848" max="3036" width="8.83203125" style="47"/>
    <col min="3037" max="3037" width="13.5" style="47" customWidth="1"/>
    <col min="3038" max="3038" width="12.83203125" style="47" customWidth="1"/>
    <col min="3039" max="3039" width="11.1640625" style="47" customWidth="1"/>
    <col min="3040" max="3040" width="10.6640625" style="47" customWidth="1"/>
    <col min="3041" max="3041" width="8.5" style="47" customWidth="1"/>
    <col min="3042" max="3051" width="0" style="47" hidden="1" customWidth="1"/>
    <col min="3052" max="3052" width="12.5" style="47" customWidth="1"/>
    <col min="3053" max="3053" width="13.6640625" style="47" customWidth="1"/>
    <col min="3054" max="3057" width="0" style="47" hidden="1" customWidth="1"/>
    <col min="3058" max="3058" width="13.6640625" style="47" customWidth="1"/>
    <col min="3059" max="3059" width="12.5" style="47" customWidth="1"/>
    <col min="3060" max="3060" width="15.5" style="47" customWidth="1"/>
    <col min="3061" max="3061" width="13.6640625" style="47" customWidth="1"/>
    <col min="3062" max="3062" width="10.83203125" style="47" customWidth="1"/>
    <col min="3063" max="3063" width="10.33203125" style="47" customWidth="1"/>
    <col min="3064" max="3065" width="9.83203125" style="47" customWidth="1"/>
    <col min="3066" max="3066" width="10.83203125" style="47" customWidth="1"/>
    <col min="3067" max="3067" width="9.33203125" style="47" customWidth="1"/>
    <col min="3068" max="3070" width="9.83203125" style="47" customWidth="1"/>
    <col min="3071" max="3071" width="14.5" style="47" customWidth="1"/>
    <col min="3072" max="3072" width="18.1640625" style="47" customWidth="1"/>
    <col min="3073" max="3073" width="13.1640625" style="47" customWidth="1"/>
    <col min="3074" max="3074" width="13" style="47" customWidth="1"/>
    <col min="3075" max="3075" width="11" style="47" customWidth="1"/>
    <col min="3076" max="3080" width="0" style="47" hidden="1" customWidth="1"/>
    <col min="3081" max="3081" width="14.33203125" style="47" customWidth="1"/>
    <col min="3082" max="3084" width="0" style="47" hidden="1" customWidth="1"/>
    <col min="3085" max="3085" width="14.33203125" style="47" customWidth="1"/>
    <col min="3086" max="3088" width="0" style="47" hidden="1" customWidth="1"/>
    <col min="3089" max="3089" width="14.33203125" style="47" customWidth="1"/>
    <col min="3090" max="3092" width="0" style="47" hidden="1" customWidth="1"/>
    <col min="3093" max="3094" width="14.33203125" style="47" customWidth="1"/>
    <col min="3095" max="3095" width="14.1640625" style="47" customWidth="1"/>
    <col min="3096" max="3096" width="10.5" style="47" customWidth="1"/>
    <col min="3097" max="3097" width="10.1640625" style="47" customWidth="1"/>
    <col min="3098" max="3098" width="11.6640625" style="47" customWidth="1"/>
    <col min="3099" max="3099" width="9.83203125" style="47" customWidth="1"/>
    <col min="3100" max="3100" width="10.1640625" style="47" customWidth="1"/>
    <col min="3101" max="3101" width="9" style="47" customWidth="1"/>
    <col min="3102" max="3102" width="9.83203125" style="47" customWidth="1"/>
    <col min="3103" max="3103" width="9" style="47" customWidth="1"/>
    <col min="3104" max="3292" width="8.83203125" style="47"/>
    <col min="3293" max="3293" width="13.5" style="47" customWidth="1"/>
    <col min="3294" max="3294" width="12.83203125" style="47" customWidth="1"/>
    <col min="3295" max="3295" width="11.1640625" style="47" customWidth="1"/>
    <col min="3296" max="3296" width="10.6640625" style="47" customWidth="1"/>
    <col min="3297" max="3297" width="8.5" style="47" customWidth="1"/>
    <col min="3298" max="3307" width="0" style="47" hidden="1" customWidth="1"/>
    <col min="3308" max="3308" width="12.5" style="47" customWidth="1"/>
    <col min="3309" max="3309" width="13.6640625" style="47" customWidth="1"/>
    <col min="3310" max="3313" width="0" style="47" hidden="1" customWidth="1"/>
    <col min="3314" max="3314" width="13.6640625" style="47" customWidth="1"/>
    <col min="3315" max="3315" width="12.5" style="47" customWidth="1"/>
    <col min="3316" max="3316" width="15.5" style="47" customWidth="1"/>
    <col min="3317" max="3317" width="13.6640625" style="47" customWidth="1"/>
    <col min="3318" max="3318" width="10.83203125" style="47" customWidth="1"/>
    <col min="3319" max="3319" width="10.33203125" style="47" customWidth="1"/>
    <col min="3320" max="3321" width="9.83203125" style="47" customWidth="1"/>
    <col min="3322" max="3322" width="10.83203125" style="47" customWidth="1"/>
    <col min="3323" max="3323" width="9.33203125" style="47" customWidth="1"/>
    <col min="3324" max="3326" width="9.83203125" style="47" customWidth="1"/>
    <col min="3327" max="3327" width="14.5" style="47" customWidth="1"/>
    <col min="3328" max="3328" width="18.1640625" style="47" customWidth="1"/>
    <col min="3329" max="3329" width="13.1640625" style="47" customWidth="1"/>
    <col min="3330" max="3330" width="13" style="47" customWidth="1"/>
    <col min="3331" max="3331" width="11" style="47" customWidth="1"/>
    <col min="3332" max="3336" width="0" style="47" hidden="1" customWidth="1"/>
    <col min="3337" max="3337" width="14.33203125" style="47" customWidth="1"/>
    <col min="3338" max="3340" width="0" style="47" hidden="1" customWidth="1"/>
    <col min="3341" max="3341" width="14.33203125" style="47" customWidth="1"/>
    <col min="3342" max="3344" width="0" style="47" hidden="1" customWidth="1"/>
    <col min="3345" max="3345" width="14.33203125" style="47" customWidth="1"/>
    <col min="3346" max="3348" width="0" style="47" hidden="1" customWidth="1"/>
    <col min="3349" max="3350" width="14.33203125" style="47" customWidth="1"/>
    <col min="3351" max="3351" width="14.1640625" style="47" customWidth="1"/>
    <col min="3352" max="3352" width="10.5" style="47" customWidth="1"/>
    <col min="3353" max="3353" width="10.1640625" style="47" customWidth="1"/>
    <col min="3354" max="3354" width="11.6640625" style="47" customWidth="1"/>
    <col min="3355" max="3355" width="9.83203125" style="47" customWidth="1"/>
    <col min="3356" max="3356" width="10.1640625" style="47" customWidth="1"/>
    <col min="3357" max="3357" width="9" style="47" customWidth="1"/>
    <col min="3358" max="3358" width="9.83203125" style="47" customWidth="1"/>
    <col min="3359" max="3359" width="9" style="47" customWidth="1"/>
    <col min="3360" max="3548" width="8.83203125" style="47"/>
    <col min="3549" max="3549" width="13.5" style="47" customWidth="1"/>
    <col min="3550" max="3550" width="12.83203125" style="47" customWidth="1"/>
    <col min="3551" max="3551" width="11.1640625" style="47" customWidth="1"/>
    <col min="3552" max="3552" width="10.6640625" style="47" customWidth="1"/>
    <col min="3553" max="3553" width="8.5" style="47" customWidth="1"/>
    <col min="3554" max="3563" width="0" style="47" hidden="1" customWidth="1"/>
    <col min="3564" max="3564" width="12.5" style="47" customWidth="1"/>
    <col min="3565" max="3565" width="13.6640625" style="47" customWidth="1"/>
    <col min="3566" max="3569" width="0" style="47" hidden="1" customWidth="1"/>
    <col min="3570" max="3570" width="13.6640625" style="47" customWidth="1"/>
    <col min="3571" max="3571" width="12.5" style="47" customWidth="1"/>
    <col min="3572" max="3572" width="15.5" style="47" customWidth="1"/>
    <col min="3573" max="3573" width="13.6640625" style="47" customWidth="1"/>
    <col min="3574" max="3574" width="10.83203125" style="47" customWidth="1"/>
    <col min="3575" max="3575" width="10.33203125" style="47" customWidth="1"/>
    <col min="3576" max="3577" width="9.83203125" style="47" customWidth="1"/>
    <col min="3578" max="3578" width="10.83203125" style="47" customWidth="1"/>
    <col min="3579" max="3579" width="9.33203125" style="47" customWidth="1"/>
    <col min="3580" max="3582" width="9.83203125" style="47" customWidth="1"/>
    <col min="3583" max="3583" width="14.5" style="47" customWidth="1"/>
    <col min="3584" max="3584" width="18.1640625" style="47" customWidth="1"/>
    <col min="3585" max="3585" width="13.1640625" style="47" customWidth="1"/>
    <col min="3586" max="3586" width="13" style="47" customWidth="1"/>
    <col min="3587" max="3587" width="11" style="47" customWidth="1"/>
    <col min="3588" max="3592" width="0" style="47" hidden="1" customWidth="1"/>
    <col min="3593" max="3593" width="14.33203125" style="47" customWidth="1"/>
    <col min="3594" max="3596" width="0" style="47" hidden="1" customWidth="1"/>
    <col min="3597" max="3597" width="14.33203125" style="47" customWidth="1"/>
    <col min="3598" max="3600" width="0" style="47" hidden="1" customWidth="1"/>
    <col min="3601" max="3601" width="14.33203125" style="47" customWidth="1"/>
    <col min="3602" max="3604" width="0" style="47" hidden="1" customWidth="1"/>
    <col min="3605" max="3606" width="14.33203125" style="47" customWidth="1"/>
    <col min="3607" max="3607" width="14.1640625" style="47" customWidth="1"/>
    <col min="3608" max="3608" width="10.5" style="47" customWidth="1"/>
    <col min="3609" max="3609" width="10.1640625" style="47" customWidth="1"/>
    <col min="3610" max="3610" width="11.6640625" style="47" customWidth="1"/>
    <col min="3611" max="3611" width="9.83203125" style="47" customWidth="1"/>
    <col min="3612" max="3612" width="10.1640625" style="47" customWidth="1"/>
    <col min="3613" max="3613" width="9" style="47" customWidth="1"/>
    <col min="3614" max="3614" width="9.83203125" style="47" customWidth="1"/>
    <col min="3615" max="3615" width="9" style="47" customWidth="1"/>
    <col min="3616" max="3804" width="8.83203125" style="47"/>
    <col min="3805" max="3805" width="13.5" style="47" customWidth="1"/>
    <col min="3806" max="3806" width="12.83203125" style="47" customWidth="1"/>
    <col min="3807" max="3807" width="11.1640625" style="47" customWidth="1"/>
    <col min="3808" max="3808" width="10.6640625" style="47" customWidth="1"/>
    <col min="3809" max="3809" width="8.5" style="47" customWidth="1"/>
    <col min="3810" max="3819" width="0" style="47" hidden="1" customWidth="1"/>
    <col min="3820" max="3820" width="12.5" style="47" customWidth="1"/>
    <col min="3821" max="3821" width="13.6640625" style="47" customWidth="1"/>
    <col min="3822" max="3825" width="0" style="47" hidden="1" customWidth="1"/>
    <col min="3826" max="3826" width="13.6640625" style="47" customWidth="1"/>
    <col min="3827" max="3827" width="12.5" style="47" customWidth="1"/>
    <col min="3828" max="3828" width="15.5" style="47" customWidth="1"/>
    <col min="3829" max="3829" width="13.6640625" style="47" customWidth="1"/>
    <col min="3830" max="3830" width="10.83203125" style="47" customWidth="1"/>
    <col min="3831" max="3831" width="10.33203125" style="47" customWidth="1"/>
    <col min="3832" max="3833" width="9.83203125" style="47" customWidth="1"/>
    <col min="3834" max="3834" width="10.83203125" style="47" customWidth="1"/>
    <col min="3835" max="3835" width="9.33203125" style="47" customWidth="1"/>
    <col min="3836" max="3838" width="9.83203125" style="47" customWidth="1"/>
    <col min="3839" max="3839" width="14.5" style="47" customWidth="1"/>
    <col min="3840" max="3840" width="18.1640625" style="47" customWidth="1"/>
    <col min="3841" max="3841" width="13.1640625" style="47" customWidth="1"/>
    <col min="3842" max="3842" width="13" style="47" customWidth="1"/>
    <col min="3843" max="3843" width="11" style="47" customWidth="1"/>
    <col min="3844" max="3848" width="0" style="47" hidden="1" customWidth="1"/>
    <col min="3849" max="3849" width="14.33203125" style="47" customWidth="1"/>
    <col min="3850" max="3852" width="0" style="47" hidden="1" customWidth="1"/>
    <col min="3853" max="3853" width="14.33203125" style="47" customWidth="1"/>
    <col min="3854" max="3856" width="0" style="47" hidden="1" customWidth="1"/>
    <col min="3857" max="3857" width="14.33203125" style="47" customWidth="1"/>
    <col min="3858" max="3860" width="0" style="47" hidden="1" customWidth="1"/>
    <col min="3861" max="3862" width="14.33203125" style="47" customWidth="1"/>
    <col min="3863" max="3863" width="14.1640625" style="47" customWidth="1"/>
    <col min="3864" max="3864" width="10.5" style="47" customWidth="1"/>
    <col min="3865" max="3865" width="10.1640625" style="47" customWidth="1"/>
    <col min="3866" max="3866" width="11.6640625" style="47" customWidth="1"/>
    <col min="3867" max="3867" width="9.83203125" style="47" customWidth="1"/>
    <col min="3868" max="3868" width="10.1640625" style="47" customWidth="1"/>
    <col min="3869" max="3869" width="9" style="47" customWidth="1"/>
    <col min="3870" max="3870" width="9.83203125" style="47" customWidth="1"/>
    <col min="3871" max="3871" width="9" style="47" customWidth="1"/>
    <col min="3872" max="4060" width="8.83203125" style="47"/>
    <col min="4061" max="4061" width="13.5" style="47" customWidth="1"/>
    <col min="4062" max="4062" width="12.83203125" style="47" customWidth="1"/>
    <col min="4063" max="4063" width="11.1640625" style="47" customWidth="1"/>
    <col min="4064" max="4064" width="10.6640625" style="47" customWidth="1"/>
    <col min="4065" max="4065" width="8.5" style="47" customWidth="1"/>
    <col min="4066" max="4075" width="0" style="47" hidden="1" customWidth="1"/>
    <col min="4076" max="4076" width="12.5" style="47" customWidth="1"/>
    <col min="4077" max="4077" width="13.6640625" style="47" customWidth="1"/>
    <col min="4078" max="4081" width="0" style="47" hidden="1" customWidth="1"/>
    <col min="4082" max="4082" width="13.6640625" style="47" customWidth="1"/>
    <col min="4083" max="4083" width="12.5" style="47" customWidth="1"/>
    <col min="4084" max="4084" width="15.5" style="47" customWidth="1"/>
    <col min="4085" max="4085" width="13.6640625" style="47" customWidth="1"/>
    <col min="4086" max="4086" width="10.83203125" style="47" customWidth="1"/>
    <col min="4087" max="4087" width="10.33203125" style="47" customWidth="1"/>
    <col min="4088" max="4089" width="9.83203125" style="47" customWidth="1"/>
    <col min="4090" max="4090" width="10.83203125" style="47" customWidth="1"/>
    <col min="4091" max="4091" width="9.33203125" style="47" customWidth="1"/>
    <col min="4092" max="4094" width="9.83203125" style="47" customWidth="1"/>
    <col min="4095" max="4095" width="14.5" style="47" customWidth="1"/>
    <col min="4096" max="4096" width="18.1640625" style="47" customWidth="1"/>
    <col min="4097" max="4097" width="13.1640625" style="47" customWidth="1"/>
    <col min="4098" max="4098" width="13" style="47" customWidth="1"/>
    <col min="4099" max="4099" width="11" style="47" customWidth="1"/>
    <col min="4100" max="4104" width="0" style="47" hidden="1" customWidth="1"/>
    <col min="4105" max="4105" width="14.33203125" style="47" customWidth="1"/>
    <col min="4106" max="4108" width="0" style="47" hidden="1" customWidth="1"/>
    <col min="4109" max="4109" width="14.33203125" style="47" customWidth="1"/>
    <col min="4110" max="4112" width="0" style="47" hidden="1" customWidth="1"/>
    <col min="4113" max="4113" width="14.33203125" style="47" customWidth="1"/>
    <col min="4114" max="4116" width="0" style="47" hidden="1" customWidth="1"/>
    <col min="4117" max="4118" width="14.33203125" style="47" customWidth="1"/>
    <col min="4119" max="4119" width="14.1640625" style="47" customWidth="1"/>
    <col min="4120" max="4120" width="10.5" style="47" customWidth="1"/>
    <col min="4121" max="4121" width="10.1640625" style="47" customWidth="1"/>
    <col min="4122" max="4122" width="11.6640625" style="47" customWidth="1"/>
    <col min="4123" max="4123" width="9.83203125" style="47" customWidth="1"/>
    <col min="4124" max="4124" width="10.1640625" style="47" customWidth="1"/>
    <col min="4125" max="4125" width="9" style="47" customWidth="1"/>
    <col min="4126" max="4126" width="9.83203125" style="47" customWidth="1"/>
    <col min="4127" max="4127" width="9" style="47" customWidth="1"/>
    <col min="4128" max="4316" width="8.83203125" style="47"/>
    <col min="4317" max="4317" width="13.5" style="47" customWidth="1"/>
    <col min="4318" max="4318" width="12.83203125" style="47" customWidth="1"/>
    <col min="4319" max="4319" width="11.1640625" style="47" customWidth="1"/>
    <col min="4320" max="4320" width="10.6640625" style="47" customWidth="1"/>
    <col min="4321" max="4321" width="8.5" style="47" customWidth="1"/>
    <col min="4322" max="4331" width="0" style="47" hidden="1" customWidth="1"/>
    <col min="4332" max="4332" width="12.5" style="47" customWidth="1"/>
    <col min="4333" max="4333" width="13.6640625" style="47" customWidth="1"/>
    <col min="4334" max="4337" width="0" style="47" hidden="1" customWidth="1"/>
    <col min="4338" max="4338" width="13.6640625" style="47" customWidth="1"/>
    <col min="4339" max="4339" width="12.5" style="47" customWidth="1"/>
    <col min="4340" max="4340" width="15.5" style="47" customWidth="1"/>
    <col min="4341" max="4341" width="13.6640625" style="47" customWidth="1"/>
    <col min="4342" max="4342" width="10.83203125" style="47" customWidth="1"/>
    <col min="4343" max="4343" width="10.33203125" style="47" customWidth="1"/>
    <col min="4344" max="4345" width="9.83203125" style="47" customWidth="1"/>
    <col min="4346" max="4346" width="10.83203125" style="47" customWidth="1"/>
    <col min="4347" max="4347" width="9.33203125" style="47" customWidth="1"/>
    <col min="4348" max="4350" width="9.83203125" style="47" customWidth="1"/>
    <col min="4351" max="4351" width="14.5" style="47" customWidth="1"/>
    <col min="4352" max="4352" width="18.1640625" style="47" customWidth="1"/>
    <col min="4353" max="4353" width="13.1640625" style="47" customWidth="1"/>
    <col min="4354" max="4354" width="13" style="47" customWidth="1"/>
    <col min="4355" max="4355" width="11" style="47" customWidth="1"/>
    <col min="4356" max="4360" width="0" style="47" hidden="1" customWidth="1"/>
    <col min="4361" max="4361" width="14.33203125" style="47" customWidth="1"/>
    <col min="4362" max="4364" width="0" style="47" hidden="1" customWidth="1"/>
    <col min="4365" max="4365" width="14.33203125" style="47" customWidth="1"/>
    <col min="4366" max="4368" width="0" style="47" hidden="1" customWidth="1"/>
    <col min="4369" max="4369" width="14.33203125" style="47" customWidth="1"/>
    <col min="4370" max="4372" width="0" style="47" hidden="1" customWidth="1"/>
    <col min="4373" max="4374" width="14.33203125" style="47" customWidth="1"/>
    <col min="4375" max="4375" width="14.1640625" style="47" customWidth="1"/>
    <col min="4376" max="4376" width="10.5" style="47" customWidth="1"/>
    <col min="4377" max="4377" width="10.1640625" style="47" customWidth="1"/>
    <col min="4378" max="4378" width="11.6640625" style="47" customWidth="1"/>
    <col min="4379" max="4379" width="9.83203125" style="47" customWidth="1"/>
    <col min="4380" max="4380" width="10.1640625" style="47" customWidth="1"/>
    <col min="4381" max="4381" width="9" style="47" customWidth="1"/>
    <col min="4382" max="4382" width="9.83203125" style="47" customWidth="1"/>
    <col min="4383" max="4383" width="9" style="47" customWidth="1"/>
    <col min="4384" max="4572" width="8.83203125" style="47"/>
    <col min="4573" max="4573" width="13.5" style="47" customWidth="1"/>
    <col min="4574" max="4574" width="12.83203125" style="47" customWidth="1"/>
    <col min="4575" max="4575" width="11.1640625" style="47" customWidth="1"/>
    <col min="4576" max="4576" width="10.6640625" style="47" customWidth="1"/>
    <col min="4577" max="4577" width="8.5" style="47" customWidth="1"/>
    <col min="4578" max="4587" width="0" style="47" hidden="1" customWidth="1"/>
    <col min="4588" max="4588" width="12.5" style="47" customWidth="1"/>
    <col min="4589" max="4589" width="13.6640625" style="47" customWidth="1"/>
    <col min="4590" max="4593" width="0" style="47" hidden="1" customWidth="1"/>
    <col min="4594" max="4594" width="13.6640625" style="47" customWidth="1"/>
    <col min="4595" max="4595" width="12.5" style="47" customWidth="1"/>
    <col min="4596" max="4596" width="15.5" style="47" customWidth="1"/>
    <col min="4597" max="4597" width="13.6640625" style="47" customWidth="1"/>
    <col min="4598" max="4598" width="10.83203125" style="47" customWidth="1"/>
    <col min="4599" max="4599" width="10.33203125" style="47" customWidth="1"/>
    <col min="4600" max="4601" width="9.83203125" style="47" customWidth="1"/>
    <col min="4602" max="4602" width="10.83203125" style="47" customWidth="1"/>
    <col min="4603" max="4603" width="9.33203125" style="47" customWidth="1"/>
    <col min="4604" max="4606" width="9.83203125" style="47" customWidth="1"/>
    <col min="4607" max="4607" width="14.5" style="47" customWidth="1"/>
    <col min="4608" max="4608" width="18.1640625" style="47" customWidth="1"/>
    <col min="4609" max="4609" width="13.1640625" style="47" customWidth="1"/>
    <col min="4610" max="4610" width="13" style="47" customWidth="1"/>
    <col min="4611" max="4611" width="11" style="47" customWidth="1"/>
    <col min="4612" max="4616" width="0" style="47" hidden="1" customWidth="1"/>
    <col min="4617" max="4617" width="14.33203125" style="47" customWidth="1"/>
    <col min="4618" max="4620" width="0" style="47" hidden="1" customWidth="1"/>
    <col min="4621" max="4621" width="14.33203125" style="47" customWidth="1"/>
    <col min="4622" max="4624" width="0" style="47" hidden="1" customWidth="1"/>
    <col min="4625" max="4625" width="14.33203125" style="47" customWidth="1"/>
    <col min="4626" max="4628" width="0" style="47" hidden="1" customWidth="1"/>
    <col min="4629" max="4630" width="14.33203125" style="47" customWidth="1"/>
    <col min="4631" max="4631" width="14.1640625" style="47" customWidth="1"/>
    <col min="4632" max="4632" width="10.5" style="47" customWidth="1"/>
    <col min="4633" max="4633" width="10.1640625" style="47" customWidth="1"/>
    <col min="4634" max="4634" width="11.6640625" style="47" customWidth="1"/>
    <col min="4635" max="4635" width="9.83203125" style="47" customWidth="1"/>
    <col min="4636" max="4636" width="10.1640625" style="47" customWidth="1"/>
    <col min="4637" max="4637" width="9" style="47" customWidth="1"/>
    <col min="4638" max="4638" width="9.83203125" style="47" customWidth="1"/>
    <col min="4639" max="4639" width="9" style="47" customWidth="1"/>
    <col min="4640" max="4828" width="8.83203125" style="47"/>
    <col min="4829" max="4829" width="13.5" style="47" customWidth="1"/>
    <col min="4830" max="4830" width="12.83203125" style="47" customWidth="1"/>
    <col min="4831" max="4831" width="11.1640625" style="47" customWidth="1"/>
    <col min="4832" max="4832" width="10.6640625" style="47" customWidth="1"/>
    <col min="4833" max="4833" width="8.5" style="47" customWidth="1"/>
    <col min="4834" max="4843" width="0" style="47" hidden="1" customWidth="1"/>
    <col min="4844" max="4844" width="12.5" style="47" customWidth="1"/>
    <col min="4845" max="4845" width="13.6640625" style="47" customWidth="1"/>
    <col min="4846" max="4849" width="0" style="47" hidden="1" customWidth="1"/>
    <col min="4850" max="4850" width="13.6640625" style="47" customWidth="1"/>
    <col min="4851" max="4851" width="12.5" style="47" customWidth="1"/>
    <col min="4852" max="4852" width="15.5" style="47" customWidth="1"/>
    <col min="4853" max="4853" width="13.6640625" style="47" customWidth="1"/>
    <col min="4854" max="4854" width="10.83203125" style="47" customWidth="1"/>
    <col min="4855" max="4855" width="10.33203125" style="47" customWidth="1"/>
    <col min="4856" max="4857" width="9.83203125" style="47" customWidth="1"/>
    <col min="4858" max="4858" width="10.83203125" style="47" customWidth="1"/>
    <col min="4859" max="4859" width="9.33203125" style="47" customWidth="1"/>
    <col min="4860" max="4862" width="9.83203125" style="47" customWidth="1"/>
    <col min="4863" max="4863" width="14.5" style="47" customWidth="1"/>
    <col min="4864" max="4864" width="18.1640625" style="47" customWidth="1"/>
    <col min="4865" max="4865" width="13.1640625" style="47" customWidth="1"/>
    <col min="4866" max="4866" width="13" style="47" customWidth="1"/>
    <col min="4867" max="4867" width="11" style="47" customWidth="1"/>
    <col min="4868" max="4872" width="0" style="47" hidden="1" customWidth="1"/>
    <col min="4873" max="4873" width="14.33203125" style="47" customWidth="1"/>
    <col min="4874" max="4876" width="0" style="47" hidden="1" customWidth="1"/>
    <col min="4877" max="4877" width="14.33203125" style="47" customWidth="1"/>
    <col min="4878" max="4880" width="0" style="47" hidden="1" customWidth="1"/>
    <col min="4881" max="4881" width="14.33203125" style="47" customWidth="1"/>
    <col min="4882" max="4884" width="0" style="47" hidden="1" customWidth="1"/>
    <col min="4885" max="4886" width="14.33203125" style="47" customWidth="1"/>
    <col min="4887" max="4887" width="14.1640625" style="47" customWidth="1"/>
    <col min="4888" max="4888" width="10.5" style="47" customWidth="1"/>
    <col min="4889" max="4889" width="10.1640625" style="47" customWidth="1"/>
    <col min="4890" max="4890" width="11.6640625" style="47" customWidth="1"/>
    <col min="4891" max="4891" width="9.83203125" style="47" customWidth="1"/>
    <col min="4892" max="4892" width="10.1640625" style="47" customWidth="1"/>
    <col min="4893" max="4893" width="9" style="47" customWidth="1"/>
    <col min="4894" max="4894" width="9.83203125" style="47" customWidth="1"/>
    <col min="4895" max="4895" width="9" style="47" customWidth="1"/>
    <col min="4896" max="5084" width="8.83203125" style="47"/>
    <col min="5085" max="5085" width="13.5" style="47" customWidth="1"/>
    <col min="5086" max="5086" width="12.83203125" style="47" customWidth="1"/>
    <col min="5087" max="5087" width="11.1640625" style="47" customWidth="1"/>
    <col min="5088" max="5088" width="10.6640625" style="47" customWidth="1"/>
    <col min="5089" max="5089" width="8.5" style="47" customWidth="1"/>
    <col min="5090" max="5099" width="0" style="47" hidden="1" customWidth="1"/>
    <col min="5100" max="5100" width="12.5" style="47" customWidth="1"/>
    <col min="5101" max="5101" width="13.6640625" style="47" customWidth="1"/>
    <col min="5102" max="5105" width="0" style="47" hidden="1" customWidth="1"/>
    <col min="5106" max="5106" width="13.6640625" style="47" customWidth="1"/>
    <col min="5107" max="5107" width="12.5" style="47" customWidth="1"/>
    <col min="5108" max="5108" width="15.5" style="47" customWidth="1"/>
    <col min="5109" max="5109" width="13.6640625" style="47" customWidth="1"/>
    <col min="5110" max="5110" width="10.83203125" style="47" customWidth="1"/>
    <col min="5111" max="5111" width="10.33203125" style="47" customWidth="1"/>
    <col min="5112" max="5113" width="9.83203125" style="47" customWidth="1"/>
    <col min="5114" max="5114" width="10.83203125" style="47" customWidth="1"/>
    <col min="5115" max="5115" width="9.33203125" style="47" customWidth="1"/>
    <col min="5116" max="5118" width="9.83203125" style="47" customWidth="1"/>
    <col min="5119" max="5119" width="14.5" style="47" customWidth="1"/>
    <col min="5120" max="5120" width="18.1640625" style="47" customWidth="1"/>
    <col min="5121" max="5121" width="13.1640625" style="47" customWidth="1"/>
    <col min="5122" max="5122" width="13" style="47" customWidth="1"/>
    <col min="5123" max="5123" width="11" style="47" customWidth="1"/>
    <col min="5124" max="5128" width="0" style="47" hidden="1" customWidth="1"/>
    <col min="5129" max="5129" width="14.33203125" style="47" customWidth="1"/>
    <col min="5130" max="5132" width="0" style="47" hidden="1" customWidth="1"/>
    <col min="5133" max="5133" width="14.33203125" style="47" customWidth="1"/>
    <col min="5134" max="5136" width="0" style="47" hidden="1" customWidth="1"/>
    <col min="5137" max="5137" width="14.33203125" style="47" customWidth="1"/>
    <col min="5138" max="5140" width="0" style="47" hidden="1" customWidth="1"/>
    <col min="5141" max="5142" width="14.33203125" style="47" customWidth="1"/>
    <col min="5143" max="5143" width="14.1640625" style="47" customWidth="1"/>
    <col min="5144" max="5144" width="10.5" style="47" customWidth="1"/>
    <col min="5145" max="5145" width="10.1640625" style="47" customWidth="1"/>
    <col min="5146" max="5146" width="11.6640625" style="47" customWidth="1"/>
    <col min="5147" max="5147" width="9.83203125" style="47" customWidth="1"/>
    <col min="5148" max="5148" width="10.1640625" style="47" customWidth="1"/>
    <col min="5149" max="5149" width="9" style="47" customWidth="1"/>
    <col min="5150" max="5150" width="9.83203125" style="47" customWidth="1"/>
    <col min="5151" max="5151" width="9" style="47" customWidth="1"/>
    <col min="5152" max="5340" width="8.83203125" style="47"/>
    <col min="5341" max="5341" width="13.5" style="47" customWidth="1"/>
    <col min="5342" max="5342" width="12.83203125" style="47" customWidth="1"/>
    <col min="5343" max="5343" width="11.1640625" style="47" customWidth="1"/>
    <col min="5344" max="5344" width="10.6640625" style="47" customWidth="1"/>
    <col min="5345" max="5345" width="8.5" style="47" customWidth="1"/>
    <col min="5346" max="5355" width="0" style="47" hidden="1" customWidth="1"/>
    <col min="5356" max="5356" width="12.5" style="47" customWidth="1"/>
    <col min="5357" max="5357" width="13.6640625" style="47" customWidth="1"/>
    <col min="5358" max="5361" width="0" style="47" hidden="1" customWidth="1"/>
    <col min="5362" max="5362" width="13.6640625" style="47" customWidth="1"/>
    <col min="5363" max="5363" width="12.5" style="47" customWidth="1"/>
    <col min="5364" max="5364" width="15.5" style="47" customWidth="1"/>
    <col min="5365" max="5365" width="13.6640625" style="47" customWidth="1"/>
    <col min="5366" max="5366" width="10.83203125" style="47" customWidth="1"/>
    <col min="5367" max="5367" width="10.33203125" style="47" customWidth="1"/>
    <col min="5368" max="5369" width="9.83203125" style="47" customWidth="1"/>
    <col min="5370" max="5370" width="10.83203125" style="47" customWidth="1"/>
    <col min="5371" max="5371" width="9.33203125" style="47" customWidth="1"/>
    <col min="5372" max="5374" width="9.83203125" style="47" customWidth="1"/>
    <col min="5375" max="5375" width="14.5" style="47" customWidth="1"/>
    <col min="5376" max="5376" width="18.1640625" style="47" customWidth="1"/>
    <col min="5377" max="5377" width="13.1640625" style="47" customWidth="1"/>
    <col min="5378" max="5378" width="13" style="47" customWidth="1"/>
    <col min="5379" max="5379" width="11" style="47" customWidth="1"/>
    <col min="5380" max="5384" width="0" style="47" hidden="1" customWidth="1"/>
    <col min="5385" max="5385" width="14.33203125" style="47" customWidth="1"/>
    <col min="5386" max="5388" width="0" style="47" hidden="1" customWidth="1"/>
    <col min="5389" max="5389" width="14.33203125" style="47" customWidth="1"/>
    <col min="5390" max="5392" width="0" style="47" hidden="1" customWidth="1"/>
    <col min="5393" max="5393" width="14.33203125" style="47" customWidth="1"/>
    <col min="5394" max="5396" width="0" style="47" hidden="1" customWidth="1"/>
    <col min="5397" max="5398" width="14.33203125" style="47" customWidth="1"/>
    <col min="5399" max="5399" width="14.1640625" style="47" customWidth="1"/>
    <col min="5400" max="5400" width="10.5" style="47" customWidth="1"/>
    <col min="5401" max="5401" width="10.1640625" style="47" customWidth="1"/>
    <col min="5402" max="5402" width="11.6640625" style="47" customWidth="1"/>
    <col min="5403" max="5403" width="9.83203125" style="47" customWidth="1"/>
    <col min="5404" max="5404" width="10.1640625" style="47" customWidth="1"/>
    <col min="5405" max="5405" width="9" style="47" customWidth="1"/>
    <col min="5406" max="5406" width="9.83203125" style="47" customWidth="1"/>
    <col min="5407" max="5407" width="9" style="47" customWidth="1"/>
    <col min="5408" max="5596" width="8.83203125" style="47"/>
    <col min="5597" max="5597" width="13.5" style="47" customWidth="1"/>
    <col min="5598" max="5598" width="12.83203125" style="47" customWidth="1"/>
    <col min="5599" max="5599" width="11.1640625" style="47" customWidth="1"/>
    <col min="5600" max="5600" width="10.6640625" style="47" customWidth="1"/>
    <col min="5601" max="5601" width="8.5" style="47" customWidth="1"/>
    <col min="5602" max="5611" width="0" style="47" hidden="1" customWidth="1"/>
    <col min="5612" max="5612" width="12.5" style="47" customWidth="1"/>
    <col min="5613" max="5613" width="13.6640625" style="47" customWidth="1"/>
    <col min="5614" max="5617" width="0" style="47" hidden="1" customWidth="1"/>
    <col min="5618" max="5618" width="13.6640625" style="47" customWidth="1"/>
    <col min="5619" max="5619" width="12.5" style="47" customWidth="1"/>
    <col min="5620" max="5620" width="15.5" style="47" customWidth="1"/>
    <col min="5621" max="5621" width="13.6640625" style="47" customWidth="1"/>
    <col min="5622" max="5622" width="10.83203125" style="47" customWidth="1"/>
    <col min="5623" max="5623" width="10.33203125" style="47" customWidth="1"/>
    <col min="5624" max="5625" width="9.83203125" style="47" customWidth="1"/>
    <col min="5626" max="5626" width="10.83203125" style="47" customWidth="1"/>
    <col min="5627" max="5627" width="9.33203125" style="47" customWidth="1"/>
    <col min="5628" max="5630" width="9.83203125" style="47" customWidth="1"/>
    <col min="5631" max="5631" width="14.5" style="47" customWidth="1"/>
    <col min="5632" max="5632" width="18.1640625" style="47" customWidth="1"/>
    <col min="5633" max="5633" width="13.1640625" style="47" customWidth="1"/>
    <col min="5634" max="5634" width="13" style="47" customWidth="1"/>
    <col min="5635" max="5635" width="11" style="47" customWidth="1"/>
    <col min="5636" max="5640" width="0" style="47" hidden="1" customWidth="1"/>
    <col min="5641" max="5641" width="14.33203125" style="47" customWidth="1"/>
    <col min="5642" max="5644" width="0" style="47" hidden="1" customWidth="1"/>
    <col min="5645" max="5645" width="14.33203125" style="47" customWidth="1"/>
    <col min="5646" max="5648" width="0" style="47" hidden="1" customWidth="1"/>
    <col min="5649" max="5649" width="14.33203125" style="47" customWidth="1"/>
    <col min="5650" max="5652" width="0" style="47" hidden="1" customWidth="1"/>
    <col min="5653" max="5654" width="14.33203125" style="47" customWidth="1"/>
    <col min="5655" max="5655" width="14.1640625" style="47" customWidth="1"/>
    <col min="5656" max="5656" width="10.5" style="47" customWidth="1"/>
    <col min="5657" max="5657" width="10.1640625" style="47" customWidth="1"/>
    <col min="5658" max="5658" width="11.6640625" style="47" customWidth="1"/>
    <col min="5659" max="5659" width="9.83203125" style="47" customWidth="1"/>
    <col min="5660" max="5660" width="10.1640625" style="47" customWidth="1"/>
    <col min="5661" max="5661" width="9" style="47" customWidth="1"/>
    <col min="5662" max="5662" width="9.83203125" style="47" customWidth="1"/>
    <col min="5663" max="5663" width="9" style="47" customWidth="1"/>
    <col min="5664" max="5852" width="8.83203125" style="47"/>
    <col min="5853" max="5853" width="13.5" style="47" customWidth="1"/>
    <col min="5854" max="5854" width="12.83203125" style="47" customWidth="1"/>
    <col min="5855" max="5855" width="11.1640625" style="47" customWidth="1"/>
    <col min="5856" max="5856" width="10.6640625" style="47" customWidth="1"/>
    <col min="5857" max="5857" width="8.5" style="47" customWidth="1"/>
    <col min="5858" max="5867" width="0" style="47" hidden="1" customWidth="1"/>
    <col min="5868" max="5868" width="12.5" style="47" customWidth="1"/>
    <col min="5869" max="5869" width="13.6640625" style="47" customWidth="1"/>
    <col min="5870" max="5873" width="0" style="47" hidden="1" customWidth="1"/>
    <col min="5874" max="5874" width="13.6640625" style="47" customWidth="1"/>
    <col min="5875" max="5875" width="12.5" style="47" customWidth="1"/>
    <col min="5876" max="5876" width="15.5" style="47" customWidth="1"/>
    <col min="5877" max="5877" width="13.6640625" style="47" customWidth="1"/>
    <col min="5878" max="5878" width="10.83203125" style="47" customWidth="1"/>
    <col min="5879" max="5879" width="10.33203125" style="47" customWidth="1"/>
    <col min="5880" max="5881" width="9.83203125" style="47" customWidth="1"/>
    <col min="5882" max="5882" width="10.83203125" style="47" customWidth="1"/>
    <col min="5883" max="5883" width="9.33203125" style="47" customWidth="1"/>
    <col min="5884" max="5886" width="9.83203125" style="47" customWidth="1"/>
    <col min="5887" max="5887" width="14.5" style="47" customWidth="1"/>
    <col min="5888" max="5888" width="18.1640625" style="47" customWidth="1"/>
    <col min="5889" max="5889" width="13.1640625" style="47" customWidth="1"/>
    <col min="5890" max="5890" width="13" style="47" customWidth="1"/>
    <col min="5891" max="5891" width="11" style="47" customWidth="1"/>
    <col min="5892" max="5896" width="0" style="47" hidden="1" customWidth="1"/>
    <col min="5897" max="5897" width="14.33203125" style="47" customWidth="1"/>
    <col min="5898" max="5900" width="0" style="47" hidden="1" customWidth="1"/>
    <col min="5901" max="5901" width="14.33203125" style="47" customWidth="1"/>
    <col min="5902" max="5904" width="0" style="47" hidden="1" customWidth="1"/>
    <col min="5905" max="5905" width="14.33203125" style="47" customWidth="1"/>
    <col min="5906" max="5908" width="0" style="47" hidden="1" customWidth="1"/>
    <col min="5909" max="5910" width="14.33203125" style="47" customWidth="1"/>
    <col min="5911" max="5911" width="14.1640625" style="47" customWidth="1"/>
    <col min="5912" max="5912" width="10.5" style="47" customWidth="1"/>
    <col min="5913" max="5913" width="10.1640625" style="47" customWidth="1"/>
    <col min="5914" max="5914" width="11.6640625" style="47" customWidth="1"/>
    <col min="5915" max="5915" width="9.83203125" style="47" customWidth="1"/>
    <col min="5916" max="5916" width="10.1640625" style="47" customWidth="1"/>
    <col min="5917" max="5917" width="9" style="47" customWidth="1"/>
    <col min="5918" max="5918" width="9.83203125" style="47" customWidth="1"/>
    <col min="5919" max="5919" width="9" style="47" customWidth="1"/>
    <col min="5920" max="6108" width="8.83203125" style="47"/>
    <col min="6109" max="6109" width="13.5" style="47" customWidth="1"/>
    <col min="6110" max="6110" width="12.83203125" style="47" customWidth="1"/>
    <col min="6111" max="6111" width="11.1640625" style="47" customWidth="1"/>
    <col min="6112" max="6112" width="10.6640625" style="47" customWidth="1"/>
    <col min="6113" max="6113" width="8.5" style="47" customWidth="1"/>
    <col min="6114" max="6123" width="0" style="47" hidden="1" customWidth="1"/>
    <col min="6124" max="6124" width="12.5" style="47" customWidth="1"/>
    <col min="6125" max="6125" width="13.6640625" style="47" customWidth="1"/>
    <col min="6126" max="6129" width="0" style="47" hidden="1" customWidth="1"/>
    <col min="6130" max="6130" width="13.6640625" style="47" customWidth="1"/>
    <col min="6131" max="6131" width="12.5" style="47" customWidth="1"/>
    <col min="6132" max="6132" width="15.5" style="47" customWidth="1"/>
    <col min="6133" max="6133" width="13.6640625" style="47" customWidth="1"/>
    <col min="6134" max="6134" width="10.83203125" style="47" customWidth="1"/>
    <col min="6135" max="6135" width="10.33203125" style="47" customWidth="1"/>
    <col min="6136" max="6137" width="9.83203125" style="47" customWidth="1"/>
    <col min="6138" max="6138" width="10.83203125" style="47" customWidth="1"/>
    <col min="6139" max="6139" width="9.33203125" style="47" customWidth="1"/>
    <col min="6140" max="6142" width="9.83203125" style="47" customWidth="1"/>
    <col min="6143" max="6143" width="14.5" style="47" customWidth="1"/>
    <col min="6144" max="6144" width="18.1640625" style="47" customWidth="1"/>
    <col min="6145" max="6145" width="13.1640625" style="47" customWidth="1"/>
    <col min="6146" max="6146" width="13" style="47" customWidth="1"/>
    <col min="6147" max="6147" width="11" style="47" customWidth="1"/>
    <col min="6148" max="6152" width="0" style="47" hidden="1" customWidth="1"/>
    <col min="6153" max="6153" width="14.33203125" style="47" customWidth="1"/>
    <col min="6154" max="6156" width="0" style="47" hidden="1" customWidth="1"/>
    <col min="6157" max="6157" width="14.33203125" style="47" customWidth="1"/>
    <col min="6158" max="6160" width="0" style="47" hidden="1" customWidth="1"/>
    <col min="6161" max="6161" width="14.33203125" style="47" customWidth="1"/>
    <col min="6162" max="6164" width="0" style="47" hidden="1" customWidth="1"/>
    <col min="6165" max="6166" width="14.33203125" style="47" customWidth="1"/>
    <col min="6167" max="6167" width="14.1640625" style="47" customWidth="1"/>
    <col min="6168" max="6168" width="10.5" style="47" customWidth="1"/>
    <col min="6169" max="6169" width="10.1640625" style="47" customWidth="1"/>
    <col min="6170" max="6170" width="11.6640625" style="47" customWidth="1"/>
    <col min="6171" max="6171" width="9.83203125" style="47" customWidth="1"/>
    <col min="6172" max="6172" width="10.1640625" style="47" customWidth="1"/>
    <col min="6173" max="6173" width="9" style="47" customWidth="1"/>
    <col min="6174" max="6174" width="9.83203125" style="47" customWidth="1"/>
    <col min="6175" max="6175" width="9" style="47" customWidth="1"/>
    <col min="6176" max="6364" width="8.83203125" style="47"/>
    <col min="6365" max="6365" width="13.5" style="47" customWidth="1"/>
    <col min="6366" max="6366" width="12.83203125" style="47" customWidth="1"/>
    <col min="6367" max="6367" width="11.1640625" style="47" customWidth="1"/>
    <col min="6368" max="6368" width="10.6640625" style="47" customWidth="1"/>
    <col min="6369" max="6369" width="8.5" style="47" customWidth="1"/>
    <col min="6370" max="6379" width="0" style="47" hidden="1" customWidth="1"/>
    <col min="6380" max="6380" width="12.5" style="47" customWidth="1"/>
    <col min="6381" max="6381" width="13.6640625" style="47" customWidth="1"/>
    <col min="6382" max="6385" width="0" style="47" hidden="1" customWidth="1"/>
    <col min="6386" max="6386" width="13.6640625" style="47" customWidth="1"/>
    <col min="6387" max="6387" width="12.5" style="47" customWidth="1"/>
    <col min="6388" max="6388" width="15.5" style="47" customWidth="1"/>
    <col min="6389" max="6389" width="13.6640625" style="47" customWidth="1"/>
    <col min="6390" max="6390" width="10.83203125" style="47" customWidth="1"/>
    <col min="6391" max="6391" width="10.33203125" style="47" customWidth="1"/>
    <col min="6392" max="6393" width="9.83203125" style="47" customWidth="1"/>
    <col min="6394" max="6394" width="10.83203125" style="47" customWidth="1"/>
    <col min="6395" max="6395" width="9.33203125" style="47" customWidth="1"/>
    <col min="6396" max="6398" width="9.83203125" style="47" customWidth="1"/>
    <col min="6399" max="6399" width="14.5" style="47" customWidth="1"/>
    <col min="6400" max="6400" width="18.1640625" style="47" customWidth="1"/>
    <col min="6401" max="6401" width="13.1640625" style="47" customWidth="1"/>
    <col min="6402" max="6402" width="13" style="47" customWidth="1"/>
    <col min="6403" max="6403" width="11" style="47" customWidth="1"/>
    <col min="6404" max="6408" width="0" style="47" hidden="1" customWidth="1"/>
    <col min="6409" max="6409" width="14.33203125" style="47" customWidth="1"/>
    <col min="6410" max="6412" width="0" style="47" hidden="1" customWidth="1"/>
    <col min="6413" max="6413" width="14.33203125" style="47" customWidth="1"/>
    <col min="6414" max="6416" width="0" style="47" hidden="1" customWidth="1"/>
    <col min="6417" max="6417" width="14.33203125" style="47" customWidth="1"/>
    <col min="6418" max="6420" width="0" style="47" hidden="1" customWidth="1"/>
    <col min="6421" max="6422" width="14.33203125" style="47" customWidth="1"/>
    <col min="6423" max="6423" width="14.1640625" style="47" customWidth="1"/>
    <col min="6424" max="6424" width="10.5" style="47" customWidth="1"/>
    <col min="6425" max="6425" width="10.1640625" style="47" customWidth="1"/>
    <col min="6426" max="6426" width="11.6640625" style="47" customWidth="1"/>
    <col min="6427" max="6427" width="9.83203125" style="47" customWidth="1"/>
    <col min="6428" max="6428" width="10.1640625" style="47" customWidth="1"/>
    <col min="6429" max="6429" width="9" style="47" customWidth="1"/>
    <col min="6430" max="6430" width="9.83203125" style="47" customWidth="1"/>
    <col min="6431" max="6431" width="9" style="47" customWidth="1"/>
    <col min="6432" max="6620" width="8.83203125" style="47"/>
    <col min="6621" max="6621" width="13.5" style="47" customWidth="1"/>
    <col min="6622" max="6622" width="12.83203125" style="47" customWidth="1"/>
    <col min="6623" max="6623" width="11.1640625" style="47" customWidth="1"/>
    <col min="6624" max="6624" width="10.6640625" style="47" customWidth="1"/>
    <col min="6625" max="6625" width="8.5" style="47" customWidth="1"/>
    <col min="6626" max="6635" width="0" style="47" hidden="1" customWidth="1"/>
    <col min="6636" max="6636" width="12.5" style="47" customWidth="1"/>
    <col min="6637" max="6637" width="13.6640625" style="47" customWidth="1"/>
    <col min="6638" max="6641" width="0" style="47" hidden="1" customWidth="1"/>
    <col min="6642" max="6642" width="13.6640625" style="47" customWidth="1"/>
    <col min="6643" max="6643" width="12.5" style="47" customWidth="1"/>
    <col min="6644" max="6644" width="15.5" style="47" customWidth="1"/>
    <col min="6645" max="6645" width="13.6640625" style="47" customWidth="1"/>
    <col min="6646" max="6646" width="10.83203125" style="47" customWidth="1"/>
    <col min="6647" max="6647" width="10.33203125" style="47" customWidth="1"/>
    <col min="6648" max="6649" width="9.83203125" style="47" customWidth="1"/>
    <col min="6650" max="6650" width="10.83203125" style="47" customWidth="1"/>
    <col min="6651" max="6651" width="9.33203125" style="47" customWidth="1"/>
    <col min="6652" max="6654" width="9.83203125" style="47" customWidth="1"/>
    <col min="6655" max="6655" width="14.5" style="47" customWidth="1"/>
    <col min="6656" max="6656" width="18.1640625" style="47" customWidth="1"/>
    <col min="6657" max="6657" width="13.1640625" style="47" customWidth="1"/>
    <col min="6658" max="6658" width="13" style="47" customWidth="1"/>
    <col min="6659" max="6659" width="11" style="47" customWidth="1"/>
    <col min="6660" max="6664" width="0" style="47" hidden="1" customWidth="1"/>
    <col min="6665" max="6665" width="14.33203125" style="47" customWidth="1"/>
    <col min="6666" max="6668" width="0" style="47" hidden="1" customWidth="1"/>
    <col min="6669" max="6669" width="14.33203125" style="47" customWidth="1"/>
    <col min="6670" max="6672" width="0" style="47" hidden="1" customWidth="1"/>
    <col min="6673" max="6673" width="14.33203125" style="47" customWidth="1"/>
    <col min="6674" max="6676" width="0" style="47" hidden="1" customWidth="1"/>
    <col min="6677" max="6678" width="14.33203125" style="47" customWidth="1"/>
    <col min="6679" max="6679" width="14.1640625" style="47" customWidth="1"/>
    <col min="6680" max="6680" width="10.5" style="47" customWidth="1"/>
    <col min="6681" max="6681" width="10.1640625" style="47" customWidth="1"/>
    <col min="6682" max="6682" width="11.6640625" style="47" customWidth="1"/>
    <col min="6683" max="6683" width="9.83203125" style="47" customWidth="1"/>
    <col min="6684" max="6684" width="10.1640625" style="47" customWidth="1"/>
    <col min="6685" max="6685" width="9" style="47" customWidth="1"/>
    <col min="6686" max="6686" width="9.83203125" style="47" customWidth="1"/>
    <col min="6687" max="6687" width="9" style="47" customWidth="1"/>
    <col min="6688" max="6876" width="8.83203125" style="47"/>
    <col min="6877" max="6877" width="13.5" style="47" customWidth="1"/>
    <col min="6878" max="6878" width="12.83203125" style="47" customWidth="1"/>
    <col min="6879" max="6879" width="11.1640625" style="47" customWidth="1"/>
    <col min="6880" max="6880" width="10.6640625" style="47" customWidth="1"/>
    <col min="6881" max="6881" width="8.5" style="47" customWidth="1"/>
    <col min="6882" max="6891" width="0" style="47" hidden="1" customWidth="1"/>
    <col min="6892" max="6892" width="12.5" style="47" customWidth="1"/>
    <col min="6893" max="6893" width="13.6640625" style="47" customWidth="1"/>
    <col min="6894" max="6897" width="0" style="47" hidden="1" customWidth="1"/>
    <col min="6898" max="6898" width="13.6640625" style="47" customWidth="1"/>
    <col min="6899" max="6899" width="12.5" style="47" customWidth="1"/>
    <col min="6900" max="6900" width="15.5" style="47" customWidth="1"/>
    <col min="6901" max="6901" width="13.6640625" style="47" customWidth="1"/>
    <col min="6902" max="6902" width="10.83203125" style="47" customWidth="1"/>
    <col min="6903" max="6903" width="10.33203125" style="47" customWidth="1"/>
    <col min="6904" max="6905" width="9.83203125" style="47" customWidth="1"/>
    <col min="6906" max="6906" width="10.83203125" style="47" customWidth="1"/>
    <col min="6907" max="6907" width="9.33203125" style="47" customWidth="1"/>
    <col min="6908" max="6910" width="9.83203125" style="47" customWidth="1"/>
    <col min="6911" max="6911" width="14.5" style="47" customWidth="1"/>
    <col min="6912" max="6912" width="18.1640625" style="47" customWidth="1"/>
    <col min="6913" max="6913" width="13.1640625" style="47" customWidth="1"/>
    <col min="6914" max="6914" width="13" style="47" customWidth="1"/>
    <col min="6915" max="6915" width="11" style="47" customWidth="1"/>
    <col min="6916" max="6920" width="0" style="47" hidden="1" customWidth="1"/>
    <col min="6921" max="6921" width="14.33203125" style="47" customWidth="1"/>
    <col min="6922" max="6924" width="0" style="47" hidden="1" customWidth="1"/>
    <col min="6925" max="6925" width="14.33203125" style="47" customWidth="1"/>
    <col min="6926" max="6928" width="0" style="47" hidden="1" customWidth="1"/>
    <col min="6929" max="6929" width="14.33203125" style="47" customWidth="1"/>
    <col min="6930" max="6932" width="0" style="47" hidden="1" customWidth="1"/>
    <col min="6933" max="6934" width="14.33203125" style="47" customWidth="1"/>
    <col min="6935" max="6935" width="14.1640625" style="47" customWidth="1"/>
    <col min="6936" max="6936" width="10.5" style="47" customWidth="1"/>
    <col min="6937" max="6937" width="10.1640625" style="47" customWidth="1"/>
    <col min="6938" max="6938" width="11.6640625" style="47" customWidth="1"/>
    <col min="6939" max="6939" width="9.83203125" style="47" customWidth="1"/>
    <col min="6940" max="6940" width="10.1640625" style="47" customWidth="1"/>
    <col min="6941" max="6941" width="9" style="47" customWidth="1"/>
    <col min="6942" max="6942" width="9.83203125" style="47" customWidth="1"/>
    <col min="6943" max="6943" width="9" style="47" customWidth="1"/>
    <col min="6944" max="7132" width="8.83203125" style="47"/>
    <col min="7133" max="7133" width="13.5" style="47" customWidth="1"/>
    <col min="7134" max="7134" width="12.83203125" style="47" customWidth="1"/>
    <col min="7135" max="7135" width="11.1640625" style="47" customWidth="1"/>
    <col min="7136" max="7136" width="10.6640625" style="47" customWidth="1"/>
    <col min="7137" max="7137" width="8.5" style="47" customWidth="1"/>
    <col min="7138" max="7147" width="0" style="47" hidden="1" customWidth="1"/>
    <col min="7148" max="7148" width="12.5" style="47" customWidth="1"/>
    <col min="7149" max="7149" width="13.6640625" style="47" customWidth="1"/>
    <col min="7150" max="7153" width="0" style="47" hidden="1" customWidth="1"/>
    <col min="7154" max="7154" width="13.6640625" style="47" customWidth="1"/>
    <col min="7155" max="7155" width="12.5" style="47" customWidth="1"/>
    <col min="7156" max="7156" width="15.5" style="47" customWidth="1"/>
    <col min="7157" max="7157" width="13.6640625" style="47" customWidth="1"/>
    <col min="7158" max="7158" width="10.83203125" style="47" customWidth="1"/>
    <col min="7159" max="7159" width="10.33203125" style="47" customWidth="1"/>
    <col min="7160" max="7161" width="9.83203125" style="47" customWidth="1"/>
    <col min="7162" max="7162" width="10.83203125" style="47" customWidth="1"/>
    <col min="7163" max="7163" width="9.33203125" style="47" customWidth="1"/>
    <col min="7164" max="7166" width="9.83203125" style="47" customWidth="1"/>
    <col min="7167" max="7167" width="14.5" style="47" customWidth="1"/>
    <col min="7168" max="7168" width="18.1640625" style="47" customWidth="1"/>
    <col min="7169" max="7169" width="13.1640625" style="47" customWidth="1"/>
    <col min="7170" max="7170" width="13" style="47" customWidth="1"/>
    <col min="7171" max="7171" width="11" style="47" customWidth="1"/>
    <col min="7172" max="7176" width="0" style="47" hidden="1" customWidth="1"/>
    <col min="7177" max="7177" width="14.33203125" style="47" customWidth="1"/>
    <col min="7178" max="7180" width="0" style="47" hidden="1" customWidth="1"/>
    <col min="7181" max="7181" width="14.33203125" style="47" customWidth="1"/>
    <col min="7182" max="7184" width="0" style="47" hidden="1" customWidth="1"/>
    <col min="7185" max="7185" width="14.33203125" style="47" customWidth="1"/>
    <col min="7186" max="7188" width="0" style="47" hidden="1" customWidth="1"/>
    <col min="7189" max="7190" width="14.33203125" style="47" customWidth="1"/>
    <col min="7191" max="7191" width="14.1640625" style="47" customWidth="1"/>
    <col min="7192" max="7192" width="10.5" style="47" customWidth="1"/>
    <col min="7193" max="7193" width="10.1640625" style="47" customWidth="1"/>
    <col min="7194" max="7194" width="11.6640625" style="47" customWidth="1"/>
    <col min="7195" max="7195" width="9.83203125" style="47" customWidth="1"/>
    <col min="7196" max="7196" width="10.1640625" style="47" customWidth="1"/>
    <col min="7197" max="7197" width="9" style="47" customWidth="1"/>
    <col min="7198" max="7198" width="9.83203125" style="47" customWidth="1"/>
    <col min="7199" max="7199" width="9" style="47" customWidth="1"/>
    <col min="7200" max="7388" width="8.83203125" style="47"/>
    <col min="7389" max="7389" width="13.5" style="47" customWidth="1"/>
    <col min="7390" max="7390" width="12.83203125" style="47" customWidth="1"/>
    <col min="7391" max="7391" width="11.1640625" style="47" customWidth="1"/>
    <col min="7392" max="7392" width="10.6640625" style="47" customWidth="1"/>
    <col min="7393" max="7393" width="8.5" style="47" customWidth="1"/>
    <col min="7394" max="7403" width="0" style="47" hidden="1" customWidth="1"/>
    <col min="7404" max="7404" width="12.5" style="47" customWidth="1"/>
    <col min="7405" max="7405" width="13.6640625" style="47" customWidth="1"/>
    <col min="7406" max="7409" width="0" style="47" hidden="1" customWidth="1"/>
    <col min="7410" max="7410" width="13.6640625" style="47" customWidth="1"/>
    <col min="7411" max="7411" width="12.5" style="47" customWidth="1"/>
    <col min="7412" max="7412" width="15.5" style="47" customWidth="1"/>
    <col min="7413" max="7413" width="13.6640625" style="47" customWidth="1"/>
    <col min="7414" max="7414" width="10.83203125" style="47" customWidth="1"/>
    <col min="7415" max="7415" width="10.33203125" style="47" customWidth="1"/>
    <col min="7416" max="7417" width="9.83203125" style="47" customWidth="1"/>
    <col min="7418" max="7418" width="10.83203125" style="47" customWidth="1"/>
    <col min="7419" max="7419" width="9.33203125" style="47" customWidth="1"/>
    <col min="7420" max="7422" width="9.83203125" style="47" customWidth="1"/>
    <col min="7423" max="7423" width="14.5" style="47" customWidth="1"/>
    <col min="7424" max="7424" width="18.1640625" style="47" customWidth="1"/>
    <col min="7425" max="7425" width="13.1640625" style="47" customWidth="1"/>
    <col min="7426" max="7426" width="13" style="47" customWidth="1"/>
    <col min="7427" max="7427" width="11" style="47" customWidth="1"/>
    <col min="7428" max="7432" width="0" style="47" hidden="1" customWidth="1"/>
    <col min="7433" max="7433" width="14.33203125" style="47" customWidth="1"/>
    <col min="7434" max="7436" width="0" style="47" hidden="1" customWidth="1"/>
    <col min="7437" max="7437" width="14.33203125" style="47" customWidth="1"/>
    <col min="7438" max="7440" width="0" style="47" hidden="1" customWidth="1"/>
    <col min="7441" max="7441" width="14.33203125" style="47" customWidth="1"/>
    <col min="7442" max="7444" width="0" style="47" hidden="1" customWidth="1"/>
    <col min="7445" max="7446" width="14.33203125" style="47" customWidth="1"/>
    <col min="7447" max="7447" width="14.1640625" style="47" customWidth="1"/>
    <col min="7448" max="7448" width="10.5" style="47" customWidth="1"/>
    <col min="7449" max="7449" width="10.1640625" style="47" customWidth="1"/>
    <col min="7450" max="7450" width="11.6640625" style="47" customWidth="1"/>
    <col min="7451" max="7451" width="9.83203125" style="47" customWidth="1"/>
    <col min="7452" max="7452" width="10.1640625" style="47" customWidth="1"/>
    <col min="7453" max="7453" width="9" style="47" customWidth="1"/>
    <col min="7454" max="7454" width="9.83203125" style="47" customWidth="1"/>
    <col min="7455" max="7455" width="9" style="47" customWidth="1"/>
    <col min="7456" max="7644" width="8.83203125" style="47"/>
    <col min="7645" max="7645" width="13.5" style="47" customWidth="1"/>
    <col min="7646" max="7646" width="12.83203125" style="47" customWidth="1"/>
    <col min="7647" max="7647" width="11.1640625" style="47" customWidth="1"/>
    <col min="7648" max="7648" width="10.6640625" style="47" customWidth="1"/>
    <col min="7649" max="7649" width="8.5" style="47" customWidth="1"/>
    <col min="7650" max="7659" width="0" style="47" hidden="1" customWidth="1"/>
    <col min="7660" max="7660" width="12.5" style="47" customWidth="1"/>
    <col min="7661" max="7661" width="13.6640625" style="47" customWidth="1"/>
    <col min="7662" max="7665" width="0" style="47" hidden="1" customWidth="1"/>
    <col min="7666" max="7666" width="13.6640625" style="47" customWidth="1"/>
    <col min="7667" max="7667" width="12.5" style="47" customWidth="1"/>
    <col min="7668" max="7668" width="15.5" style="47" customWidth="1"/>
    <col min="7669" max="7669" width="13.6640625" style="47" customWidth="1"/>
    <col min="7670" max="7670" width="10.83203125" style="47" customWidth="1"/>
    <col min="7671" max="7671" width="10.33203125" style="47" customWidth="1"/>
    <col min="7672" max="7673" width="9.83203125" style="47" customWidth="1"/>
    <col min="7674" max="7674" width="10.83203125" style="47" customWidth="1"/>
    <col min="7675" max="7675" width="9.33203125" style="47" customWidth="1"/>
    <col min="7676" max="7678" width="9.83203125" style="47" customWidth="1"/>
    <col min="7679" max="7679" width="14.5" style="47" customWidth="1"/>
    <col min="7680" max="7680" width="18.1640625" style="47" customWidth="1"/>
    <col min="7681" max="7681" width="13.1640625" style="47" customWidth="1"/>
    <col min="7682" max="7682" width="13" style="47" customWidth="1"/>
    <col min="7683" max="7683" width="11" style="47" customWidth="1"/>
    <col min="7684" max="7688" width="0" style="47" hidden="1" customWidth="1"/>
    <col min="7689" max="7689" width="14.33203125" style="47" customWidth="1"/>
    <col min="7690" max="7692" width="0" style="47" hidden="1" customWidth="1"/>
    <col min="7693" max="7693" width="14.33203125" style="47" customWidth="1"/>
    <col min="7694" max="7696" width="0" style="47" hidden="1" customWidth="1"/>
    <col min="7697" max="7697" width="14.33203125" style="47" customWidth="1"/>
    <col min="7698" max="7700" width="0" style="47" hidden="1" customWidth="1"/>
    <col min="7701" max="7702" width="14.33203125" style="47" customWidth="1"/>
    <col min="7703" max="7703" width="14.1640625" style="47" customWidth="1"/>
    <col min="7704" max="7704" width="10.5" style="47" customWidth="1"/>
    <col min="7705" max="7705" width="10.1640625" style="47" customWidth="1"/>
    <col min="7706" max="7706" width="11.6640625" style="47" customWidth="1"/>
    <col min="7707" max="7707" width="9.83203125" style="47" customWidth="1"/>
    <col min="7708" max="7708" width="10.1640625" style="47" customWidth="1"/>
    <col min="7709" max="7709" width="9" style="47" customWidth="1"/>
    <col min="7710" max="7710" width="9.83203125" style="47" customWidth="1"/>
    <col min="7711" max="7711" width="9" style="47" customWidth="1"/>
    <col min="7712" max="7900" width="8.83203125" style="47"/>
    <col min="7901" max="7901" width="13.5" style="47" customWidth="1"/>
    <col min="7902" max="7902" width="12.83203125" style="47" customWidth="1"/>
    <col min="7903" max="7903" width="11.1640625" style="47" customWidth="1"/>
    <col min="7904" max="7904" width="10.6640625" style="47" customWidth="1"/>
    <col min="7905" max="7905" width="8.5" style="47" customWidth="1"/>
    <col min="7906" max="7915" width="0" style="47" hidden="1" customWidth="1"/>
    <col min="7916" max="7916" width="12.5" style="47" customWidth="1"/>
    <col min="7917" max="7917" width="13.6640625" style="47" customWidth="1"/>
    <col min="7918" max="7921" width="0" style="47" hidden="1" customWidth="1"/>
    <col min="7922" max="7922" width="13.6640625" style="47" customWidth="1"/>
    <col min="7923" max="7923" width="12.5" style="47" customWidth="1"/>
    <col min="7924" max="7924" width="15.5" style="47" customWidth="1"/>
    <col min="7925" max="7925" width="13.6640625" style="47" customWidth="1"/>
    <col min="7926" max="7926" width="10.83203125" style="47" customWidth="1"/>
    <col min="7927" max="7927" width="10.33203125" style="47" customWidth="1"/>
    <col min="7928" max="7929" width="9.83203125" style="47" customWidth="1"/>
    <col min="7930" max="7930" width="10.83203125" style="47" customWidth="1"/>
    <col min="7931" max="7931" width="9.33203125" style="47" customWidth="1"/>
    <col min="7932" max="7934" width="9.83203125" style="47" customWidth="1"/>
    <col min="7935" max="7935" width="14.5" style="47" customWidth="1"/>
    <col min="7936" max="7936" width="18.1640625" style="47" customWidth="1"/>
    <col min="7937" max="7937" width="13.1640625" style="47" customWidth="1"/>
    <col min="7938" max="7938" width="13" style="47" customWidth="1"/>
    <col min="7939" max="7939" width="11" style="47" customWidth="1"/>
    <col min="7940" max="7944" width="0" style="47" hidden="1" customWidth="1"/>
    <col min="7945" max="7945" width="14.33203125" style="47" customWidth="1"/>
    <col min="7946" max="7948" width="0" style="47" hidden="1" customWidth="1"/>
    <col min="7949" max="7949" width="14.33203125" style="47" customWidth="1"/>
    <col min="7950" max="7952" width="0" style="47" hidden="1" customWidth="1"/>
    <col min="7953" max="7953" width="14.33203125" style="47" customWidth="1"/>
    <col min="7954" max="7956" width="0" style="47" hidden="1" customWidth="1"/>
    <col min="7957" max="7958" width="14.33203125" style="47" customWidth="1"/>
    <col min="7959" max="7959" width="14.1640625" style="47" customWidth="1"/>
    <col min="7960" max="7960" width="10.5" style="47" customWidth="1"/>
    <col min="7961" max="7961" width="10.1640625" style="47" customWidth="1"/>
    <col min="7962" max="7962" width="11.6640625" style="47" customWidth="1"/>
    <col min="7963" max="7963" width="9.83203125" style="47" customWidth="1"/>
    <col min="7964" max="7964" width="10.1640625" style="47" customWidth="1"/>
    <col min="7965" max="7965" width="9" style="47" customWidth="1"/>
    <col min="7966" max="7966" width="9.83203125" style="47" customWidth="1"/>
    <col min="7967" max="7967" width="9" style="47" customWidth="1"/>
    <col min="7968" max="8156" width="8.83203125" style="47"/>
    <col min="8157" max="8157" width="13.5" style="47" customWidth="1"/>
    <col min="8158" max="8158" width="12.83203125" style="47" customWidth="1"/>
    <col min="8159" max="8159" width="11.1640625" style="47" customWidth="1"/>
    <col min="8160" max="8160" width="10.6640625" style="47" customWidth="1"/>
    <col min="8161" max="8161" width="8.5" style="47" customWidth="1"/>
    <col min="8162" max="8171" width="0" style="47" hidden="1" customWidth="1"/>
    <col min="8172" max="8172" width="12.5" style="47" customWidth="1"/>
    <col min="8173" max="8173" width="13.6640625" style="47" customWidth="1"/>
    <col min="8174" max="8177" width="0" style="47" hidden="1" customWidth="1"/>
    <col min="8178" max="8178" width="13.6640625" style="47" customWidth="1"/>
    <col min="8179" max="8179" width="12.5" style="47" customWidth="1"/>
    <col min="8180" max="8180" width="15.5" style="47" customWidth="1"/>
    <col min="8181" max="8181" width="13.6640625" style="47" customWidth="1"/>
    <col min="8182" max="8182" width="10.83203125" style="47" customWidth="1"/>
    <col min="8183" max="8183" width="10.33203125" style="47" customWidth="1"/>
    <col min="8184" max="8185" width="9.83203125" style="47" customWidth="1"/>
    <col min="8186" max="8186" width="10.83203125" style="47" customWidth="1"/>
    <col min="8187" max="8187" width="9.33203125" style="47" customWidth="1"/>
    <col min="8188" max="8190" width="9.83203125" style="47" customWidth="1"/>
    <col min="8191" max="8191" width="14.5" style="47" customWidth="1"/>
    <col min="8192" max="8192" width="18.1640625" style="47" customWidth="1"/>
    <col min="8193" max="8193" width="13.1640625" style="47" customWidth="1"/>
    <col min="8194" max="8194" width="13" style="47" customWidth="1"/>
    <col min="8195" max="8195" width="11" style="47" customWidth="1"/>
    <col min="8196" max="8200" width="0" style="47" hidden="1" customWidth="1"/>
    <col min="8201" max="8201" width="14.33203125" style="47" customWidth="1"/>
    <col min="8202" max="8204" width="0" style="47" hidden="1" customWidth="1"/>
    <col min="8205" max="8205" width="14.33203125" style="47" customWidth="1"/>
    <col min="8206" max="8208" width="0" style="47" hidden="1" customWidth="1"/>
    <col min="8209" max="8209" width="14.33203125" style="47" customWidth="1"/>
    <col min="8210" max="8212" width="0" style="47" hidden="1" customWidth="1"/>
    <col min="8213" max="8214" width="14.33203125" style="47" customWidth="1"/>
    <col min="8215" max="8215" width="14.1640625" style="47" customWidth="1"/>
    <col min="8216" max="8216" width="10.5" style="47" customWidth="1"/>
    <col min="8217" max="8217" width="10.1640625" style="47" customWidth="1"/>
    <col min="8218" max="8218" width="11.6640625" style="47" customWidth="1"/>
    <col min="8219" max="8219" width="9.83203125" style="47" customWidth="1"/>
    <col min="8220" max="8220" width="10.1640625" style="47" customWidth="1"/>
    <col min="8221" max="8221" width="9" style="47" customWidth="1"/>
    <col min="8222" max="8222" width="9.83203125" style="47" customWidth="1"/>
    <col min="8223" max="8223" width="9" style="47" customWidth="1"/>
    <col min="8224" max="8412" width="8.83203125" style="47"/>
    <col min="8413" max="8413" width="13.5" style="47" customWidth="1"/>
    <col min="8414" max="8414" width="12.83203125" style="47" customWidth="1"/>
    <col min="8415" max="8415" width="11.1640625" style="47" customWidth="1"/>
    <col min="8416" max="8416" width="10.6640625" style="47" customWidth="1"/>
    <col min="8417" max="8417" width="8.5" style="47" customWidth="1"/>
    <col min="8418" max="8427" width="0" style="47" hidden="1" customWidth="1"/>
    <col min="8428" max="8428" width="12.5" style="47" customWidth="1"/>
    <col min="8429" max="8429" width="13.6640625" style="47" customWidth="1"/>
    <col min="8430" max="8433" width="0" style="47" hidden="1" customWidth="1"/>
    <col min="8434" max="8434" width="13.6640625" style="47" customWidth="1"/>
    <col min="8435" max="8435" width="12.5" style="47" customWidth="1"/>
    <col min="8436" max="8436" width="15.5" style="47" customWidth="1"/>
    <col min="8437" max="8437" width="13.6640625" style="47" customWidth="1"/>
    <col min="8438" max="8438" width="10.83203125" style="47" customWidth="1"/>
    <col min="8439" max="8439" width="10.33203125" style="47" customWidth="1"/>
    <col min="8440" max="8441" width="9.83203125" style="47" customWidth="1"/>
    <col min="8442" max="8442" width="10.83203125" style="47" customWidth="1"/>
    <col min="8443" max="8443" width="9.33203125" style="47" customWidth="1"/>
    <col min="8444" max="8446" width="9.83203125" style="47" customWidth="1"/>
    <col min="8447" max="8447" width="14.5" style="47" customWidth="1"/>
    <col min="8448" max="8448" width="18.1640625" style="47" customWidth="1"/>
    <col min="8449" max="8449" width="13.1640625" style="47" customWidth="1"/>
    <col min="8450" max="8450" width="13" style="47" customWidth="1"/>
    <col min="8451" max="8451" width="11" style="47" customWidth="1"/>
    <col min="8452" max="8456" width="0" style="47" hidden="1" customWidth="1"/>
    <col min="8457" max="8457" width="14.33203125" style="47" customWidth="1"/>
    <col min="8458" max="8460" width="0" style="47" hidden="1" customWidth="1"/>
    <col min="8461" max="8461" width="14.33203125" style="47" customWidth="1"/>
    <col min="8462" max="8464" width="0" style="47" hidden="1" customWidth="1"/>
    <col min="8465" max="8465" width="14.33203125" style="47" customWidth="1"/>
    <col min="8466" max="8468" width="0" style="47" hidden="1" customWidth="1"/>
    <col min="8469" max="8470" width="14.33203125" style="47" customWidth="1"/>
    <col min="8471" max="8471" width="14.1640625" style="47" customWidth="1"/>
    <col min="8472" max="8472" width="10.5" style="47" customWidth="1"/>
    <col min="8473" max="8473" width="10.1640625" style="47" customWidth="1"/>
    <col min="8474" max="8474" width="11.6640625" style="47" customWidth="1"/>
    <col min="8475" max="8475" width="9.83203125" style="47" customWidth="1"/>
    <col min="8476" max="8476" width="10.1640625" style="47" customWidth="1"/>
    <col min="8477" max="8477" width="9" style="47" customWidth="1"/>
    <col min="8478" max="8478" width="9.83203125" style="47" customWidth="1"/>
    <col min="8479" max="8479" width="9" style="47" customWidth="1"/>
    <col min="8480" max="8668" width="8.83203125" style="47"/>
    <col min="8669" max="8669" width="13.5" style="47" customWidth="1"/>
    <col min="8670" max="8670" width="12.83203125" style="47" customWidth="1"/>
    <col min="8671" max="8671" width="11.1640625" style="47" customWidth="1"/>
    <col min="8672" max="8672" width="10.6640625" style="47" customWidth="1"/>
    <col min="8673" max="8673" width="8.5" style="47" customWidth="1"/>
    <col min="8674" max="8683" width="0" style="47" hidden="1" customWidth="1"/>
    <col min="8684" max="8684" width="12.5" style="47" customWidth="1"/>
    <col min="8685" max="8685" width="13.6640625" style="47" customWidth="1"/>
    <col min="8686" max="8689" width="0" style="47" hidden="1" customWidth="1"/>
    <col min="8690" max="8690" width="13.6640625" style="47" customWidth="1"/>
    <col min="8691" max="8691" width="12.5" style="47" customWidth="1"/>
    <col min="8692" max="8692" width="15.5" style="47" customWidth="1"/>
    <col min="8693" max="8693" width="13.6640625" style="47" customWidth="1"/>
    <col min="8694" max="8694" width="10.83203125" style="47" customWidth="1"/>
    <col min="8695" max="8695" width="10.33203125" style="47" customWidth="1"/>
    <col min="8696" max="8697" width="9.83203125" style="47" customWidth="1"/>
    <col min="8698" max="8698" width="10.83203125" style="47" customWidth="1"/>
    <col min="8699" max="8699" width="9.33203125" style="47" customWidth="1"/>
    <col min="8700" max="8702" width="9.83203125" style="47" customWidth="1"/>
    <col min="8703" max="8703" width="14.5" style="47" customWidth="1"/>
    <col min="8704" max="8704" width="18.1640625" style="47" customWidth="1"/>
    <col min="8705" max="8705" width="13.1640625" style="47" customWidth="1"/>
    <col min="8706" max="8706" width="13" style="47" customWidth="1"/>
    <col min="8707" max="8707" width="11" style="47" customWidth="1"/>
    <col min="8708" max="8712" width="0" style="47" hidden="1" customWidth="1"/>
    <col min="8713" max="8713" width="14.33203125" style="47" customWidth="1"/>
    <col min="8714" max="8716" width="0" style="47" hidden="1" customWidth="1"/>
    <col min="8717" max="8717" width="14.33203125" style="47" customWidth="1"/>
    <col min="8718" max="8720" width="0" style="47" hidden="1" customWidth="1"/>
    <col min="8721" max="8721" width="14.33203125" style="47" customWidth="1"/>
    <col min="8722" max="8724" width="0" style="47" hidden="1" customWidth="1"/>
    <col min="8725" max="8726" width="14.33203125" style="47" customWidth="1"/>
    <col min="8727" max="8727" width="14.1640625" style="47" customWidth="1"/>
    <col min="8728" max="8728" width="10.5" style="47" customWidth="1"/>
    <col min="8729" max="8729" width="10.1640625" style="47" customWidth="1"/>
    <col min="8730" max="8730" width="11.6640625" style="47" customWidth="1"/>
    <col min="8731" max="8731" width="9.83203125" style="47" customWidth="1"/>
    <col min="8732" max="8732" width="10.1640625" style="47" customWidth="1"/>
    <col min="8733" max="8733" width="9" style="47" customWidth="1"/>
    <col min="8734" max="8734" width="9.83203125" style="47" customWidth="1"/>
    <col min="8735" max="8735" width="9" style="47" customWidth="1"/>
    <col min="8736" max="8924" width="8.83203125" style="47"/>
    <col min="8925" max="8925" width="13.5" style="47" customWidth="1"/>
    <col min="8926" max="8926" width="12.83203125" style="47" customWidth="1"/>
    <col min="8927" max="8927" width="11.1640625" style="47" customWidth="1"/>
    <col min="8928" max="8928" width="10.6640625" style="47" customWidth="1"/>
    <col min="8929" max="8929" width="8.5" style="47" customWidth="1"/>
    <col min="8930" max="8939" width="0" style="47" hidden="1" customWidth="1"/>
    <col min="8940" max="8940" width="12.5" style="47" customWidth="1"/>
    <col min="8941" max="8941" width="13.6640625" style="47" customWidth="1"/>
    <col min="8942" max="8945" width="0" style="47" hidden="1" customWidth="1"/>
    <col min="8946" max="8946" width="13.6640625" style="47" customWidth="1"/>
    <col min="8947" max="8947" width="12.5" style="47" customWidth="1"/>
    <col min="8948" max="8948" width="15.5" style="47" customWidth="1"/>
    <col min="8949" max="8949" width="13.6640625" style="47" customWidth="1"/>
    <col min="8950" max="8950" width="10.83203125" style="47" customWidth="1"/>
    <col min="8951" max="8951" width="10.33203125" style="47" customWidth="1"/>
    <col min="8952" max="8953" width="9.83203125" style="47" customWidth="1"/>
    <col min="8954" max="8954" width="10.83203125" style="47" customWidth="1"/>
    <col min="8955" max="8955" width="9.33203125" style="47" customWidth="1"/>
    <col min="8956" max="8958" width="9.83203125" style="47" customWidth="1"/>
    <col min="8959" max="8959" width="14.5" style="47" customWidth="1"/>
    <col min="8960" max="8960" width="18.1640625" style="47" customWidth="1"/>
    <col min="8961" max="8961" width="13.1640625" style="47" customWidth="1"/>
    <col min="8962" max="8962" width="13" style="47" customWidth="1"/>
    <col min="8963" max="8963" width="11" style="47" customWidth="1"/>
    <col min="8964" max="8968" width="0" style="47" hidden="1" customWidth="1"/>
    <col min="8969" max="8969" width="14.33203125" style="47" customWidth="1"/>
    <col min="8970" max="8972" width="0" style="47" hidden="1" customWidth="1"/>
    <col min="8973" max="8973" width="14.33203125" style="47" customWidth="1"/>
    <col min="8974" max="8976" width="0" style="47" hidden="1" customWidth="1"/>
    <col min="8977" max="8977" width="14.33203125" style="47" customWidth="1"/>
    <col min="8978" max="8980" width="0" style="47" hidden="1" customWidth="1"/>
    <col min="8981" max="8982" width="14.33203125" style="47" customWidth="1"/>
    <col min="8983" max="8983" width="14.1640625" style="47" customWidth="1"/>
    <col min="8984" max="8984" width="10.5" style="47" customWidth="1"/>
    <col min="8985" max="8985" width="10.1640625" style="47" customWidth="1"/>
    <col min="8986" max="8986" width="11.6640625" style="47" customWidth="1"/>
    <col min="8987" max="8987" width="9.83203125" style="47" customWidth="1"/>
    <col min="8988" max="8988" width="10.1640625" style="47" customWidth="1"/>
    <col min="8989" max="8989" width="9" style="47" customWidth="1"/>
    <col min="8990" max="8990" width="9.83203125" style="47" customWidth="1"/>
    <col min="8991" max="8991" width="9" style="47" customWidth="1"/>
    <col min="8992" max="9180" width="8.83203125" style="47"/>
    <col min="9181" max="9181" width="13.5" style="47" customWidth="1"/>
    <col min="9182" max="9182" width="12.83203125" style="47" customWidth="1"/>
    <col min="9183" max="9183" width="11.1640625" style="47" customWidth="1"/>
    <col min="9184" max="9184" width="10.6640625" style="47" customWidth="1"/>
    <col min="9185" max="9185" width="8.5" style="47" customWidth="1"/>
    <col min="9186" max="9195" width="0" style="47" hidden="1" customWidth="1"/>
    <col min="9196" max="9196" width="12.5" style="47" customWidth="1"/>
    <col min="9197" max="9197" width="13.6640625" style="47" customWidth="1"/>
    <col min="9198" max="9201" width="0" style="47" hidden="1" customWidth="1"/>
    <col min="9202" max="9202" width="13.6640625" style="47" customWidth="1"/>
    <col min="9203" max="9203" width="12.5" style="47" customWidth="1"/>
    <col min="9204" max="9204" width="15.5" style="47" customWidth="1"/>
    <col min="9205" max="9205" width="13.6640625" style="47" customWidth="1"/>
    <col min="9206" max="9206" width="10.83203125" style="47" customWidth="1"/>
    <col min="9207" max="9207" width="10.33203125" style="47" customWidth="1"/>
    <col min="9208" max="9209" width="9.83203125" style="47" customWidth="1"/>
    <col min="9210" max="9210" width="10.83203125" style="47" customWidth="1"/>
    <col min="9211" max="9211" width="9.33203125" style="47" customWidth="1"/>
    <col min="9212" max="9214" width="9.83203125" style="47" customWidth="1"/>
    <col min="9215" max="9215" width="14.5" style="47" customWidth="1"/>
    <col min="9216" max="9216" width="18.1640625" style="47" customWidth="1"/>
    <col min="9217" max="9217" width="13.1640625" style="47" customWidth="1"/>
    <col min="9218" max="9218" width="13" style="47" customWidth="1"/>
    <col min="9219" max="9219" width="11" style="47" customWidth="1"/>
    <col min="9220" max="9224" width="0" style="47" hidden="1" customWidth="1"/>
    <col min="9225" max="9225" width="14.33203125" style="47" customWidth="1"/>
    <col min="9226" max="9228" width="0" style="47" hidden="1" customWidth="1"/>
    <col min="9229" max="9229" width="14.33203125" style="47" customWidth="1"/>
    <col min="9230" max="9232" width="0" style="47" hidden="1" customWidth="1"/>
    <col min="9233" max="9233" width="14.33203125" style="47" customWidth="1"/>
    <col min="9234" max="9236" width="0" style="47" hidden="1" customWidth="1"/>
    <col min="9237" max="9238" width="14.33203125" style="47" customWidth="1"/>
    <col min="9239" max="9239" width="14.1640625" style="47" customWidth="1"/>
    <col min="9240" max="9240" width="10.5" style="47" customWidth="1"/>
    <col min="9241" max="9241" width="10.1640625" style="47" customWidth="1"/>
    <col min="9242" max="9242" width="11.6640625" style="47" customWidth="1"/>
    <col min="9243" max="9243" width="9.83203125" style="47" customWidth="1"/>
    <col min="9244" max="9244" width="10.1640625" style="47" customWidth="1"/>
    <col min="9245" max="9245" width="9" style="47" customWidth="1"/>
    <col min="9246" max="9246" width="9.83203125" style="47" customWidth="1"/>
    <col min="9247" max="9247" width="9" style="47" customWidth="1"/>
    <col min="9248" max="9436" width="8.83203125" style="47"/>
    <col min="9437" max="9437" width="13.5" style="47" customWidth="1"/>
    <col min="9438" max="9438" width="12.83203125" style="47" customWidth="1"/>
    <col min="9439" max="9439" width="11.1640625" style="47" customWidth="1"/>
    <col min="9440" max="9440" width="10.6640625" style="47" customWidth="1"/>
    <col min="9441" max="9441" width="8.5" style="47" customWidth="1"/>
    <col min="9442" max="9451" width="0" style="47" hidden="1" customWidth="1"/>
    <col min="9452" max="9452" width="12.5" style="47" customWidth="1"/>
    <col min="9453" max="9453" width="13.6640625" style="47" customWidth="1"/>
    <col min="9454" max="9457" width="0" style="47" hidden="1" customWidth="1"/>
    <col min="9458" max="9458" width="13.6640625" style="47" customWidth="1"/>
    <col min="9459" max="9459" width="12.5" style="47" customWidth="1"/>
    <col min="9460" max="9460" width="15.5" style="47" customWidth="1"/>
    <col min="9461" max="9461" width="13.6640625" style="47" customWidth="1"/>
    <col min="9462" max="9462" width="10.83203125" style="47" customWidth="1"/>
    <col min="9463" max="9463" width="10.33203125" style="47" customWidth="1"/>
    <col min="9464" max="9465" width="9.83203125" style="47" customWidth="1"/>
    <col min="9466" max="9466" width="10.83203125" style="47" customWidth="1"/>
    <col min="9467" max="9467" width="9.33203125" style="47" customWidth="1"/>
    <col min="9468" max="9470" width="9.83203125" style="47" customWidth="1"/>
    <col min="9471" max="9471" width="14.5" style="47" customWidth="1"/>
    <col min="9472" max="9472" width="18.1640625" style="47" customWidth="1"/>
    <col min="9473" max="9473" width="13.1640625" style="47" customWidth="1"/>
    <col min="9474" max="9474" width="13" style="47" customWidth="1"/>
    <col min="9475" max="9475" width="11" style="47" customWidth="1"/>
    <col min="9476" max="9480" width="0" style="47" hidden="1" customWidth="1"/>
    <col min="9481" max="9481" width="14.33203125" style="47" customWidth="1"/>
    <col min="9482" max="9484" width="0" style="47" hidden="1" customWidth="1"/>
    <col min="9485" max="9485" width="14.33203125" style="47" customWidth="1"/>
    <col min="9486" max="9488" width="0" style="47" hidden="1" customWidth="1"/>
    <col min="9489" max="9489" width="14.33203125" style="47" customWidth="1"/>
    <col min="9490" max="9492" width="0" style="47" hidden="1" customWidth="1"/>
    <col min="9493" max="9494" width="14.33203125" style="47" customWidth="1"/>
    <col min="9495" max="9495" width="14.1640625" style="47" customWidth="1"/>
    <col min="9496" max="9496" width="10.5" style="47" customWidth="1"/>
    <col min="9497" max="9497" width="10.1640625" style="47" customWidth="1"/>
    <col min="9498" max="9498" width="11.6640625" style="47" customWidth="1"/>
    <col min="9499" max="9499" width="9.83203125" style="47" customWidth="1"/>
    <col min="9500" max="9500" width="10.1640625" style="47" customWidth="1"/>
    <col min="9501" max="9501" width="9" style="47" customWidth="1"/>
    <col min="9502" max="9502" width="9.83203125" style="47" customWidth="1"/>
    <col min="9503" max="9503" width="9" style="47" customWidth="1"/>
    <col min="9504" max="9692" width="8.83203125" style="47"/>
    <col min="9693" max="9693" width="13.5" style="47" customWidth="1"/>
    <col min="9694" max="9694" width="12.83203125" style="47" customWidth="1"/>
    <col min="9695" max="9695" width="11.1640625" style="47" customWidth="1"/>
    <col min="9696" max="9696" width="10.6640625" style="47" customWidth="1"/>
    <col min="9697" max="9697" width="8.5" style="47" customWidth="1"/>
    <col min="9698" max="9707" width="0" style="47" hidden="1" customWidth="1"/>
    <col min="9708" max="9708" width="12.5" style="47" customWidth="1"/>
    <col min="9709" max="9709" width="13.6640625" style="47" customWidth="1"/>
    <col min="9710" max="9713" width="0" style="47" hidden="1" customWidth="1"/>
    <col min="9714" max="9714" width="13.6640625" style="47" customWidth="1"/>
    <col min="9715" max="9715" width="12.5" style="47" customWidth="1"/>
    <col min="9716" max="9716" width="15.5" style="47" customWidth="1"/>
    <col min="9717" max="9717" width="13.6640625" style="47" customWidth="1"/>
    <col min="9718" max="9718" width="10.83203125" style="47" customWidth="1"/>
    <col min="9719" max="9719" width="10.33203125" style="47" customWidth="1"/>
    <col min="9720" max="9721" width="9.83203125" style="47" customWidth="1"/>
    <col min="9722" max="9722" width="10.83203125" style="47" customWidth="1"/>
    <col min="9723" max="9723" width="9.33203125" style="47" customWidth="1"/>
    <col min="9724" max="9726" width="9.83203125" style="47" customWidth="1"/>
    <col min="9727" max="9727" width="14.5" style="47" customWidth="1"/>
    <col min="9728" max="9728" width="18.1640625" style="47" customWidth="1"/>
    <col min="9729" max="9729" width="13.1640625" style="47" customWidth="1"/>
    <col min="9730" max="9730" width="13" style="47" customWidth="1"/>
    <col min="9731" max="9731" width="11" style="47" customWidth="1"/>
    <col min="9732" max="9736" width="0" style="47" hidden="1" customWidth="1"/>
    <col min="9737" max="9737" width="14.33203125" style="47" customWidth="1"/>
    <col min="9738" max="9740" width="0" style="47" hidden="1" customWidth="1"/>
    <col min="9741" max="9741" width="14.33203125" style="47" customWidth="1"/>
    <col min="9742" max="9744" width="0" style="47" hidden="1" customWidth="1"/>
    <col min="9745" max="9745" width="14.33203125" style="47" customWidth="1"/>
    <col min="9746" max="9748" width="0" style="47" hidden="1" customWidth="1"/>
    <col min="9749" max="9750" width="14.33203125" style="47" customWidth="1"/>
    <col min="9751" max="9751" width="14.1640625" style="47" customWidth="1"/>
    <col min="9752" max="9752" width="10.5" style="47" customWidth="1"/>
    <col min="9753" max="9753" width="10.1640625" style="47" customWidth="1"/>
    <col min="9754" max="9754" width="11.6640625" style="47" customWidth="1"/>
    <col min="9755" max="9755" width="9.83203125" style="47" customWidth="1"/>
    <col min="9756" max="9756" width="10.1640625" style="47" customWidth="1"/>
    <col min="9757" max="9757" width="9" style="47" customWidth="1"/>
    <col min="9758" max="9758" width="9.83203125" style="47" customWidth="1"/>
    <col min="9759" max="9759" width="9" style="47" customWidth="1"/>
    <col min="9760" max="9948" width="8.83203125" style="47"/>
    <col min="9949" max="9949" width="13.5" style="47" customWidth="1"/>
    <col min="9950" max="9950" width="12.83203125" style="47" customWidth="1"/>
    <col min="9951" max="9951" width="11.1640625" style="47" customWidth="1"/>
    <col min="9952" max="9952" width="10.6640625" style="47" customWidth="1"/>
    <col min="9953" max="9953" width="8.5" style="47" customWidth="1"/>
    <col min="9954" max="9963" width="0" style="47" hidden="1" customWidth="1"/>
    <col min="9964" max="9964" width="12.5" style="47" customWidth="1"/>
    <col min="9965" max="9965" width="13.6640625" style="47" customWidth="1"/>
    <col min="9966" max="9969" width="0" style="47" hidden="1" customWidth="1"/>
    <col min="9970" max="9970" width="13.6640625" style="47" customWidth="1"/>
    <col min="9971" max="9971" width="12.5" style="47" customWidth="1"/>
    <col min="9972" max="9972" width="15.5" style="47" customWidth="1"/>
    <col min="9973" max="9973" width="13.6640625" style="47" customWidth="1"/>
    <col min="9974" max="9974" width="10.83203125" style="47" customWidth="1"/>
    <col min="9975" max="9975" width="10.33203125" style="47" customWidth="1"/>
    <col min="9976" max="9977" width="9.83203125" style="47" customWidth="1"/>
    <col min="9978" max="9978" width="10.83203125" style="47" customWidth="1"/>
    <col min="9979" max="9979" width="9.33203125" style="47" customWidth="1"/>
    <col min="9980" max="9982" width="9.83203125" style="47" customWidth="1"/>
    <col min="9983" max="9983" width="14.5" style="47" customWidth="1"/>
    <col min="9984" max="9984" width="18.1640625" style="47" customWidth="1"/>
    <col min="9985" max="9985" width="13.1640625" style="47" customWidth="1"/>
    <col min="9986" max="9986" width="13" style="47" customWidth="1"/>
    <col min="9987" max="9987" width="11" style="47" customWidth="1"/>
    <col min="9988" max="9992" width="0" style="47" hidden="1" customWidth="1"/>
    <col min="9993" max="9993" width="14.33203125" style="47" customWidth="1"/>
    <col min="9994" max="9996" width="0" style="47" hidden="1" customWidth="1"/>
    <col min="9997" max="9997" width="14.33203125" style="47" customWidth="1"/>
    <col min="9998" max="10000" width="0" style="47" hidden="1" customWidth="1"/>
    <col min="10001" max="10001" width="14.33203125" style="47" customWidth="1"/>
    <col min="10002" max="10004" width="0" style="47" hidden="1" customWidth="1"/>
    <col min="10005" max="10006" width="14.33203125" style="47" customWidth="1"/>
    <col min="10007" max="10007" width="14.1640625" style="47" customWidth="1"/>
    <col min="10008" max="10008" width="10.5" style="47" customWidth="1"/>
    <col min="10009" max="10009" width="10.1640625" style="47" customWidth="1"/>
    <col min="10010" max="10010" width="11.6640625" style="47" customWidth="1"/>
    <col min="10011" max="10011" width="9.83203125" style="47" customWidth="1"/>
    <col min="10012" max="10012" width="10.1640625" style="47" customWidth="1"/>
    <col min="10013" max="10013" width="9" style="47" customWidth="1"/>
    <col min="10014" max="10014" width="9.83203125" style="47" customWidth="1"/>
    <col min="10015" max="10015" width="9" style="47" customWidth="1"/>
    <col min="10016" max="10204" width="8.83203125" style="47"/>
    <col min="10205" max="10205" width="13.5" style="47" customWidth="1"/>
    <col min="10206" max="10206" width="12.83203125" style="47" customWidth="1"/>
    <col min="10207" max="10207" width="11.1640625" style="47" customWidth="1"/>
    <col min="10208" max="10208" width="10.6640625" style="47" customWidth="1"/>
    <col min="10209" max="10209" width="8.5" style="47" customWidth="1"/>
    <col min="10210" max="10219" width="0" style="47" hidden="1" customWidth="1"/>
    <col min="10220" max="10220" width="12.5" style="47" customWidth="1"/>
    <col min="10221" max="10221" width="13.6640625" style="47" customWidth="1"/>
    <col min="10222" max="10225" width="0" style="47" hidden="1" customWidth="1"/>
    <col min="10226" max="10226" width="13.6640625" style="47" customWidth="1"/>
    <col min="10227" max="10227" width="12.5" style="47" customWidth="1"/>
    <col min="10228" max="10228" width="15.5" style="47" customWidth="1"/>
    <col min="10229" max="10229" width="13.6640625" style="47" customWidth="1"/>
    <col min="10230" max="10230" width="10.83203125" style="47" customWidth="1"/>
    <col min="10231" max="10231" width="10.33203125" style="47" customWidth="1"/>
    <col min="10232" max="10233" width="9.83203125" style="47" customWidth="1"/>
    <col min="10234" max="10234" width="10.83203125" style="47" customWidth="1"/>
    <col min="10235" max="10235" width="9.33203125" style="47" customWidth="1"/>
    <col min="10236" max="10238" width="9.83203125" style="47" customWidth="1"/>
    <col min="10239" max="10239" width="14.5" style="47" customWidth="1"/>
    <col min="10240" max="10240" width="18.1640625" style="47" customWidth="1"/>
    <col min="10241" max="10241" width="13.1640625" style="47" customWidth="1"/>
    <col min="10242" max="10242" width="13" style="47" customWidth="1"/>
    <col min="10243" max="10243" width="11" style="47" customWidth="1"/>
    <col min="10244" max="10248" width="0" style="47" hidden="1" customWidth="1"/>
    <col min="10249" max="10249" width="14.33203125" style="47" customWidth="1"/>
    <col min="10250" max="10252" width="0" style="47" hidden="1" customWidth="1"/>
    <col min="10253" max="10253" width="14.33203125" style="47" customWidth="1"/>
    <col min="10254" max="10256" width="0" style="47" hidden="1" customWidth="1"/>
    <col min="10257" max="10257" width="14.33203125" style="47" customWidth="1"/>
    <col min="10258" max="10260" width="0" style="47" hidden="1" customWidth="1"/>
    <col min="10261" max="10262" width="14.33203125" style="47" customWidth="1"/>
    <col min="10263" max="10263" width="14.1640625" style="47" customWidth="1"/>
    <col min="10264" max="10264" width="10.5" style="47" customWidth="1"/>
    <col min="10265" max="10265" width="10.1640625" style="47" customWidth="1"/>
    <col min="10266" max="10266" width="11.6640625" style="47" customWidth="1"/>
    <col min="10267" max="10267" width="9.83203125" style="47" customWidth="1"/>
    <col min="10268" max="10268" width="10.1640625" style="47" customWidth="1"/>
    <col min="10269" max="10269" width="9" style="47" customWidth="1"/>
    <col min="10270" max="10270" width="9.83203125" style="47" customWidth="1"/>
    <col min="10271" max="10271" width="9" style="47" customWidth="1"/>
    <col min="10272" max="10460" width="8.83203125" style="47"/>
    <col min="10461" max="10461" width="13.5" style="47" customWidth="1"/>
    <col min="10462" max="10462" width="12.83203125" style="47" customWidth="1"/>
    <col min="10463" max="10463" width="11.1640625" style="47" customWidth="1"/>
    <col min="10464" max="10464" width="10.6640625" style="47" customWidth="1"/>
    <col min="10465" max="10465" width="8.5" style="47" customWidth="1"/>
    <col min="10466" max="10475" width="0" style="47" hidden="1" customWidth="1"/>
    <col min="10476" max="10476" width="12.5" style="47" customWidth="1"/>
    <col min="10477" max="10477" width="13.6640625" style="47" customWidth="1"/>
    <col min="10478" max="10481" width="0" style="47" hidden="1" customWidth="1"/>
    <col min="10482" max="10482" width="13.6640625" style="47" customWidth="1"/>
    <col min="10483" max="10483" width="12.5" style="47" customWidth="1"/>
    <col min="10484" max="10484" width="15.5" style="47" customWidth="1"/>
    <col min="10485" max="10485" width="13.6640625" style="47" customWidth="1"/>
    <col min="10486" max="10486" width="10.83203125" style="47" customWidth="1"/>
    <col min="10487" max="10487" width="10.33203125" style="47" customWidth="1"/>
    <col min="10488" max="10489" width="9.83203125" style="47" customWidth="1"/>
    <col min="10490" max="10490" width="10.83203125" style="47" customWidth="1"/>
    <col min="10491" max="10491" width="9.33203125" style="47" customWidth="1"/>
    <col min="10492" max="10494" width="9.83203125" style="47" customWidth="1"/>
    <col min="10495" max="10495" width="14.5" style="47" customWidth="1"/>
    <col min="10496" max="10496" width="18.1640625" style="47" customWidth="1"/>
    <col min="10497" max="10497" width="13.1640625" style="47" customWidth="1"/>
    <col min="10498" max="10498" width="13" style="47" customWidth="1"/>
    <col min="10499" max="10499" width="11" style="47" customWidth="1"/>
    <col min="10500" max="10504" width="0" style="47" hidden="1" customWidth="1"/>
    <col min="10505" max="10505" width="14.33203125" style="47" customWidth="1"/>
    <col min="10506" max="10508" width="0" style="47" hidden="1" customWidth="1"/>
    <col min="10509" max="10509" width="14.33203125" style="47" customWidth="1"/>
    <col min="10510" max="10512" width="0" style="47" hidden="1" customWidth="1"/>
    <col min="10513" max="10513" width="14.33203125" style="47" customWidth="1"/>
    <col min="10514" max="10516" width="0" style="47" hidden="1" customWidth="1"/>
    <col min="10517" max="10518" width="14.33203125" style="47" customWidth="1"/>
    <col min="10519" max="10519" width="14.1640625" style="47" customWidth="1"/>
    <col min="10520" max="10520" width="10.5" style="47" customWidth="1"/>
    <col min="10521" max="10521" width="10.1640625" style="47" customWidth="1"/>
    <col min="10522" max="10522" width="11.6640625" style="47" customWidth="1"/>
    <col min="10523" max="10523" width="9.83203125" style="47" customWidth="1"/>
    <col min="10524" max="10524" width="10.1640625" style="47" customWidth="1"/>
    <col min="10525" max="10525" width="9" style="47" customWidth="1"/>
    <col min="10526" max="10526" width="9.83203125" style="47" customWidth="1"/>
    <col min="10527" max="10527" width="9" style="47" customWidth="1"/>
    <col min="10528" max="10716" width="8.83203125" style="47"/>
    <col min="10717" max="10717" width="13.5" style="47" customWidth="1"/>
    <col min="10718" max="10718" width="12.83203125" style="47" customWidth="1"/>
    <col min="10719" max="10719" width="11.1640625" style="47" customWidth="1"/>
    <col min="10720" max="10720" width="10.6640625" style="47" customWidth="1"/>
    <col min="10721" max="10721" width="8.5" style="47" customWidth="1"/>
    <col min="10722" max="10731" width="0" style="47" hidden="1" customWidth="1"/>
    <col min="10732" max="10732" width="12.5" style="47" customWidth="1"/>
    <col min="10733" max="10733" width="13.6640625" style="47" customWidth="1"/>
    <col min="10734" max="10737" width="0" style="47" hidden="1" customWidth="1"/>
    <col min="10738" max="10738" width="13.6640625" style="47" customWidth="1"/>
    <col min="10739" max="10739" width="12.5" style="47" customWidth="1"/>
    <col min="10740" max="10740" width="15.5" style="47" customWidth="1"/>
    <col min="10741" max="10741" width="13.6640625" style="47" customWidth="1"/>
    <col min="10742" max="10742" width="10.83203125" style="47" customWidth="1"/>
    <col min="10743" max="10743" width="10.33203125" style="47" customWidth="1"/>
    <col min="10744" max="10745" width="9.83203125" style="47" customWidth="1"/>
    <col min="10746" max="10746" width="10.83203125" style="47" customWidth="1"/>
    <col min="10747" max="10747" width="9.33203125" style="47" customWidth="1"/>
    <col min="10748" max="10750" width="9.83203125" style="47" customWidth="1"/>
    <col min="10751" max="10751" width="14.5" style="47" customWidth="1"/>
    <col min="10752" max="10752" width="18.1640625" style="47" customWidth="1"/>
    <col min="10753" max="10753" width="13.1640625" style="47" customWidth="1"/>
    <col min="10754" max="10754" width="13" style="47" customWidth="1"/>
    <col min="10755" max="10755" width="11" style="47" customWidth="1"/>
    <col min="10756" max="10760" width="0" style="47" hidden="1" customWidth="1"/>
    <col min="10761" max="10761" width="14.33203125" style="47" customWidth="1"/>
    <col min="10762" max="10764" width="0" style="47" hidden="1" customWidth="1"/>
    <col min="10765" max="10765" width="14.33203125" style="47" customWidth="1"/>
    <col min="10766" max="10768" width="0" style="47" hidden="1" customWidth="1"/>
    <col min="10769" max="10769" width="14.33203125" style="47" customWidth="1"/>
    <col min="10770" max="10772" width="0" style="47" hidden="1" customWidth="1"/>
    <col min="10773" max="10774" width="14.33203125" style="47" customWidth="1"/>
    <col min="10775" max="10775" width="14.1640625" style="47" customWidth="1"/>
    <col min="10776" max="10776" width="10.5" style="47" customWidth="1"/>
    <col min="10777" max="10777" width="10.1640625" style="47" customWidth="1"/>
    <col min="10778" max="10778" width="11.6640625" style="47" customWidth="1"/>
    <col min="10779" max="10779" width="9.83203125" style="47" customWidth="1"/>
    <col min="10780" max="10780" width="10.1640625" style="47" customWidth="1"/>
    <col min="10781" max="10781" width="9" style="47" customWidth="1"/>
    <col min="10782" max="10782" width="9.83203125" style="47" customWidth="1"/>
    <col min="10783" max="10783" width="9" style="47" customWidth="1"/>
    <col min="10784" max="10972" width="8.83203125" style="47"/>
    <col min="10973" max="10973" width="13.5" style="47" customWidth="1"/>
    <col min="10974" max="10974" width="12.83203125" style="47" customWidth="1"/>
    <col min="10975" max="10975" width="11.1640625" style="47" customWidth="1"/>
    <col min="10976" max="10976" width="10.6640625" style="47" customWidth="1"/>
    <col min="10977" max="10977" width="8.5" style="47" customWidth="1"/>
    <col min="10978" max="10987" width="0" style="47" hidden="1" customWidth="1"/>
    <col min="10988" max="10988" width="12.5" style="47" customWidth="1"/>
    <col min="10989" max="10989" width="13.6640625" style="47" customWidth="1"/>
    <col min="10990" max="10993" width="0" style="47" hidden="1" customWidth="1"/>
    <col min="10994" max="10994" width="13.6640625" style="47" customWidth="1"/>
    <col min="10995" max="10995" width="12.5" style="47" customWidth="1"/>
    <col min="10996" max="10996" width="15.5" style="47" customWidth="1"/>
    <col min="10997" max="10997" width="13.6640625" style="47" customWidth="1"/>
    <col min="10998" max="10998" width="10.83203125" style="47" customWidth="1"/>
    <col min="10999" max="10999" width="10.33203125" style="47" customWidth="1"/>
    <col min="11000" max="11001" width="9.83203125" style="47" customWidth="1"/>
    <col min="11002" max="11002" width="10.83203125" style="47" customWidth="1"/>
    <col min="11003" max="11003" width="9.33203125" style="47" customWidth="1"/>
    <col min="11004" max="11006" width="9.83203125" style="47" customWidth="1"/>
    <col min="11007" max="11007" width="14.5" style="47" customWidth="1"/>
    <col min="11008" max="11008" width="18.1640625" style="47" customWidth="1"/>
    <col min="11009" max="11009" width="13.1640625" style="47" customWidth="1"/>
    <col min="11010" max="11010" width="13" style="47" customWidth="1"/>
    <col min="11011" max="11011" width="11" style="47" customWidth="1"/>
    <col min="11012" max="11016" width="0" style="47" hidden="1" customWidth="1"/>
    <col min="11017" max="11017" width="14.33203125" style="47" customWidth="1"/>
    <col min="11018" max="11020" width="0" style="47" hidden="1" customWidth="1"/>
    <col min="11021" max="11021" width="14.33203125" style="47" customWidth="1"/>
    <col min="11022" max="11024" width="0" style="47" hidden="1" customWidth="1"/>
    <col min="11025" max="11025" width="14.33203125" style="47" customWidth="1"/>
    <col min="11026" max="11028" width="0" style="47" hidden="1" customWidth="1"/>
    <col min="11029" max="11030" width="14.33203125" style="47" customWidth="1"/>
    <col min="11031" max="11031" width="14.1640625" style="47" customWidth="1"/>
    <col min="11032" max="11032" width="10.5" style="47" customWidth="1"/>
    <col min="11033" max="11033" width="10.1640625" style="47" customWidth="1"/>
    <col min="11034" max="11034" width="11.6640625" style="47" customWidth="1"/>
    <col min="11035" max="11035" width="9.83203125" style="47" customWidth="1"/>
    <col min="11036" max="11036" width="10.1640625" style="47" customWidth="1"/>
    <col min="11037" max="11037" width="9" style="47" customWidth="1"/>
    <col min="11038" max="11038" width="9.83203125" style="47" customWidth="1"/>
    <col min="11039" max="11039" width="9" style="47" customWidth="1"/>
    <col min="11040" max="11228" width="8.83203125" style="47"/>
    <col min="11229" max="11229" width="13.5" style="47" customWidth="1"/>
    <col min="11230" max="11230" width="12.83203125" style="47" customWidth="1"/>
    <col min="11231" max="11231" width="11.1640625" style="47" customWidth="1"/>
    <col min="11232" max="11232" width="10.6640625" style="47" customWidth="1"/>
    <col min="11233" max="11233" width="8.5" style="47" customWidth="1"/>
    <col min="11234" max="11243" width="0" style="47" hidden="1" customWidth="1"/>
    <col min="11244" max="11244" width="12.5" style="47" customWidth="1"/>
    <col min="11245" max="11245" width="13.6640625" style="47" customWidth="1"/>
    <col min="11246" max="11249" width="0" style="47" hidden="1" customWidth="1"/>
    <col min="11250" max="11250" width="13.6640625" style="47" customWidth="1"/>
    <col min="11251" max="11251" width="12.5" style="47" customWidth="1"/>
    <col min="11252" max="11252" width="15.5" style="47" customWidth="1"/>
    <col min="11253" max="11253" width="13.6640625" style="47" customWidth="1"/>
    <col min="11254" max="11254" width="10.83203125" style="47" customWidth="1"/>
    <col min="11255" max="11255" width="10.33203125" style="47" customWidth="1"/>
    <col min="11256" max="11257" width="9.83203125" style="47" customWidth="1"/>
    <col min="11258" max="11258" width="10.83203125" style="47" customWidth="1"/>
    <col min="11259" max="11259" width="9.33203125" style="47" customWidth="1"/>
    <col min="11260" max="11262" width="9.83203125" style="47" customWidth="1"/>
    <col min="11263" max="11263" width="14.5" style="47" customWidth="1"/>
    <col min="11264" max="11264" width="18.1640625" style="47" customWidth="1"/>
    <col min="11265" max="11265" width="13.1640625" style="47" customWidth="1"/>
    <col min="11266" max="11266" width="13" style="47" customWidth="1"/>
    <col min="11267" max="11267" width="11" style="47" customWidth="1"/>
    <col min="11268" max="11272" width="0" style="47" hidden="1" customWidth="1"/>
    <col min="11273" max="11273" width="14.33203125" style="47" customWidth="1"/>
    <col min="11274" max="11276" width="0" style="47" hidden="1" customWidth="1"/>
    <col min="11277" max="11277" width="14.33203125" style="47" customWidth="1"/>
    <col min="11278" max="11280" width="0" style="47" hidden="1" customWidth="1"/>
    <col min="11281" max="11281" width="14.33203125" style="47" customWidth="1"/>
    <col min="11282" max="11284" width="0" style="47" hidden="1" customWidth="1"/>
    <col min="11285" max="11286" width="14.33203125" style="47" customWidth="1"/>
    <col min="11287" max="11287" width="14.1640625" style="47" customWidth="1"/>
    <col min="11288" max="11288" width="10.5" style="47" customWidth="1"/>
    <col min="11289" max="11289" width="10.1640625" style="47" customWidth="1"/>
    <col min="11290" max="11290" width="11.6640625" style="47" customWidth="1"/>
    <col min="11291" max="11291" width="9.83203125" style="47" customWidth="1"/>
    <col min="11292" max="11292" width="10.1640625" style="47" customWidth="1"/>
    <col min="11293" max="11293" width="9" style="47" customWidth="1"/>
    <col min="11294" max="11294" width="9.83203125" style="47" customWidth="1"/>
    <col min="11295" max="11295" width="9" style="47" customWidth="1"/>
    <col min="11296" max="11484" width="8.83203125" style="47"/>
    <col min="11485" max="11485" width="13.5" style="47" customWidth="1"/>
    <col min="11486" max="11486" width="12.83203125" style="47" customWidth="1"/>
    <col min="11487" max="11487" width="11.1640625" style="47" customWidth="1"/>
    <col min="11488" max="11488" width="10.6640625" style="47" customWidth="1"/>
    <col min="11489" max="11489" width="8.5" style="47" customWidth="1"/>
    <col min="11490" max="11499" width="0" style="47" hidden="1" customWidth="1"/>
    <col min="11500" max="11500" width="12.5" style="47" customWidth="1"/>
    <col min="11501" max="11501" width="13.6640625" style="47" customWidth="1"/>
    <col min="11502" max="11505" width="0" style="47" hidden="1" customWidth="1"/>
    <col min="11506" max="11506" width="13.6640625" style="47" customWidth="1"/>
    <col min="11507" max="11507" width="12.5" style="47" customWidth="1"/>
    <col min="11508" max="11508" width="15.5" style="47" customWidth="1"/>
    <col min="11509" max="11509" width="13.6640625" style="47" customWidth="1"/>
    <col min="11510" max="11510" width="10.83203125" style="47" customWidth="1"/>
    <col min="11511" max="11511" width="10.33203125" style="47" customWidth="1"/>
    <col min="11512" max="11513" width="9.83203125" style="47" customWidth="1"/>
    <col min="11514" max="11514" width="10.83203125" style="47" customWidth="1"/>
    <col min="11515" max="11515" width="9.33203125" style="47" customWidth="1"/>
    <col min="11516" max="11518" width="9.83203125" style="47" customWidth="1"/>
    <col min="11519" max="11519" width="14.5" style="47" customWidth="1"/>
    <col min="11520" max="11520" width="18.1640625" style="47" customWidth="1"/>
    <col min="11521" max="11521" width="13.1640625" style="47" customWidth="1"/>
    <col min="11522" max="11522" width="13" style="47" customWidth="1"/>
    <col min="11523" max="11523" width="11" style="47" customWidth="1"/>
    <col min="11524" max="11528" width="0" style="47" hidden="1" customWidth="1"/>
    <col min="11529" max="11529" width="14.33203125" style="47" customWidth="1"/>
    <col min="11530" max="11532" width="0" style="47" hidden="1" customWidth="1"/>
    <col min="11533" max="11533" width="14.33203125" style="47" customWidth="1"/>
    <col min="11534" max="11536" width="0" style="47" hidden="1" customWidth="1"/>
    <col min="11537" max="11537" width="14.33203125" style="47" customWidth="1"/>
    <col min="11538" max="11540" width="0" style="47" hidden="1" customWidth="1"/>
    <col min="11541" max="11542" width="14.33203125" style="47" customWidth="1"/>
    <col min="11543" max="11543" width="14.1640625" style="47" customWidth="1"/>
    <col min="11544" max="11544" width="10.5" style="47" customWidth="1"/>
    <col min="11545" max="11545" width="10.1640625" style="47" customWidth="1"/>
    <col min="11546" max="11546" width="11.6640625" style="47" customWidth="1"/>
    <col min="11547" max="11547" width="9.83203125" style="47" customWidth="1"/>
    <col min="11548" max="11548" width="10.1640625" style="47" customWidth="1"/>
    <col min="11549" max="11549" width="9" style="47" customWidth="1"/>
    <col min="11550" max="11550" width="9.83203125" style="47" customWidth="1"/>
    <col min="11551" max="11551" width="9" style="47" customWidth="1"/>
    <col min="11552" max="11740" width="8.83203125" style="47"/>
    <col min="11741" max="11741" width="13.5" style="47" customWidth="1"/>
    <col min="11742" max="11742" width="12.83203125" style="47" customWidth="1"/>
    <col min="11743" max="11743" width="11.1640625" style="47" customWidth="1"/>
    <col min="11744" max="11744" width="10.6640625" style="47" customWidth="1"/>
    <col min="11745" max="11745" width="8.5" style="47" customWidth="1"/>
    <col min="11746" max="11755" width="0" style="47" hidden="1" customWidth="1"/>
    <col min="11756" max="11756" width="12.5" style="47" customWidth="1"/>
    <col min="11757" max="11757" width="13.6640625" style="47" customWidth="1"/>
    <col min="11758" max="11761" width="0" style="47" hidden="1" customWidth="1"/>
    <col min="11762" max="11762" width="13.6640625" style="47" customWidth="1"/>
    <col min="11763" max="11763" width="12.5" style="47" customWidth="1"/>
    <col min="11764" max="11764" width="15.5" style="47" customWidth="1"/>
    <col min="11765" max="11765" width="13.6640625" style="47" customWidth="1"/>
    <col min="11766" max="11766" width="10.83203125" style="47" customWidth="1"/>
    <col min="11767" max="11767" width="10.33203125" style="47" customWidth="1"/>
    <col min="11768" max="11769" width="9.83203125" style="47" customWidth="1"/>
    <col min="11770" max="11770" width="10.83203125" style="47" customWidth="1"/>
    <col min="11771" max="11771" width="9.33203125" style="47" customWidth="1"/>
    <col min="11772" max="11774" width="9.83203125" style="47" customWidth="1"/>
    <col min="11775" max="11775" width="14.5" style="47" customWidth="1"/>
    <col min="11776" max="11776" width="18.1640625" style="47" customWidth="1"/>
    <col min="11777" max="11777" width="13.1640625" style="47" customWidth="1"/>
    <col min="11778" max="11778" width="13" style="47" customWidth="1"/>
    <col min="11779" max="11779" width="11" style="47" customWidth="1"/>
    <col min="11780" max="11784" width="0" style="47" hidden="1" customWidth="1"/>
    <col min="11785" max="11785" width="14.33203125" style="47" customWidth="1"/>
    <col min="11786" max="11788" width="0" style="47" hidden="1" customWidth="1"/>
    <col min="11789" max="11789" width="14.33203125" style="47" customWidth="1"/>
    <col min="11790" max="11792" width="0" style="47" hidden="1" customWidth="1"/>
    <col min="11793" max="11793" width="14.33203125" style="47" customWidth="1"/>
    <col min="11794" max="11796" width="0" style="47" hidden="1" customWidth="1"/>
    <col min="11797" max="11798" width="14.33203125" style="47" customWidth="1"/>
    <col min="11799" max="11799" width="14.1640625" style="47" customWidth="1"/>
    <col min="11800" max="11800" width="10.5" style="47" customWidth="1"/>
    <col min="11801" max="11801" width="10.1640625" style="47" customWidth="1"/>
    <col min="11802" max="11802" width="11.6640625" style="47" customWidth="1"/>
    <col min="11803" max="11803" width="9.83203125" style="47" customWidth="1"/>
    <col min="11804" max="11804" width="10.1640625" style="47" customWidth="1"/>
    <col min="11805" max="11805" width="9" style="47" customWidth="1"/>
    <col min="11806" max="11806" width="9.83203125" style="47" customWidth="1"/>
    <col min="11807" max="11807" width="9" style="47" customWidth="1"/>
    <col min="11808" max="11996" width="8.83203125" style="47"/>
    <col min="11997" max="11997" width="13.5" style="47" customWidth="1"/>
    <col min="11998" max="11998" width="12.83203125" style="47" customWidth="1"/>
    <col min="11999" max="11999" width="11.1640625" style="47" customWidth="1"/>
    <col min="12000" max="12000" width="10.6640625" style="47" customWidth="1"/>
    <col min="12001" max="12001" width="8.5" style="47" customWidth="1"/>
    <col min="12002" max="12011" width="0" style="47" hidden="1" customWidth="1"/>
    <col min="12012" max="12012" width="12.5" style="47" customWidth="1"/>
    <col min="12013" max="12013" width="13.6640625" style="47" customWidth="1"/>
    <col min="12014" max="12017" width="0" style="47" hidden="1" customWidth="1"/>
    <col min="12018" max="12018" width="13.6640625" style="47" customWidth="1"/>
    <col min="12019" max="12019" width="12.5" style="47" customWidth="1"/>
    <col min="12020" max="12020" width="15.5" style="47" customWidth="1"/>
    <col min="12021" max="12021" width="13.6640625" style="47" customWidth="1"/>
    <col min="12022" max="12022" width="10.83203125" style="47" customWidth="1"/>
    <col min="12023" max="12023" width="10.33203125" style="47" customWidth="1"/>
    <col min="12024" max="12025" width="9.83203125" style="47" customWidth="1"/>
    <col min="12026" max="12026" width="10.83203125" style="47" customWidth="1"/>
    <col min="12027" max="12027" width="9.33203125" style="47" customWidth="1"/>
    <col min="12028" max="12030" width="9.83203125" style="47" customWidth="1"/>
    <col min="12031" max="12031" width="14.5" style="47" customWidth="1"/>
    <col min="12032" max="12032" width="18.1640625" style="47" customWidth="1"/>
    <col min="12033" max="12033" width="13.1640625" style="47" customWidth="1"/>
    <col min="12034" max="12034" width="13" style="47" customWidth="1"/>
    <col min="12035" max="12035" width="11" style="47" customWidth="1"/>
    <col min="12036" max="12040" width="0" style="47" hidden="1" customWidth="1"/>
    <col min="12041" max="12041" width="14.33203125" style="47" customWidth="1"/>
    <col min="12042" max="12044" width="0" style="47" hidden="1" customWidth="1"/>
    <col min="12045" max="12045" width="14.33203125" style="47" customWidth="1"/>
    <col min="12046" max="12048" width="0" style="47" hidden="1" customWidth="1"/>
    <col min="12049" max="12049" width="14.33203125" style="47" customWidth="1"/>
    <col min="12050" max="12052" width="0" style="47" hidden="1" customWidth="1"/>
    <col min="12053" max="12054" width="14.33203125" style="47" customWidth="1"/>
    <col min="12055" max="12055" width="14.1640625" style="47" customWidth="1"/>
    <col min="12056" max="12056" width="10.5" style="47" customWidth="1"/>
    <col min="12057" max="12057" width="10.1640625" style="47" customWidth="1"/>
    <col min="12058" max="12058" width="11.6640625" style="47" customWidth="1"/>
    <col min="12059" max="12059" width="9.83203125" style="47" customWidth="1"/>
    <col min="12060" max="12060" width="10.1640625" style="47" customWidth="1"/>
    <col min="12061" max="12061" width="9" style="47" customWidth="1"/>
    <col min="12062" max="12062" width="9.83203125" style="47" customWidth="1"/>
    <col min="12063" max="12063" width="9" style="47" customWidth="1"/>
    <col min="12064" max="12252" width="8.83203125" style="47"/>
    <col min="12253" max="12253" width="13.5" style="47" customWidth="1"/>
    <col min="12254" max="12254" width="12.83203125" style="47" customWidth="1"/>
    <col min="12255" max="12255" width="11.1640625" style="47" customWidth="1"/>
    <col min="12256" max="12256" width="10.6640625" style="47" customWidth="1"/>
    <col min="12257" max="12257" width="8.5" style="47" customWidth="1"/>
    <col min="12258" max="12267" width="0" style="47" hidden="1" customWidth="1"/>
    <col min="12268" max="12268" width="12.5" style="47" customWidth="1"/>
    <col min="12269" max="12269" width="13.6640625" style="47" customWidth="1"/>
    <col min="12270" max="12273" width="0" style="47" hidden="1" customWidth="1"/>
    <col min="12274" max="12274" width="13.6640625" style="47" customWidth="1"/>
    <col min="12275" max="12275" width="12.5" style="47" customWidth="1"/>
    <col min="12276" max="12276" width="15.5" style="47" customWidth="1"/>
    <col min="12277" max="12277" width="13.6640625" style="47" customWidth="1"/>
    <col min="12278" max="12278" width="10.83203125" style="47" customWidth="1"/>
    <col min="12279" max="12279" width="10.33203125" style="47" customWidth="1"/>
    <col min="12280" max="12281" width="9.83203125" style="47" customWidth="1"/>
    <col min="12282" max="12282" width="10.83203125" style="47" customWidth="1"/>
    <col min="12283" max="12283" width="9.33203125" style="47" customWidth="1"/>
    <col min="12284" max="12286" width="9.83203125" style="47" customWidth="1"/>
    <col min="12287" max="12287" width="14.5" style="47" customWidth="1"/>
    <col min="12288" max="12288" width="18.1640625" style="47" customWidth="1"/>
    <col min="12289" max="12289" width="13.1640625" style="47" customWidth="1"/>
    <col min="12290" max="12290" width="13" style="47" customWidth="1"/>
    <col min="12291" max="12291" width="11" style="47" customWidth="1"/>
    <col min="12292" max="12296" width="0" style="47" hidden="1" customWidth="1"/>
    <col min="12297" max="12297" width="14.33203125" style="47" customWidth="1"/>
    <col min="12298" max="12300" width="0" style="47" hidden="1" customWidth="1"/>
    <col min="12301" max="12301" width="14.33203125" style="47" customWidth="1"/>
    <col min="12302" max="12304" width="0" style="47" hidden="1" customWidth="1"/>
    <col min="12305" max="12305" width="14.33203125" style="47" customWidth="1"/>
    <col min="12306" max="12308" width="0" style="47" hidden="1" customWidth="1"/>
    <col min="12309" max="12310" width="14.33203125" style="47" customWidth="1"/>
    <col min="12311" max="12311" width="14.1640625" style="47" customWidth="1"/>
    <col min="12312" max="12312" width="10.5" style="47" customWidth="1"/>
    <col min="12313" max="12313" width="10.1640625" style="47" customWidth="1"/>
    <col min="12314" max="12314" width="11.6640625" style="47" customWidth="1"/>
    <col min="12315" max="12315" width="9.83203125" style="47" customWidth="1"/>
    <col min="12316" max="12316" width="10.1640625" style="47" customWidth="1"/>
    <col min="12317" max="12317" width="9" style="47" customWidth="1"/>
    <col min="12318" max="12318" width="9.83203125" style="47" customWidth="1"/>
    <col min="12319" max="12319" width="9" style="47" customWidth="1"/>
    <col min="12320" max="12508" width="8.83203125" style="47"/>
    <col min="12509" max="12509" width="13.5" style="47" customWidth="1"/>
    <col min="12510" max="12510" width="12.83203125" style="47" customWidth="1"/>
    <col min="12511" max="12511" width="11.1640625" style="47" customWidth="1"/>
    <col min="12512" max="12512" width="10.6640625" style="47" customWidth="1"/>
    <col min="12513" max="12513" width="8.5" style="47" customWidth="1"/>
    <col min="12514" max="12523" width="0" style="47" hidden="1" customWidth="1"/>
    <col min="12524" max="12524" width="12.5" style="47" customWidth="1"/>
    <col min="12525" max="12525" width="13.6640625" style="47" customWidth="1"/>
    <col min="12526" max="12529" width="0" style="47" hidden="1" customWidth="1"/>
    <col min="12530" max="12530" width="13.6640625" style="47" customWidth="1"/>
    <col min="12531" max="12531" width="12.5" style="47" customWidth="1"/>
    <col min="12532" max="12532" width="15.5" style="47" customWidth="1"/>
    <col min="12533" max="12533" width="13.6640625" style="47" customWidth="1"/>
    <col min="12534" max="12534" width="10.83203125" style="47" customWidth="1"/>
    <col min="12535" max="12535" width="10.33203125" style="47" customWidth="1"/>
    <col min="12536" max="12537" width="9.83203125" style="47" customWidth="1"/>
    <col min="12538" max="12538" width="10.83203125" style="47" customWidth="1"/>
    <col min="12539" max="12539" width="9.33203125" style="47" customWidth="1"/>
    <col min="12540" max="12542" width="9.83203125" style="47" customWidth="1"/>
    <col min="12543" max="12543" width="14.5" style="47" customWidth="1"/>
    <col min="12544" max="12544" width="18.1640625" style="47" customWidth="1"/>
    <col min="12545" max="12545" width="13.1640625" style="47" customWidth="1"/>
    <col min="12546" max="12546" width="13" style="47" customWidth="1"/>
    <col min="12547" max="12547" width="11" style="47" customWidth="1"/>
    <col min="12548" max="12552" width="0" style="47" hidden="1" customWidth="1"/>
    <col min="12553" max="12553" width="14.33203125" style="47" customWidth="1"/>
    <col min="12554" max="12556" width="0" style="47" hidden="1" customWidth="1"/>
    <col min="12557" max="12557" width="14.33203125" style="47" customWidth="1"/>
    <col min="12558" max="12560" width="0" style="47" hidden="1" customWidth="1"/>
    <col min="12561" max="12561" width="14.33203125" style="47" customWidth="1"/>
    <col min="12562" max="12564" width="0" style="47" hidden="1" customWidth="1"/>
    <col min="12565" max="12566" width="14.33203125" style="47" customWidth="1"/>
    <col min="12567" max="12567" width="14.1640625" style="47" customWidth="1"/>
    <col min="12568" max="12568" width="10.5" style="47" customWidth="1"/>
    <col min="12569" max="12569" width="10.1640625" style="47" customWidth="1"/>
    <col min="12570" max="12570" width="11.6640625" style="47" customWidth="1"/>
    <col min="12571" max="12571" width="9.83203125" style="47" customWidth="1"/>
    <col min="12572" max="12572" width="10.1640625" style="47" customWidth="1"/>
    <col min="12573" max="12573" width="9" style="47" customWidth="1"/>
    <col min="12574" max="12574" width="9.83203125" style="47" customWidth="1"/>
    <col min="12575" max="12575" width="9" style="47" customWidth="1"/>
    <col min="12576" max="12764" width="8.83203125" style="47"/>
    <col min="12765" max="12765" width="13.5" style="47" customWidth="1"/>
    <col min="12766" max="12766" width="12.83203125" style="47" customWidth="1"/>
    <col min="12767" max="12767" width="11.1640625" style="47" customWidth="1"/>
    <col min="12768" max="12768" width="10.6640625" style="47" customWidth="1"/>
    <col min="12769" max="12769" width="8.5" style="47" customWidth="1"/>
    <col min="12770" max="12779" width="0" style="47" hidden="1" customWidth="1"/>
    <col min="12780" max="12780" width="12.5" style="47" customWidth="1"/>
    <col min="12781" max="12781" width="13.6640625" style="47" customWidth="1"/>
    <col min="12782" max="12785" width="0" style="47" hidden="1" customWidth="1"/>
    <col min="12786" max="12786" width="13.6640625" style="47" customWidth="1"/>
    <col min="12787" max="12787" width="12.5" style="47" customWidth="1"/>
    <col min="12788" max="12788" width="15.5" style="47" customWidth="1"/>
    <col min="12789" max="12789" width="13.6640625" style="47" customWidth="1"/>
    <col min="12790" max="12790" width="10.83203125" style="47" customWidth="1"/>
    <col min="12791" max="12791" width="10.33203125" style="47" customWidth="1"/>
    <col min="12792" max="12793" width="9.83203125" style="47" customWidth="1"/>
    <col min="12794" max="12794" width="10.83203125" style="47" customWidth="1"/>
    <col min="12795" max="12795" width="9.33203125" style="47" customWidth="1"/>
    <col min="12796" max="12798" width="9.83203125" style="47" customWidth="1"/>
    <col min="12799" max="12799" width="14.5" style="47" customWidth="1"/>
    <col min="12800" max="12800" width="18.1640625" style="47" customWidth="1"/>
    <col min="12801" max="12801" width="13.1640625" style="47" customWidth="1"/>
    <col min="12802" max="12802" width="13" style="47" customWidth="1"/>
    <col min="12803" max="12803" width="11" style="47" customWidth="1"/>
    <col min="12804" max="12808" width="0" style="47" hidden="1" customWidth="1"/>
    <col min="12809" max="12809" width="14.33203125" style="47" customWidth="1"/>
    <col min="12810" max="12812" width="0" style="47" hidden="1" customWidth="1"/>
    <col min="12813" max="12813" width="14.33203125" style="47" customWidth="1"/>
    <col min="12814" max="12816" width="0" style="47" hidden="1" customWidth="1"/>
    <col min="12817" max="12817" width="14.33203125" style="47" customWidth="1"/>
    <col min="12818" max="12820" width="0" style="47" hidden="1" customWidth="1"/>
    <col min="12821" max="12822" width="14.33203125" style="47" customWidth="1"/>
    <col min="12823" max="12823" width="14.1640625" style="47" customWidth="1"/>
    <col min="12824" max="12824" width="10.5" style="47" customWidth="1"/>
    <col min="12825" max="12825" width="10.1640625" style="47" customWidth="1"/>
    <col min="12826" max="12826" width="11.6640625" style="47" customWidth="1"/>
    <col min="12827" max="12827" width="9.83203125" style="47" customWidth="1"/>
    <col min="12828" max="12828" width="10.1640625" style="47" customWidth="1"/>
    <col min="12829" max="12829" width="9" style="47" customWidth="1"/>
    <col min="12830" max="12830" width="9.83203125" style="47" customWidth="1"/>
    <col min="12831" max="12831" width="9" style="47" customWidth="1"/>
    <col min="12832" max="13020" width="8.83203125" style="47"/>
    <col min="13021" max="13021" width="13.5" style="47" customWidth="1"/>
    <col min="13022" max="13022" width="12.83203125" style="47" customWidth="1"/>
    <col min="13023" max="13023" width="11.1640625" style="47" customWidth="1"/>
    <col min="13024" max="13024" width="10.6640625" style="47" customWidth="1"/>
    <col min="13025" max="13025" width="8.5" style="47" customWidth="1"/>
    <col min="13026" max="13035" width="0" style="47" hidden="1" customWidth="1"/>
    <col min="13036" max="13036" width="12.5" style="47" customWidth="1"/>
    <col min="13037" max="13037" width="13.6640625" style="47" customWidth="1"/>
    <col min="13038" max="13041" width="0" style="47" hidden="1" customWidth="1"/>
    <col min="13042" max="13042" width="13.6640625" style="47" customWidth="1"/>
    <col min="13043" max="13043" width="12.5" style="47" customWidth="1"/>
    <col min="13044" max="13044" width="15.5" style="47" customWidth="1"/>
    <col min="13045" max="13045" width="13.6640625" style="47" customWidth="1"/>
    <col min="13046" max="13046" width="10.83203125" style="47" customWidth="1"/>
    <col min="13047" max="13047" width="10.33203125" style="47" customWidth="1"/>
    <col min="13048" max="13049" width="9.83203125" style="47" customWidth="1"/>
    <col min="13050" max="13050" width="10.83203125" style="47" customWidth="1"/>
    <col min="13051" max="13051" width="9.33203125" style="47" customWidth="1"/>
    <col min="13052" max="13054" width="9.83203125" style="47" customWidth="1"/>
    <col min="13055" max="13055" width="14.5" style="47" customWidth="1"/>
    <col min="13056" max="13056" width="18.1640625" style="47" customWidth="1"/>
    <col min="13057" max="13057" width="13.1640625" style="47" customWidth="1"/>
    <col min="13058" max="13058" width="13" style="47" customWidth="1"/>
    <col min="13059" max="13059" width="11" style="47" customWidth="1"/>
    <col min="13060" max="13064" width="0" style="47" hidden="1" customWidth="1"/>
    <col min="13065" max="13065" width="14.33203125" style="47" customWidth="1"/>
    <col min="13066" max="13068" width="0" style="47" hidden="1" customWidth="1"/>
    <col min="13069" max="13069" width="14.33203125" style="47" customWidth="1"/>
    <col min="13070" max="13072" width="0" style="47" hidden="1" customWidth="1"/>
    <col min="13073" max="13073" width="14.33203125" style="47" customWidth="1"/>
    <col min="13074" max="13076" width="0" style="47" hidden="1" customWidth="1"/>
    <col min="13077" max="13078" width="14.33203125" style="47" customWidth="1"/>
    <col min="13079" max="13079" width="14.1640625" style="47" customWidth="1"/>
    <col min="13080" max="13080" width="10.5" style="47" customWidth="1"/>
    <col min="13081" max="13081" width="10.1640625" style="47" customWidth="1"/>
    <col min="13082" max="13082" width="11.6640625" style="47" customWidth="1"/>
    <col min="13083" max="13083" width="9.83203125" style="47" customWidth="1"/>
    <col min="13084" max="13084" width="10.1640625" style="47" customWidth="1"/>
    <col min="13085" max="13085" width="9" style="47" customWidth="1"/>
    <col min="13086" max="13086" width="9.83203125" style="47" customWidth="1"/>
    <col min="13087" max="13087" width="9" style="47" customWidth="1"/>
    <col min="13088" max="13276" width="8.83203125" style="47"/>
    <col min="13277" max="13277" width="13.5" style="47" customWidth="1"/>
    <col min="13278" max="13278" width="12.83203125" style="47" customWidth="1"/>
    <col min="13279" max="13279" width="11.1640625" style="47" customWidth="1"/>
    <col min="13280" max="13280" width="10.6640625" style="47" customWidth="1"/>
    <col min="13281" max="13281" width="8.5" style="47" customWidth="1"/>
    <col min="13282" max="13291" width="0" style="47" hidden="1" customWidth="1"/>
    <col min="13292" max="13292" width="12.5" style="47" customWidth="1"/>
    <col min="13293" max="13293" width="13.6640625" style="47" customWidth="1"/>
    <col min="13294" max="13297" width="0" style="47" hidden="1" customWidth="1"/>
    <col min="13298" max="13298" width="13.6640625" style="47" customWidth="1"/>
    <col min="13299" max="13299" width="12.5" style="47" customWidth="1"/>
    <col min="13300" max="13300" width="15.5" style="47" customWidth="1"/>
    <col min="13301" max="13301" width="13.6640625" style="47" customWidth="1"/>
    <col min="13302" max="13302" width="10.83203125" style="47" customWidth="1"/>
    <col min="13303" max="13303" width="10.33203125" style="47" customWidth="1"/>
    <col min="13304" max="13305" width="9.83203125" style="47" customWidth="1"/>
    <col min="13306" max="13306" width="10.83203125" style="47" customWidth="1"/>
    <col min="13307" max="13307" width="9.33203125" style="47" customWidth="1"/>
    <col min="13308" max="13310" width="9.83203125" style="47" customWidth="1"/>
    <col min="13311" max="13311" width="14.5" style="47" customWidth="1"/>
    <col min="13312" max="13312" width="18.1640625" style="47" customWidth="1"/>
    <col min="13313" max="13313" width="13.1640625" style="47" customWidth="1"/>
    <col min="13314" max="13314" width="13" style="47" customWidth="1"/>
    <col min="13315" max="13315" width="11" style="47" customWidth="1"/>
    <col min="13316" max="13320" width="0" style="47" hidden="1" customWidth="1"/>
    <col min="13321" max="13321" width="14.33203125" style="47" customWidth="1"/>
    <col min="13322" max="13324" width="0" style="47" hidden="1" customWidth="1"/>
    <col min="13325" max="13325" width="14.33203125" style="47" customWidth="1"/>
    <col min="13326" max="13328" width="0" style="47" hidden="1" customWidth="1"/>
    <col min="13329" max="13329" width="14.33203125" style="47" customWidth="1"/>
    <col min="13330" max="13332" width="0" style="47" hidden="1" customWidth="1"/>
    <col min="13333" max="13334" width="14.33203125" style="47" customWidth="1"/>
    <col min="13335" max="13335" width="14.1640625" style="47" customWidth="1"/>
    <col min="13336" max="13336" width="10.5" style="47" customWidth="1"/>
    <col min="13337" max="13337" width="10.1640625" style="47" customWidth="1"/>
    <col min="13338" max="13338" width="11.6640625" style="47" customWidth="1"/>
    <col min="13339" max="13339" width="9.83203125" style="47" customWidth="1"/>
    <col min="13340" max="13340" width="10.1640625" style="47" customWidth="1"/>
    <col min="13341" max="13341" width="9" style="47" customWidth="1"/>
    <col min="13342" max="13342" width="9.83203125" style="47" customWidth="1"/>
    <col min="13343" max="13343" width="9" style="47" customWidth="1"/>
    <col min="13344" max="13532" width="8.83203125" style="47"/>
    <col min="13533" max="13533" width="13.5" style="47" customWidth="1"/>
    <col min="13534" max="13534" width="12.83203125" style="47" customWidth="1"/>
    <col min="13535" max="13535" width="11.1640625" style="47" customWidth="1"/>
    <col min="13536" max="13536" width="10.6640625" style="47" customWidth="1"/>
    <col min="13537" max="13537" width="8.5" style="47" customWidth="1"/>
    <col min="13538" max="13547" width="0" style="47" hidden="1" customWidth="1"/>
    <col min="13548" max="13548" width="12.5" style="47" customWidth="1"/>
    <col min="13549" max="13549" width="13.6640625" style="47" customWidth="1"/>
    <col min="13550" max="13553" width="0" style="47" hidden="1" customWidth="1"/>
    <col min="13554" max="13554" width="13.6640625" style="47" customWidth="1"/>
    <col min="13555" max="13555" width="12.5" style="47" customWidth="1"/>
    <col min="13556" max="13556" width="15.5" style="47" customWidth="1"/>
    <col min="13557" max="13557" width="13.6640625" style="47" customWidth="1"/>
    <col min="13558" max="13558" width="10.83203125" style="47" customWidth="1"/>
    <col min="13559" max="13559" width="10.33203125" style="47" customWidth="1"/>
    <col min="13560" max="13561" width="9.83203125" style="47" customWidth="1"/>
    <col min="13562" max="13562" width="10.83203125" style="47" customWidth="1"/>
    <col min="13563" max="13563" width="9.33203125" style="47" customWidth="1"/>
    <col min="13564" max="13566" width="9.83203125" style="47" customWidth="1"/>
    <col min="13567" max="13567" width="14.5" style="47" customWidth="1"/>
    <col min="13568" max="13568" width="18.1640625" style="47" customWidth="1"/>
    <col min="13569" max="13569" width="13.1640625" style="47" customWidth="1"/>
    <col min="13570" max="13570" width="13" style="47" customWidth="1"/>
    <col min="13571" max="13571" width="11" style="47" customWidth="1"/>
    <col min="13572" max="13576" width="0" style="47" hidden="1" customWidth="1"/>
    <col min="13577" max="13577" width="14.33203125" style="47" customWidth="1"/>
    <col min="13578" max="13580" width="0" style="47" hidden="1" customWidth="1"/>
    <col min="13581" max="13581" width="14.33203125" style="47" customWidth="1"/>
    <col min="13582" max="13584" width="0" style="47" hidden="1" customWidth="1"/>
    <col min="13585" max="13585" width="14.33203125" style="47" customWidth="1"/>
    <col min="13586" max="13588" width="0" style="47" hidden="1" customWidth="1"/>
    <col min="13589" max="13590" width="14.33203125" style="47" customWidth="1"/>
    <col min="13591" max="13591" width="14.1640625" style="47" customWidth="1"/>
    <col min="13592" max="13592" width="10.5" style="47" customWidth="1"/>
    <col min="13593" max="13593" width="10.1640625" style="47" customWidth="1"/>
    <col min="13594" max="13594" width="11.6640625" style="47" customWidth="1"/>
    <col min="13595" max="13595" width="9.83203125" style="47" customWidth="1"/>
    <col min="13596" max="13596" width="10.1640625" style="47" customWidth="1"/>
    <col min="13597" max="13597" width="9" style="47" customWidth="1"/>
    <col min="13598" max="13598" width="9.83203125" style="47" customWidth="1"/>
    <col min="13599" max="13599" width="9" style="47" customWidth="1"/>
    <col min="13600" max="13788" width="8.83203125" style="47"/>
    <col min="13789" max="13789" width="13.5" style="47" customWidth="1"/>
    <col min="13790" max="13790" width="12.83203125" style="47" customWidth="1"/>
    <col min="13791" max="13791" width="11.1640625" style="47" customWidth="1"/>
    <col min="13792" max="13792" width="10.6640625" style="47" customWidth="1"/>
    <col min="13793" max="13793" width="8.5" style="47" customWidth="1"/>
    <col min="13794" max="13803" width="0" style="47" hidden="1" customWidth="1"/>
    <col min="13804" max="13804" width="12.5" style="47" customWidth="1"/>
    <col min="13805" max="13805" width="13.6640625" style="47" customWidth="1"/>
    <col min="13806" max="13809" width="0" style="47" hidden="1" customWidth="1"/>
    <col min="13810" max="13810" width="13.6640625" style="47" customWidth="1"/>
    <col min="13811" max="13811" width="12.5" style="47" customWidth="1"/>
    <col min="13812" max="13812" width="15.5" style="47" customWidth="1"/>
    <col min="13813" max="13813" width="13.6640625" style="47" customWidth="1"/>
    <col min="13814" max="13814" width="10.83203125" style="47" customWidth="1"/>
    <col min="13815" max="13815" width="10.33203125" style="47" customWidth="1"/>
    <col min="13816" max="13817" width="9.83203125" style="47" customWidth="1"/>
    <col min="13818" max="13818" width="10.83203125" style="47" customWidth="1"/>
    <col min="13819" max="13819" width="9.33203125" style="47" customWidth="1"/>
    <col min="13820" max="13822" width="9.83203125" style="47" customWidth="1"/>
    <col min="13823" max="13823" width="14.5" style="47" customWidth="1"/>
    <col min="13824" max="13824" width="18.1640625" style="47" customWidth="1"/>
    <col min="13825" max="13825" width="13.1640625" style="47" customWidth="1"/>
    <col min="13826" max="13826" width="13" style="47" customWidth="1"/>
    <col min="13827" max="13827" width="11" style="47" customWidth="1"/>
    <col min="13828" max="13832" width="0" style="47" hidden="1" customWidth="1"/>
    <col min="13833" max="13833" width="14.33203125" style="47" customWidth="1"/>
    <col min="13834" max="13836" width="0" style="47" hidden="1" customWidth="1"/>
    <col min="13837" max="13837" width="14.33203125" style="47" customWidth="1"/>
    <col min="13838" max="13840" width="0" style="47" hidden="1" customWidth="1"/>
    <col min="13841" max="13841" width="14.33203125" style="47" customWidth="1"/>
    <col min="13842" max="13844" width="0" style="47" hidden="1" customWidth="1"/>
    <col min="13845" max="13846" width="14.33203125" style="47" customWidth="1"/>
    <col min="13847" max="13847" width="14.1640625" style="47" customWidth="1"/>
    <col min="13848" max="13848" width="10.5" style="47" customWidth="1"/>
    <col min="13849" max="13849" width="10.1640625" style="47" customWidth="1"/>
    <col min="13850" max="13850" width="11.6640625" style="47" customWidth="1"/>
    <col min="13851" max="13851" width="9.83203125" style="47" customWidth="1"/>
    <col min="13852" max="13852" width="10.1640625" style="47" customWidth="1"/>
    <col min="13853" max="13853" width="9" style="47" customWidth="1"/>
    <col min="13854" max="13854" width="9.83203125" style="47" customWidth="1"/>
    <col min="13855" max="13855" width="9" style="47" customWidth="1"/>
    <col min="13856" max="14044" width="8.83203125" style="47"/>
    <col min="14045" max="14045" width="13.5" style="47" customWidth="1"/>
    <col min="14046" max="14046" width="12.83203125" style="47" customWidth="1"/>
    <col min="14047" max="14047" width="11.1640625" style="47" customWidth="1"/>
    <col min="14048" max="14048" width="10.6640625" style="47" customWidth="1"/>
    <col min="14049" max="14049" width="8.5" style="47" customWidth="1"/>
    <col min="14050" max="14059" width="0" style="47" hidden="1" customWidth="1"/>
    <col min="14060" max="14060" width="12.5" style="47" customWidth="1"/>
    <col min="14061" max="14061" width="13.6640625" style="47" customWidth="1"/>
    <col min="14062" max="14065" width="0" style="47" hidden="1" customWidth="1"/>
    <col min="14066" max="14066" width="13.6640625" style="47" customWidth="1"/>
    <col min="14067" max="14067" width="12.5" style="47" customWidth="1"/>
    <col min="14068" max="14068" width="15.5" style="47" customWidth="1"/>
    <col min="14069" max="14069" width="13.6640625" style="47" customWidth="1"/>
    <col min="14070" max="14070" width="10.83203125" style="47" customWidth="1"/>
    <col min="14071" max="14071" width="10.33203125" style="47" customWidth="1"/>
    <col min="14072" max="14073" width="9.83203125" style="47" customWidth="1"/>
    <col min="14074" max="14074" width="10.83203125" style="47" customWidth="1"/>
    <col min="14075" max="14075" width="9.33203125" style="47" customWidth="1"/>
    <col min="14076" max="14078" width="9.83203125" style="47" customWidth="1"/>
    <col min="14079" max="14079" width="14.5" style="47" customWidth="1"/>
    <col min="14080" max="14080" width="18.1640625" style="47" customWidth="1"/>
    <col min="14081" max="14081" width="13.1640625" style="47" customWidth="1"/>
    <col min="14082" max="14082" width="13" style="47" customWidth="1"/>
    <col min="14083" max="14083" width="11" style="47" customWidth="1"/>
    <col min="14084" max="14088" width="0" style="47" hidden="1" customWidth="1"/>
    <col min="14089" max="14089" width="14.33203125" style="47" customWidth="1"/>
    <col min="14090" max="14092" width="0" style="47" hidden="1" customWidth="1"/>
    <col min="14093" max="14093" width="14.33203125" style="47" customWidth="1"/>
    <col min="14094" max="14096" width="0" style="47" hidden="1" customWidth="1"/>
    <col min="14097" max="14097" width="14.33203125" style="47" customWidth="1"/>
    <col min="14098" max="14100" width="0" style="47" hidden="1" customWidth="1"/>
    <col min="14101" max="14102" width="14.33203125" style="47" customWidth="1"/>
    <col min="14103" max="14103" width="14.1640625" style="47" customWidth="1"/>
    <col min="14104" max="14104" width="10.5" style="47" customWidth="1"/>
    <col min="14105" max="14105" width="10.1640625" style="47" customWidth="1"/>
    <col min="14106" max="14106" width="11.6640625" style="47" customWidth="1"/>
    <col min="14107" max="14107" width="9.83203125" style="47" customWidth="1"/>
    <col min="14108" max="14108" width="10.1640625" style="47" customWidth="1"/>
    <col min="14109" max="14109" width="9" style="47" customWidth="1"/>
    <col min="14110" max="14110" width="9.83203125" style="47" customWidth="1"/>
    <col min="14111" max="14111" width="9" style="47" customWidth="1"/>
    <col min="14112" max="14300" width="8.83203125" style="47"/>
    <col min="14301" max="14301" width="13.5" style="47" customWidth="1"/>
    <col min="14302" max="14302" width="12.83203125" style="47" customWidth="1"/>
    <col min="14303" max="14303" width="11.1640625" style="47" customWidth="1"/>
    <col min="14304" max="14304" width="10.6640625" style="47" customWidth="1"/>
    <col min="14305" max="14305" width="8.5" style="47" customWidth="1"/>
    <col min="14306" max="14315" width="0" style="47" hidden="1" customWidth="1"/>
    <col min="14316" max="14316" width="12.5" style="47" customWidth="1"/>
    <col min="14317" max="14317" width="13.6640625" style="47" customWidth="1"/>
    <col min="14318" max="14321" width="0" style="47" hidden="1" customWidth="1"/>
    <col min="14322" max="14322" width="13.6640625" style="47" customWidth="1"/>
    <col min="14323" max="14323" width="12.5" style="47" customWidth="1"/>
    <col min="14324" max="14324" width="15.5" style="47" customWidth="1"/>
    <col min="14325" max="14325" width="13.6640625" style="47" customWidth="1"/>
    <col min="14326" max="14326" width="10.83203125" style="47" customWidth="1"/>
    <col min="14327" max="14327" width="10.33203125" style="47" customWidth="1"/>
    <col min="14328" max="14329" width="9.83203125" style="47" customWidth="1"/>
    <col min="14330" max="14330" width="10.83203125" style="47" customWidth="1"/>
    <col min="14331" max="14331" width="9.33203125" style="47" customWidth="1"/>
    <col min="14332" max="14334" width="9.83203125" style="47" customWidth="1"/>
    <col min="14335" max="14335" width="14.5" style="47" customWidth="1"/>
    <col min="14336" max="14336" width="18.1640625" style="47" customWidth="1"/>
    <col min="14337" max="14337" width="13.1640625" style="47" customWidth="1"/>
    <col min="14338" max="14338" width="13" style="47" customWidth="1"/>
    <col min="14339" max="14339" width="11" style="47" customWidth="1"/>
    <col min="14340" max="14344" width="0" style="47" hidden="1" customWidth="1"/>
    <col min="14345" max="14345" width="14.33203125" style="47" customWidth="1"/>
    <col min="14346" max="14348" width="0" style="47" hidden="1" customWidth="1"/>
    <col min="14349" max="14349" width="14.33203125" style="47" customWidth="1"/>
    <col min="14350" max="14352" width="0" style="47" hidden="1" customWidth="1"/>
    <col min="14353" max="14353" width="14.33203125" style="47" customWidth="1"/>
    <col min="14354" max="14356" width="0" style="47" hidden="1" customWidth="1"/>
    <col min="14357" max="14358" width="14.33203125" style="47" customWidth="1"/>
    <col min="14359" max="14359" width="14.1640625" style="47" customWidth="1"/>
    <col min="14360" max="14360" width="10.5" style="47" customWidth="1"/>
    <col min="14361" max="14361" width="10.1640625" style="47" customWidth="1"/>
    <col min="14362" max="14362" width="11.6640625" style="47" customWidth="1"/>
    <col min="14363" max="14363" width="9.83203125" style="47" customWidth="1"/>
    <col min="14364" max="14364" width="10.1640625" style="47" customWidth="1"/>
    <col min="14365" max="14365" width="9" style="47" customWidth="1"/>
    <col min="14366" max="14366" width="9.83203125" style="47" customWidth="1"/>
    <col min="14367" max="14367" width="9" style="47" customWidth="1"/>
    <col min="14368" max="14556" width="8.83203125" style="47"/>
    <col min="14557" max="14557" width="13.5" style="47" customWidth="1"/>
    <col min="14558" max="14558" width="12.83203125" style="47" customWidth="1"/>
    <col min="14559" max="14559" width="11.1640625" style="47" customWidth="1"/>
    <col min="14560" max="14560" width="10.6640625" style="47" customWidth="1"/>
    <col min="14561" max="14561" width="8.5" style="47" customWidth="1"/>
    <col min="14562" max="14571" width="0" style="47" hidden="1" customWidth="1"/>
    <col min="14572" max="14572" width="12.5" style="47" customWidth="1"/>
    <col min="14573" max="14573" width="13.6640625" style="47" customWidth="1"/>
    <col min="14574" max="14577" width="0" style="47" hidden="1" customWidth="1"/>
    <col min="14578" max="14578" width="13.6640625" style="47" customWidth="1"/>
    <col min="14579" max="14579" width="12.5" style="47" customWidth="1"/>
    <col min="14580" max="14580" width="15.5" style="47" customWidth="1"/>
    <col min="14581" max="14581" width="13.6640625" style="47" customWidth="1"/>
    <col min="14582" max="14582" width="10.83203125" style="47" customWidth="1"/>
    <col min="14583" max="14583" width="10.33203125" style="47" customWidth="1"/>
    <col min="14584" max="14585" width="9.83203125" style="47" customWidth="1"/>
    <col min="14586" max="14586" width="10.83203125" style="47" customWidth="1"/>
    <col min="14587" max="14587" width="9.33203125" style="47" customWidth="1"/>
    <col min="14588" max="14590" width="9.83203125" style="47" customWidth="1"/>
    <col min="14591" max="14591" width="14.5" style="47" customWidth="1"/>
    <col min="14592" max="14592" width="18.1640625" style="47" customWidth="1"/>
    <col min="14593" max="14593" width="13.1640625" style="47" customWidth="1"/>
    <col min="14594" max="14594" width="13" style="47" customWidth="1"/>
    <col min="14595" max="14595" width="11" style="47" customWidth="1"/>
    <col min="14596" max="14600" width="0" style="47" hidden="1" customWidth="1"/>
    <col min="14601" max="14601" width="14.33203125" style="47" customWidth="1"/>
    <col min="14602" max="14604" width="0" style="47" hidden="1" customWidth="1"/>
    <col min="14605" max="14605" width="14.33203125" style="47" customWidth="1"/>
    <col min="14606" max="14608" width="0" style="47" hidden="1" customWidth="1"/>
    <col min="14609" max="14609" width="14.33203125" style="47" customWidth="1"/>
    <col min="14610" max="14612" width="0" style="47" hidden="1" customWidth="1"/>
    <col min="14613" max="14614" width="14.33203125" style="47" customWidth="1"/>
    <col min="14615" max="14615" width="14.1640625" style="47" customWidth="1"/>
    <col min="14616" max="14616" width="10.5" style="47" customWidth="1"/>
    <col min="14617" max="14617" width="10.1640625" style="47" customWidth="1"/>
    <col min="14618" max="14618" width="11.6640625" style="47" customWidth="1"/>
    <col min="14619" max="14619" width="9.83203125" style="47" customWidth="1"/>
    <col min="14620" max="14620" width="10.1640625" style="47" customWidth="1"/>
    <col min="14621" max="14621" width="9" style="47" customWidth="1"/>
    <col min="14622" max="14622" width="9.83203125" style="47" customWidth="1"/>
    <col min="14623" max="14623" width="9" style="47" customWidth="1"/>
    <col min="14624" max="14812" width="8.83203125" style="47"/>
    <col min="14813" max="14813" width="13.5" style="47" customWidth="1"/>
    <col min="14814" max="14814" width="12.83203125" style="47" customWidth="1"/>
    <col min="14815" max="14815" width="11.1640625" style="47" customWidth="1"/>
    <col min="14816" max="14816" width="10.6640625" style="47" customWidth="1"/>
    <col min="14817" max="14817" width="8.5" style="47" customWidth="1"/>
    <col min="14818" max="14827" width="0" style="47" hidden="1" customWidth="1"/>
    <col min="14828" max="14828" width="12.5" style="47" customWidth="1"/>
    <col min="14829" max="14829" width="13.6640625" style="47" customWidth="1"/>
    <col min="14830" max="14833" width="0" style="47" hidden="1" customWidth="1"/>
    <col min="14834" max="14834" width="13.6640625" style="47" customWidth="1"/>
    <col min="14835" max="14835" width="12.5" style="47" customWidth="1"/>
    <col min="14836" max="14836" width="15.5" style="47" customWidth="1"/>
    <col min="14837" max="14837" width="13.6640625" style="47" customWidth="1"/>
    <col min="14838" max="14838" width="10.83203125" style="47" customWidth="1"/>
    <col min="14839" max="14839" width="10.33203125" style="47" customWidth="1"/>
    <col min="14840" max="14841" width="9.83203125" style="47" customWidth="1"/>
    <col min="14842" max="14842" width="10.83203125" style="47" customWidth="1"/>
    <col min="14843" max="14843" width="9.33203125" style="47" customWidth="1"/>
    <col min="14844" max="14846" width="9.83203125" style="47" customWidth="1"/>
    <col min="14847" max="14847" width="14.5" style="47" customWidth="1"/>
    <col min="14848" max="14848" width="18.1640625" style="47" customWidth="1"/>
    <col min="14849" max="14849" width="13.1640625" style="47" customWidth="1"/>
    <col min="14850" max="14850" width="13" style="47" customWidth="1"/>
    <col min="14851" max="14851" width="11" style="47" customWidth="1"/>
    <col min="14852" max="14856" width="0" style="47" hidden="1" customWidth="1"/>
    <col min="14857" max="14857" width="14.33203125" style="47" customWidth="1"/>
    <col min="14858" max="14860" width="0" style="47" hidden="1" customWidth="1"/>
    <col min="14861" max="14861" width="14.33203125" style="47" customWidth="1"/>
    <col min="14862" max="14864" width="0" style="47" hidden="1" customWidth="1"/>
    <col min="14865" max="14865" width="14.33203125" style="47" customWidth="1"/>
    <col min="14866" max="14868" width="0" style="47" hidden="1" customWidth="1"/>
    <col min="14869" max="14870" width="14.33203125" style="47" customWidth="1"/>
    <col min="14871" max="14871" width="14.1640625" style="47" customWidth="1"/>
    <col min="14872" max="14872" width="10.5" style="47" customWidth="1"/>
    <col min="14873" max="14873" width="10.1640625" style="47" customWidth="1"/>
    <col min="14874" max="14874" width="11.6640625" style="47" customWidth="1"/>
    <col min="14875" max="14875" width="9.83203125" style="47" customWidth="1"/>
    <col min="14876" max="14876" width="10.1640625" style="47" customWidth="1"/>
    <col min="14877" max="14877" width="9" style="47" customWidth="1"/>
    <col min="14878" max="14878" width="9.83203125" style="47" customWidth="1"/>
    <col min="14879" max="14879" width="9" style="47" customWidth="1"/>
    <col min="14880" max="15068" width="8.83203125" style="47"/>
    <col min="15069" max="15069" width="13.5" style="47" customWidth="1"/>
    <col min="15070" max="15070" width="12.83203125" style="47" customWidth="1"/>
    <col min="15071" max="15071" width="11.1640625" style="47" customWidth="1"/>
    <col min="15072" max="15072" width="10.6640625" style="47" customWidth="1"/>
    <col min="15073" max="15073" width="8.5" style="47" customWidth="1"/>
    <col min="15074" max="15083" width="0" style="47" hidden="1" customWidth="1"/>
    <col min="15084" max="15084" width="12.5" style="47" customWidth="1"/>
    <col min="15085" max="15085" width="13.6640625" style="47" customWidth="1"/>
    <col min="15086" max="15089" width="0" style="47" hidden="1" customWidth="1"/>
    <col min="15090" max="15090" width="13.6640625" style="47" customWidth="1"/>
    <col min="15091" max="15091" width="12.5" style="47" customWidth="1"/>
    <col min="15092" max="15092" width="15.5" style="47" customWidth="1"/>
    <col min="15093" max="15093" width="13.6640625" style="47" customWidth="1"/>
    <col min="15094" max="15094" width="10.83203125" style="47" customWidth="1"/>
    <col min="15095" max="15095" width="10.33203125" style="47" customWidth="1"/>
    <col min="15096" max="15097" width="9.83203125" style="47" customWidth="1"/>
    <col min="15098" max="15098" width="10.83203125" style="47" customWidth="1"/>
    <col min="15099" max="15099" width="9.33203125" style="47" customWidth="1"/>
    <col min="15100" max="15102" width="9.83203125" style="47" customWidth="1"/>
    <col min="15103" max="15103" width="14.5" style="47" customWidth="1"/>
    <col min="15104" max="15104" width="18.1640625" style="47" customWidth="1"/>
    <col min="15105" max="15105" width="13.1640625" style="47" customWidth="1"/>
    <col min="15106" max="15106" width="13" style="47" customWidth="1"/>
    <col min="15107" max="15107" width="11" style="47" customWidth="1"/>
    <col min="15108" max="15112" width="0" style="47" hidden="1" customWidth="1"/>
    <col min="15113" max="15113" width="14.33203125" style="47" customWidth="1"/>
    <col min="15114" max="15116" width="0" style="47" hidden="1" customWidth="1"/>
    <col min="15117" max="15117" width="14.33203125" style="47" customWidth="1"/>
    <col min="15118" max="15120" width="0" style="47" hidden="1" customWidth="1"/>
    <col min="15121" max="15121" width="14.33203125" style="47" customWidth="1"/>
    <col min="15122" max="15124" width="0" style="47" hidden="1" customWidth="1"/>
    <col min="15125" max="15126" width="14.33203125" style="47" customWidth="1"/>
    <col min="15127" max="15127" width="14.1640625" style="47" customWidth="1"/>
    <col min="15128" max="15128" width="10.5" style="47" customWidth="1"/>
    <col min="15129" max="15129" width="10.1640625" style="47" customWidth="1"/>
    <col min="15130" max="15130" width="11.6640625" style="47" customWidth="1"/>
    <col min="15131" max="15131" width="9.83203125" style="47" customWidth="1"/>
    <col min="15132" max="15132" width="10.1640625" style="47" customWidth="1"/>
    <col min="15133" max="15133" width="9" style="47" customWidth="1"/>
    <col min="15134" max="15134" width="9.83203125" style="47" customWidth="1"/>
    <col min="15135" max="15135" width="9" style="47" customWidth="1"/>
    <col min="15136" max="15324" width="8.83203125" style="47"/>
    <col min="15325" max="15325" width="13.5" style="47" customWidth="1"/>
    <col min="15326" max="15326" width="12.83203125" style="47" customWidth="1"/>
    <col min="15327" max="15327" width="11.1640625" style="47" customWidth="1"/>
    <col min="15328" max="15328" width="10.6640625" style="47" customWidth="1"/>
    <col min="15329" max="15329" width="8.5" style="47" customWidth="1"/>
    <col min="15330" max="15339" width="0" style="47" hidden="1" customWidth="1"/>
    <col min="15340" max="15340" width="12.5" style="47" customWidth="1"/>
    <col min="15341" max="15341" width="13.6640625" style="47" customWidth="1"/>
    <col min="15342" max="15345" width="0" style="47" hidden="1" customWidth="1"/>
    <col min="15346" max="15346" width="13.6640625" style="47" customWidth="1"/>
    <col min="15347" max="15347" width="12.5" style="47" customWidth="1"/>
    <col min="15348" max="15348" width="15.5" style="47" customWidth="1"/>
    <col min="15349" max="15349" width="13.6640625" style="47" customWidth="1"/>
    <col min="15350" max="15350" width="10.83203125" style="47" customWidth="1"/>
    <col min="15351" max="15351" width="10.33203125" style="47" customWidth="1"/>
    <col min="15352" max="15353" width="9.83203125" style="47" customWidth="1"/>
    <col min="15354" max="15354" width="10.83203125" style="47" customWidth="1"/>
    <col min="15355" max="15355" width="9.33203125" style="47" customWidth="1"/>
    <col min="15356" max="15358" width="9.83203125" style="47" customWidth="1"/>
    <col min="15359" max="15359" width="14.5" style="47" customWidth="1"/>
    <col min="15360" max="15360" width="18.1640625" style="47" customWidth="1"/>
    <col min="15361" max="15361" width="13.1640625" style="47" customWidth="1"/>
    <col min="15362" max="15362" width="13" style="47" customWidth="1"/>
    <col min="15363" max="15363" width="11" style="47" customWidth="1"/>
    <col min="15364" max="15368" width="0" style="47" hidden="1" customWidth="1"/>
    <col min="15369" max="15369" width="14.33203125" style="47" customWidth="1"/>
    <col min="15370" max="15372" width="0" style="47" hidden="1" customWidth="1"/>
    <col min="15373" max="15373" width="14.33203125" style="47" customWidth="1"/>
    <col min="15374" max="15376" width="0" style="47" hidden="1" customWidth="1"/>
    <col min="15377" max="15377" width="14.33203125" style="47" customWidth="1"/>
    <col min="15378" max="15380" width="0" style="47" hidden="1" customWidth="1"/>
    <col min="15381" max="15382" width="14.33203125" style="47" customWidth="1"/>
    <col min="15383" max="15383" width="14.1640625" style="47" customWidth="1"/>
    <col min="15384" max="15384" width="10.5" style="47" customWidth="1"/>
    <col min="15385" max="15385" width="10.1640625" style="47" customWidth="1"/>
    <col min="15386" max="15386" width="11.6640625" style="47" customWidth="1"/>
    <col min="15387" max="15387" width="9.83203125" style="47" customWidth="1"/>
    <col min="15388" max="15388" width="10.1640625" style="47" customWidth="1"/>
    <col min="15389" max="15389" width="9" style="47" customWidth="1"/>
    <col min="15390" max="15390" width="9.83203125" style="47" customWidth="1"/>
    <col min="15391" max="15391" width="9" style="47" customWidth="1"/>
    <col min="15392" max="15580" width="8.83203125" style="47"/>
    <col min="15581" max="15581" width="13.5" style="47" customWidth="1"/>
    <col min="15582" max="15582" width="12.83203125" style="47" customWidth="1"/>
    <col min="15583" max="15583" width="11.1640625" style="47" customWidth="1"/>
    <col min="15584" max="15584" width="10.6640625" style="47" customWidth="1"/>
    <col min="15585" max="15585" width="8.5" style="47" customWidth="1"/>
    <col min="15586" max="15595" width="0" style="47" hidden="1" customWidth="1"/>
    <col min="15596" max="15596" width="12.5" style="47" customWidth="1"/>
    <col min="15597" max="15597" width="13.6640625" style="47" customWidth="1"/>
    <col min="15598" max="15601" width="0" style="47" hidden="1" customWidth="1"/>
    <col min="15602" max="15602" width="13.6640625" style="47" customWidth="1"/>
    <col min="15603" max="15603" width="12.5" style="47" customWidth="1"/>
    <col min="15604" max="15604" width="15.5" style="47" customWidth="1"/>
    <col min="15605" max="15605" width="13.6640625" style="47" customWidth="1"/>
    <col min="15606" max="15606" width="10.83203125" style="47" customWidth="1"/>
    <col min="15607" max="15607" width="10.33203125" style="47" customWidth="1"/>
    <col min="15608" max="15609" width="9.83203125" style="47" customWidth="1"/>
    <col min="15610" max="15610" width="10.83203125" style="47" customWidth="1"/>
    <col min="15611" max="15611" width="9.33203125" style="47" customWidth="1"/>
    <col min="15612" max="15614" width="9.83203125" style="47" customWidth="1"/>
    <col min="15615" max="15615" width="14.5" style="47" customWidth="1"/>
    <col min="15616" max="15616" width="18.1640625" style="47" customWidth="1"/>
    <col min="15617" max="15617" width="13.1640625" style="47" customWidth="1"/>
    <col min="15618" max="15618" width="13" style="47" customWidth="1"/>
    <col min="15619" max="15619" width="11" style="47" customWidth="1"/>
    <col min="15620" max="15624" width="0" style="47" hidden="1" customWidth="1"/>
    <col min="15625" max="15625" width="14.33203125" style="47" customWidth="1"/>
    <col min="15626" max="15628" width="0" style="47" hidden="1" customWidth="1"/>
    <col min="15629" max="15629" width="14.33203125" style="47" customWidth="1"/>
    <col min="15630" max="15632" width="0" style="47" hidden="1" customWidth="1"/>
    <col min="15633" max="15633" width="14.33203125" style="47" customWidth="1"/>
    <col min="15634" max="15636" width="0" style="47" hidden="1" customWidth="1"/>
    <col min="15637" max="15638" width="14.33203125" style="47" customWidth="1"/>
    <col min="15639" max="15639" width="14.1640625" style="47" customWidth="1"/>
    <col min="15640" max="15640" width="10.5" style="47" customWidth="1"/>
    <col min="15641" max="15641" width="10.1640625" style="47" customWidth="1"/>
    <col min="15642" max="15642" width="11.6640625" style="47" customWidth="1"/>
    <col min="15643" max="15643" width="9.83203125" style="47" customWidth="1"/>
    <col min="15644" max="15644" width="10.1640625" style="47" customWidth="1"/>
    <col min="15645" max="15645" width="9" style="47" customWidth="1"/>
    <col min="15646" max="15646" width="9.83203125" style="47" customWidth="1"/>
    <col min="15647" max="15647" width="9" style="47" customWidth="1"/>
    <col min="15648" max="15836" width="8.83203125" style="47"/>
    <col min="15837" max="15837" width="13.5" style="47" customWidth="1"/>
    <col min="15838" max="15838" width="12.83203125" style="47" customWidth="1"/>
    <col min="15839" max="15839" width="11.1640625" style="47" customWidth="1"/>
    <col min="15840" max="15840" width="10.6640625" style="47" customWidth="1"/>
    <col min="15841" max="15841" width="8.5" style="47" customWidth="1"/>
    <col min="15842" max="15851" width="0" style="47" hidden="1" customWidth="1"/>
    <col min="15852" max="15852" width="12.5" style="47" customWidth="1"/>
    <col min="15853" max="15853" width="13.6640625" style="47" customWidth="1"/>
    <col min="15854" max="15857" width="0" style="47" hidden="1" customWidth="1"/>
    <col min="15858" max="15858" width="13.6640625" style="47" customWidth="1"/>
    <col min="15859" max="15859" width="12.5" style="47" customWidth="1"/>
    <col min="15860" max="15860" width="15.5" style="47" customWidth="1"/>
    <col min="15861" max="15861" width="13.6640625" style="47" customWidth="1"/>
    <col min="15862" max="15862" width="10.83203125" style="47" customWidth="1"/>
    <col min="15863" max="15863" width="10.33203125" style="47" customWidth="1"/>
    <col min="15864" max="15865" width="9.83203125" style="47" customWidth="1"/>
    <col min="15866" max="15866" width="10.83203125" style="47" customWidth="1"/>
    <col min="15867" max="15867" width="9.33203125" style="47" customWidth="1"/>
    <col min="15868" max="15870" width="9.83203125" style="47" customWidth="1"/>
    <col min="15871" max="15871" width="14.5" style="47" customWidth="1"/>
    <col min="15872" max="15872" width="18.1640625" style="47" customWidth="1"/>
    <col min="15873" max="15873" width="13.1640625" style="47" customWidth="1"/>
    <col min="15874" max="15874" width="13" style="47" customWidth="1"/>
    <col min="15875" max="15875" width="11" style="47" customWidth="1"/>
    <col min="15876" max="15880" width="0" style="47" hidden="1" customWidth="1"/>
    <col min="15881" max="15881" width="14.33203125" style="47" customWidth="1"/>
    <col min="15882" max="15884" width="0" style="47" hidden="1" customWidth="1"/>
    <col min="15885" max="15885" width="14.33203125" style="47" customWidth="1"/>
    <col min="15886" max="15888" width="0" style="47" hidden="1" customWidth="1"/>
    <col min="15889" max="15889" width="14.33203125" style="47" customWidth="1"/>
    <col min="15890" max="15892" width="0" style="47" hidden="1" customWidth="1"/>
    <col min="15893" max="15894" width="14.33203125" style="47" customWidth="1"/>
    <col min="15895" max="15895" width="14.1640625" style="47" customWidth="1"/>
    <col min="15896" max="15896" width="10.5" style="47" customWidth="1"/>
    <col min="15897" max="15897" width="10.1640625" style="47" customWidth="1"/>
    <col min="15898" max="15898" width="11.6640625" style="47" customWidth="1"/>
    <col min="15899" max="15899" width="9.83203125" style="47" customWidth="1"/>
    <col min="15900" max="15900" width="10.1640625" style="47" customWidth="1"/>
    <col min="15901" max="15901" width="9" style="47" customWidth="1"/>
    <col min="15902" max="15902" width="9.83203125" style="47" customWidth="1"/>
    <col min="15903" max="15903" width="9" style="47" customWidth="1"/>
    <col min="15904" max="16092" width="8.83203125" style="47"/>
    <col min="16093" max="16093" width="13.5" style="47" customWidth="1"/>
    <col min="16094" max="16094" width="12.83203125" style="47" customWidth="1"/>
    <col min="16095" max="16095" width="11.1640625" style="47" customWidth="1"/>
    <col min="16096" max="16096" width="10.6640625" style="47" customWidth="1"/>
    <col min="16097" max="16097" width="8.5" style="47" customWidth="1"/>
    <col min="16098" max="16107" width="0" style="47" hidden="1" customWidth="1"/>
    <col min="16108" max="16108" width="12.5" style="47" customWidth="1"/>
    <col min="16109" max="16109" width="13.6640625" style="47" customWidth="1"/>
    <col min="16110" max="16113" width="0" style="47" hidden="1" customWidth="1"/>
    <col min="16114" max="16114" width="13.6640625" style="47" customWidth="1"/>
    <col min="16115" max="16115" width="12.5" style="47" customWidth="1"/>
    <col min="16116" max="16116" width="15.5" style="47" customWidth="1"/>
    <col min="16117" max="16117" width="13.6640625" style="47" customWidth="1"/>
    <col min="16118" max="16118" width="10.83203125" style="47" customWidth="1"/>
    <col min="16119" max="16119" width="10.33203125" style="47" customWidth="1"/>
    <col min="16120" max="16121" width="9.83203125" style="47" customWidth="1"/>
    <col min="16122" max="16122" width="10.83203125" style="47" customWidth="1"/>
    <col min="16123" max="16123" width="9.33203125" style="47" customWidth="1"/>
    <col min="16124" max="16126" width="9.83203125" style="47" customWidth="1"/>
    <col min="16127" max="16127" width="14.5" style="47" customWidth="1"/>
    <col min="16128" max="16128" width="18.1640625" style="47" customWidth="1"/>
    <col min="16129" max="16129" width="13.1640625" style="47" customWidth="1"/>
    <col min="16130" max="16130" width="13" style="47" customWidth="1"/>
    <col min="16131" max="16131" width="11" style="47" customWidth="1"/>
    <col min="16132" max="16136" width="0" style="47" hidden="1" customWidth="1"/>
    <col min="16137" max="16137" width="14.33203125" style="47" customWidth="1"/>
    <col min="16138" max="16140" width="0" style="47" hidden="1" customWidth="1"/>
    <col min="16141" max="16141" width="14.33203125" style="47" customWidth="1"/>
    <col min="16142" max="16144" width="0" style="47" hidden="1" customWidth="1"/>
    <col min="16145" max="16145" width="14.33203125" style="47" customWidth="1"/>
    <col min="16146" max="16148" width="0" style="47" hidden="1" customWidth="1"/>
    <col min="16149" max="16150" width="14.33203125" style="47" customWidth="1"/>
    <col min="16151" max="16151" width="14.1640625" style="47" customWidth="1"/>
    <col min="16152" max="16152" width="10.5" style="47" customWidth="1"/>
    <col min="16153" max="16153" width="10.1640625" style="47" customWidth="1"/>
    <col min="16154" max="16154" width="11.6640625" style="47" customWidth="1"/>
    <col min="16155" max="16155" width="9.83203125" style="47" customWidth="1"/>
    <col min="16156" max="16156" width="10.1640625" style="47" customWidth="1"/>
    <col min="16157" max="16157" width="9" style="47" customWidth="1"/>
    <col min="16158" max="16158" width="9.83203125" style="47" customWidth="1"/>
    <col min="16159" max="16159" width="9" style="47" customWidth="1"/>
    <col min="16160" max="16384" width="8.83203125" style="47"/>
  </cols>
  <sheetData>
    <row r="1" spans="1:106" ht="16.5" customHeight="1" x14ac:dyDescent="0.2">
      <c r="B1" s="371" t="s">
        <v>180</v>
      </c>
      <c r="C1" s="372" t="s">
        <v>784</v>
      </c>
      <c r="D1" s="372"/>
      <c r="E1" s="56"/>
      <c r="F1" s="56"/>
      <c r="G1" s="56"/>
      <c r="H1" s="56"/>
      <c r="I1" s="56"/>
    </row>
    <row r="2" spans="1:106" ht="16.5" customHeight="1" thickBot="1" x14ac:dyDescent="0.3">
      <c r="B2" s="46" t="s">
        <v>45</v>
      </c>
      <c r="C2" s="53" t="s">
        <v>561</v>
      </c>
    </row>
    <row r="3" spans="1:106" s="56" customFormat="1" ht="16.5" customHeight="1" x14ac:dyDescent="0.2">
      <c r="A3" s="54"/>
      <c r="B3" s="55"/>
      <c r="G3" s="270" t="s">
        <v>46</v>
      </c>
      <c r="H3" s="271"/>
      <c r="I3" s="272"/>
      <c r="J3" s="271"/>
      <c r="K3" s="273">
        <f>C8</f>
        <v>10</v>
      </c>
      <c r="L3" s="274"/>
      <c r="P3" s="57"/>
      <c r="T3" s="58"/>
      <c r="U3" s="58"/>
      <c r="V3" s="58"/>
      <c r="W3" s="59"/>
      <c r="X3" s="58"/>
      <c r="Y3" s="60"/>
      <c r="AB3" s="57"/>
      <c r="AI3" s="58"/>
      <c r="AJ3" s="58"/>
      <c r="AM3" s="58"/>
      <c r="AN3" s="58"/>
      <c r="CL3" s="61"/>
    </row>
    <row r="4" spans="1:106" s="64" customFormat="1" ht="16.5" customHeight="1" thickBot="1" x14ac:dyDescent="0.25">
      <c r="A4" s="62"/>
      <c r="B4" s="1200" t="s">
        <v>213</v>
      </c>
      <c r="C4" s="1200"/>
      <c r="D4" s="1200"/>
      <c r="E4" s="1200"/>
      <c r="F4" s="56"/>
      <c r="G4" s="275" t="s">
        <v>181</v>
      </c>
      <c r="H4" s="276"/>
      <c r="I4" s="276"/>
      <c r="J4" s="276"/>
      <c r="K4" s="277" t="s">
        <v>207</v>
      </c>
      <c r="L4" s="278"/>
      <c r="M4" s="56"/>
      <c r="N4" s="63"/>
      <c r="P4" s="65"/>
      <c r="Q4" s="63"/>
      <c r="R4" s="63"/>
      <c r="S4" s="63"/>
      <c r="T4" s="66"/>
      <c r="U4" s="66"/>
      <c r="V4" s="66"/>
      <c r="W4" s="67"/>
      <c r="X4" s="66"/>
      <c r="Y4" s="68"/>
      <c r="AB4" s="65"/>
      <c r="AI4" s="66"/>
      <c r="AJ4" s="66"/>
      <c r="AM4" s="66"/>
      <c r="AN4" s="66"/>
      <c r="CL4" s="69"/>
    </row>
    <row r="5" spans="1:106" s="64" customFormat="1" ht="52.5" customHeight="1" thickBot="1" x14ac:dyDescent="0.25">
      <c r="A5" s="62"/>
      <c r="B5" s="1201"/>
      <c r="C5" s="1202"/>
      <c r="D5" s="1202"/>
      <c r="E5" s="1203"/>
      <c r="F5" s="56"/>
      <c r="G5" s="1204" t="s">
        <v>208</v>
      </c>
      <c r="H5" s="1205"/>
      <c r="I5" s="1205"/>
      <c r="J5" s="279"/>
      <c r="K5" s="277" t="s">
        <v>209</v>
      </c>
      <c r="L5" s="278"/>
      <c r="M5" s="58"/>
      <c r="P5" s="65"/>
      <c r="T5" s="66"/>
      <c r="U5" s="66"/>
      <c r="V5" s="66"/>
      <c r="W5" s="67"/>
      <c r="X5" s="66"/>
      <c r="Y5" s="68"/>
      <c r="AB5" s="65"/>
      <c r="AH5" s="70"/>
      <c r="AI5" s="66"/>
      <c r="AJ5" s="66"/>
      <c r="AM5" s="66"/>
      <c r="AN5" s="66"/>
      <c r="CL5" s="69"/>
    </row>
    <row r="6" spans="1:106" s="64" customFormat="1" ht="16.5" customHeight="1" x14ac:dyDescent="0.2">
      <c r="A6" s="62"/>
      <c r="B6" s="71" t="s">
        <v>47</v>
      </c>
      <c r="C6" s="72">
        <v>1873.91</v>
      </c>
      <c r="D6" s="73" t="s">
        <v>48</v>
      </c>
      <c r="E6" s="74" t="s">
        <v>49</v>
      </c>
      <c r="F6" s="75"/>
      <c r="G6" s="275" t="s">
        <v>182</v>
      </c>
      <c r="H6" s="276"/>
      <c r="I6" s="276"/>
      <c r="J6" s="276"/>
      <c r="K6" s="280">
        <v>0.6</v>
      </c>
      <c r="L6" s="281"/>
      <c r="M6" s="58"/>
      <c r="P6" s="76"/>
      <c r="T6" s="66"/>
      <c r="U6" s="66"/>
      <c r="V6" s="66"/>
      <c r="W6" s="67"/>
      <c r="X6" s="66"/>
      <c r="Y6" s="68"/>
      <c r="AB6" s="65"/>
      <c r="AI6" s="66"/>
      <c r="AJ6" s="66"/>
      <c r="AM6" s="66"/>
      <c r="AN6" s="66"/>
      <c r="CL6" s="69"/>
    </row>
    <row r="7" spans="1:106" s="64" customFormat="1" ht="16.5" customHeight="1" x14ac:dyDescent="0.2">
      <c r="A7" s="62"/>
      <c r="B7" s="77" t="s">
        <v>50</v>
      </c>
      <c r="C7" s="78">
        <v>0.192</v>
      </c>
      <c r="D7" s="79" t="s">
        <v>51</v>
      </c>
      <c r="E7" s="80">
        <v>13</v>
      </c>
      <c r="F7" s="75"/>
      <c r="G7" s="275" t="s">
        <v>183</v>
      </c>
      <c r="H7" s="276"/>
      <c r="I7" s="276"/>
      <c r="J7" s="276"/>
      <c r="K7" s="277" t="s">
        <v>210</v>
      </c>
      <c r="L7" s="281"/>
      <c r="M7" s="81"/>
      <c r="P7" s="65"/>
      <c r="T7" s="66"/>
      <c r="U7" s="66"/>
      <c r="V7" s="66"/>
      <c r="W7" s="67"/>
      <c r="X7" s="66"/>
      <c r="Y7" s="68"/>
      <c r="AB7" s="65"/>
      <c r="AI7" s="66"/>
      <c r="AJ7" s="66"/>
      <c r="AK7" s="239"/>
      <c r="AM7" s="66"/>
      <c r="AN7" s="66"/>
      <c r="CL7" s="69"/>
    </row>
    <row r="8" spans="1:106" s="64" customFormat="1" ht="16.5" customHeight="1" thickBot="1" x14ac:dyDescent="0.25">
      <c r="A8" s="62"/>
      <c r="B8" s="82" t="s">
        <v>52</v>
      </c>
      <c r="C8" s="83">
        <v>10</v>
      </c>
      <c r="D8" s="84" t="s">
        <v>53</v>
      </c>
      <c r="E8" s="85">
        <v>0.82699999999999996</v>
      </c>
      <c r="F8" s="75"/>
      <c r="G8" s="282" t="s">
        <v>211</v>
      </c>
      <c r="H8" s="283"/>
      <c r="I8" s="283"/>
      <c r="J8" s="283"/>
      <c r="K8" s="284" t="s">
        <v>212</v>
      </c>
      <c r="L8" s="285"/>
      <c r="M8" s="58"/>
      <c r="P8" s="65"/>
      <c r="T8" s="66"/>
      <c r="U8" s="66"/>
      <c r="V8" s="66"/>
      <c r="W8" s="67"/>
      <c r="X8" s="66"/>
      <c r="Y8" s="68"/>
      <c r="AB8" s="65"/>
      <c r="AI8" s="66"/>
      <c r="AJ8" s="66"/>
      <c r="AM8" s="66"/>
      <c r="AN8" s="66"/>
      <c r="CL8" s="69"/>
    </row>
    <row r="9" spans="1:106" s="90" customFormat="1" ht="16.5" customHeight="1" thickBot="1" x14ac:dyDescent="0.25">
      <c r="A9" s="86"/>
      <c r="B9" s="47"/>
      <c r="C9" s="47"/>
      <c r="D9" s="87"/>
      <c r="E9" s="88"/>
      <c r="F9" s="47"/>
      <c r="G9" s="47"/>
      <c r="H9" s="47"/>
      <c r="I9" s="47"/>
      <c r="J9" s="89"/>
      <c r="P9" s="91"/>
      <c r="T9" s="92"/>
      <c r="U9" s="92"/>
      <c r="V9" s="92"/>
      <c r="W9" s="93"/>
      <c r="X9" s="92"/>
      <c r="Y9" s="94"/>
      <c r="AB9" s="91"/>
      <c r="AI9" s="92"/>
      <c r="AJ9" s="92"/>
      <c r="AM9" s="92"/>
      <c r="AN9" s="92"/>
      <c r="CL9" s="95"/>
    </row>
    <row r="10" spans="1:106" s="97" customFormat="1" ht="34.5" customHeight="1" thickBot="1" x14ac:dyDescent="0.25">
      <c r="A10" s="96"/>
      <c r="B10" s="1206" t="s">
        <v>452</v>
      </c>
      <c r="C10" s="1207"/>
      <c r="D10" s="1207"/>
      <c r="E10" s="1207"/>
      <c r="F10" s="1207"/>
      <c r="G10" s="1207"/>
      <c r="H10" s="1207"/>
      <c r="I10" s="1207"/>
      <c r="J10" s="1207"/>
      <c r="K10" s="1207"/>
      <c r="L10" s="1207"/>
      <c r="M10" s="1207"/>
      <c r="N10" s="1207"/>
      <c r="O10" s="1207"/>
      <c r="P10" s="1207"/>
      <c r="Q10" s="1207"/>
      <c r="R10" s="1207"/>
      <c r="S10" s="1207"/>
      <c r="T10" s="1207"/>
      <c r="U10" s="1207"/>
      <c r="V10" s="1207"/>
      <c r="W10" s="1207"/>
      <c r="X10" s="1207"/>
      <c r="Y10" s="1207"/>
      <c r="Z10" s="1207"/>
      <c r="AA10" s="1207"/>
      <c r="AB10" s="1207"/>
      <c r="AC10" s="1207"/>
      <c r="AD10" s="1207"/>
      <c r="AE10" s="1207"/>
      <c r="AF10" s="1207"/>
      <c r="AG10" s="1207"/>
      <c r="AH10" s="1207"/>
      <c r="AI10" s="1207"/>
      <c r="AJ10" s="1207"/>
      <c r="AK10" s="1207"/>
      <c r="AL10" s="1207"/>
      <c r="AM10" s="1207"/>
      <c r="AN10" s="1207"/>
      <c r="AO10" s="1207"/>
      <c r="AP10" s="1207"/>
      <c r="AQ10" s="1207"/>
      <c r="AR10" s="1208"/>
      <c r="AT10" s="1206" t="s">
        <v>341</v>
      </c>
      <c r="AU10" s="1207"/>
      <c r="AV10" s="1207"/>
      <c r="AW10" s="1207"/>
      <c r="AX10" s="1207"/>
      <c r="AY10" s="1207"/>
      <c r="AZ10" s="1207"/>
      <c r="BA10" s="1207"/>
      <c r="BB10" s="1207"/>
      <c r="BC10" s="1207"/>
      <c r="BD10" s="1207"/>
      <c r="BE10" s="1207"/>
      <c r="BF10" s="1207"/>
      <c r="BG10" s="1207"/>
      <c r="BH10" s="1207"/>
      <c r="BI10" s="1207"/>
      <c r="BJ10" s="1207"/>
      <c r="BK10" s="1207"/>
      <c r="BL10" s="1207"/>
      <c r="BM10" s="1207"/>
      <c r="BN10" s="1207"/>
      <c r="BO10" s="1207"/>
      <c r="BP10" s="1207"/>
      <c r="BQ10" s="1207"/>
      <c r="BR10" s="1207"/>
      <c r="BS10" s="1207"/>
      <c r="BT10" s="1207"/>
      <c r="BU10" s="1207"/>
      <c r="BV10" s="1207"/>
      <c r="BW10" s="1207"/>
      <c r="BX10" s="1207"/>
      <c r="BY10" s="1207"/>
      <c r="BZ10" s="1207"/>
      <c r="CA10" s="1207"/>
      <c r="CB10" s="1207"/>
      <c r="CC10" s="1207"/>
      <c r="CD10" s="1207"/>
      <c r="CE10" s="1207"/>
      <c r="CF10" s="1207"/>
      <c r="CG10" s="1207"/>
      <c r="CH10" s="1207"/>
      <c r="CI10" s="1207"/>
      <c r="CJ10" s="1207"/>
      <c r="CK10" s="1207"/>
      <c r="CL10" s="1207"/>
      <c r="CM10" s="1207"/>
      <c r="CN10" s="1207"/>
      <c r="CO10" s="1207"/>
      <c r="CP10" s="1207"/>
      <c r="CQ10" s="1207"/>
      <c r="CR10" s="1207"/>
      <c r="CS10" s="1207"/>
      <c r="CT10" s="1207"/>
      <c r="CU10" s="1207"/>
      <c r="CV10" s="1207"/>
      <c r="CW10" s="1207"/>
      <c r="CX10" s="1207"/>
      <c r="CY10" s="1207"/>
      <c r="CZ10" s="1207"/>
      <c r="DA10" s="1207"/>
      <c r="DB10" s="1208"/>
    </row>
    <row r="11" spans="1:106" s="99" customFormat="1" ht="39.75" customHeight="1" x14ac:dyDescent="0.2">
      <c r="A11" s="98"/>
      <c r="B11" s="1248" t="s">
        <v>54</v>
      </c>
      <c r="C11" s="1250" t="s">
        <v>184</v>
      </c>
      <c r="D11" s="1209" t="s">
        <v>300</v>
      </c>
      <c r="E11" s="1241"/>
      <c r="F11" s="1209" t="s">
        <v>301</v>
      </c>
      <c r="G11" s="1209" t="s">
        <v>302</v>
      </c>
      <c r="H11" s="1209" t="s">
        <v>302</v>
      </c>
      <c r="I11" s="1209" t="s">
        <v>303</v>
      </c>
      <c r="J11" s="1209" t="s">
        <v>304</v>
      </c>
      <c r="K11" s="1209" t="s">
        <v>185</v>
      </c>
      <c r="L11" s="1212" t="s">
        <v>186</v>
      </c>
      <c r="M11" s="1209" t="s">
        <v>187</v>
      </c>
      <c r="N11" s="1209" t="s">
        <v>305</v>
      </c>
      <c r="O11" s="1209" t="s">
        <v>188</v>
      </c>
      <c r="P11" s="1214" t="s">
        <v>306</v>
      </c>
      <c r="Q11" s="1209" t="s">
        <v>307</v>
      </c>
      <c r="R11" s="1209" t="s">
        <v>308</v>
      </c>
      <c r="S11" s="1209" t="s">
        <v>309</v>
      </c>
      <c r="T11" s="1209" t="s">
        <v>154</v>
      </c>
      <c r="U11" s="1212" t="s">
        <v>189</v>
      </c>
      <c r="V11" s="1212" t="s">
        <v>190</v>
      </c>
      <c r="W11" s="1212" t="s">
        <v>191</v>
      </c>
      <c r="X11" s="1212" t="s">
        <v>155</v>
      </c>
      <c r="Y11" s="1254" t="s">
        <v>192</v>
      </c>
      <c r="Z11" s="1209" t="s">
        <v>55</v>
      </c>
      <c r="AA11" s="1209" t="s">
        <v>56</v>
      </c>
      <c r="AB11" s="1214" t="s">
        <v>310</v>
      </c>
      <c r="AC11" s="1212" t="s">
        <v>193</v>
      </c>
      <c r="AD11" s="1209" t="s">
        <v>58</v>
      </c>
      <c r="AE11" s="1209" t="s">
        <v>507</v>
      </c>
      <c r="AF11" s="1209" t="s">
        <v>508</v>
      </c>
      <c r="AG11" s="1209" t="s">
        <v>311</v>
      </c>
      <c r="AH11" s="1209" t="s">
        <v>312</v>
      </c>
      <c r="AI11" s="1241"/>
      <c r="AJ11" s="1242" t="s">
        <v>313</v>
      </c>
      <c r="AK11" s="1243"/>
      <c r="AL11" s="1244"/>
      <c r="AM11" s="1221" t="s">
        <v>314</v>
      </c>
      <c r="AN11" s="1222"/>
      <c r="AO11" s="1245" t="s">
        <v>315</v>
      </c>
      <c r="AP11" s="1246"/>
      <c r="AQ11" s="1209" t="s">
        <v>316</v>
      </c>
      <c r="AR11" s="1247"/>
      <c r="AS11" s="1237"/>
      <c r="AT11" s="1219" t="s">
        <v>59</v>
      </c>
      <c r="AU11" s="1225" t="s">
        <v>60</v>
      </c>
      <c r="AV11" s="397"/>
      <c r="AW11" s="1227" t="s">
        <v>61</v>
      </c>
      <c r="AX11" s="1227"/>
      <c r="AY11" s="1227"/>
      <c r="AZ11" s="1227"/>
      <c r="BA11" s="1228" t="s">
        <v>62</v>
      </c>
      <c r="BB11" s="1228"/>
      <c r="BC11" s="1229" t="s">
        <v>194</v>
      </c>
      <c r="BD11" s="1229" t="s">
        <v>63</v>
      </c>
      <c r="BE11" s="1229" t="s">
        <v>64</v>
      </c>
      <c r="BF11" s="1227" t="s">
        <v>65</v>
      </c>
      <c r="BG11" s="1227"/>
      <c r="BH11" s="1227" t="s">
        <v>66</v>
      </c>
      <c r="BI11" s="1227"/>
      <c r="BJ11" s="1227" t="s">
        <v>67</v>
      </c>
      <c r="BK11" s="1227"/>
      <c r="BL11" s="1227"/>
      <c r="BM11" s="1227"/>
      <c r="BN11" s="1227"/>
      <c r="BO11" s="1227"/>
      <c r="BP11" s="1227"/>
      <c r="BQ11" s="1227"/>
      <c r="BR11" s="1227"/>
      <c r="BS11" s="1227"/>
      <c r="BT11" s="1227"/>
      <c r="BU11" s="1227"/>
      <c r="BV11" s="1227" t="s">
        <v>68</v>
      </c>
      <c r="BW11" s="1227"/>
      <c r="BX11" s="1227"/>
      <c r="BY11" s="1227"/>
      <c r="BZ11" s="1227"/>
      <c r="CA11" s="1227" t="s">
        <v>69</v>
      </c>
      <c r="CB11" s="1227"/>
      <c r="CC11" s="1227"/>
      <c r="CD11" s="1227"/>
      <c r="CE11" s="1227"/>
      <c r="CF11" s="1227"/>
      <c r="CG11" s="1227" t="s">
        <v>70</v>
      </c>
      <c r="CH11" s="1227"/>
      <c r="CI11" s="1227" t="s">
        <v>195</v>
      </c>
      <c r="CJ11" s="1227"/>
      <c r="CK11" s="1227"/>
      <c r="CL11" s="1227"/>
      <c r="CM11" s="1227"/>
      <c r="CN11" s="1227" t="s">
        <v>71</v>
      </c>
      <c r="CO11" s="1227"/>
      <c r="CP11" s="1227"/>
      <c r="CQ11" s="1227"/>
      <c r="CR11" s="1227"/>
      <c r="CS11" s="1227"/>
      <c r="CT11" s="1227"/>
      <c r="CU11" s="1225" t="s">
        <v>72</v>
      </c>
      <c r="CV11" s="1225" t="s">
        <v>73</v>
      </c>
      <c r="CW11" s="1225" t="s">
        <v>74</v>
      </c>
      <c r="CX11" s="1225" t="s">
        <v>75</v>
      </c>
      <c r="CY11" s="1225" t="s">
        <v>76</v>
      </c>
      <c r="CZ11" s="1225" t="s">
        <v>77</v>
      </c>
      <c r="DA11" s="1256" t="s">
        <v>78</v>
      </c>
      <c r="DB11" s="1252" t="s">
        <v>506</v>
      </c>
    </row>
    <row r="12" spans="1:106" s="93" customFormat="1" ht="72.75" customHeight="1" x14ac:dyDescent="0.2">
      <c r="A12" s="100"/>
      <c r="B12" s="1249"/>
      <c r="C12" s="1251"/>
      <c r="D12" s="378" t="s">
        <v>79</v>
      </c>
      <c r="E12" s="378" t="s">
        <v>80</v>
      </c>
      <c r="F12" s="1211"/>
      <c r="G12" s="1211"/>
      <c r="H12" s="1210"/>
      <c r="I12" s="1211"/>
      <c r="J12" s="1211"/>
      <c r="K12" s="1211"/>
      <c r="L12" s="1213"/>
      <c r="M12" s="1211"/>
      <c r="N12" s="1211"/>
      <c r="O12" s="1211"/>
      <c r="P12" s="1215"/>
      <c r="Q12" s="1211"/>
      <c r="R12" s="1211"/>
      <c r="S12" s="1211"/>
      <c r="T12" s="1211"/>
      <c r="U12" s="1213"/>
      <c r="V12" s="1213"/>
      <c r="W12" s="1213"/>
      <c r="X12" s="1213"/>
      <c r="Y12" s="1255"/>
      <c r="Z12" s="1211"/>
      <c r="AA12" s="1211"/>
      <c r="AB12" s="1215"/>
      <c r="AC12" s="1213"/>
      <c r="AD12" s="1211"/>
      <c r="AE12" s="1211"/>
      <c r="AF12" s="1211"/>
      <c r="AG12" s="1211"/>
      <c r="AH12" s="379" t="s">
        <v>317</v>
      </c>
      <c r="AI12" s="379" t="s">
        <v>318</v>
      </c>
      <c r="AJ12" s="379" t="s">
        <v>319</v>
      </c>
      <c r="AK12" s="379" t="s">
        <v>317</v>
      </c>
      <c r="AL12" s="379" t="s">
        <v>318</v>
      </c>
      <c r="AM12" s="380" t="s">
        <v>317</v>
      </c>
      <c r="AN12" s="380" t="s">
        <v>318</v>
      </c>
      <c r="AO12" s="381" t="s">
        <v>317</v>
      </c>
      <c r="AP12" s="381" t="s">
        <v>318</v>
      </c>
      <c r="AQ12" s="379" t="s">
        <v>317</v>
      </c>
      <c r="AR12" s="382" t="s">
        <v>318</v>
      </c>
      <c r="AS12" s="1238"/>
      <c r="AT12" s="1220"/>
      <c r="AU12" s="1226"/>
      <c r="AV12" s="102" t="s">
        <v>196</v>
      </c>
      <c r="AW12" s="102" t="s">
        <v>81</v>
      </c>
      <c r="AX12" s="101" t="s">
        <v>197</v>
      </c>
      <c r="AY12" s="101" t="s">
        <v>82</v>
      </c>
      <c r="AZ12" s="101" t="s">
        <v>83</v>
      </c>
      <c r="BA12" s="101" t="s">
        <v>84</v>
      </c>
      <c r="BB12" s="101" t="s">
        <v>85</v>
      </c>
      <c r="BC12" s="1230"/>
      <c r="BD12" s="1230"/>
      <c r="BE12" s="1230"/>
      <c r="BF12" s="102" t="s">
        <v>86</v>
      </c>
      <c r="BG12" s="101" t="s">
        <v>87</v>
      </c>
      <c r="BH12" s="101" t="s">
        <v>88</v>
      </c>
      <c r="BI12" s="101" t="s">
        <v>89</v>
      </c>
      <c r="BJ12" s="101" t="s">
        <v>90</v>
      </c>
      <c r="BK12" s="101" t="s">
        <v>91</v>
      </c>
      <c r="BL12" s="101" t="s">
        <v>92</v>
      </c>
      <c r="BM12" s="101" t="s">
        <v>93</v>
      </c>
      <c r="BN12" s="101" t="s">
        <v>94</v>
      </c>
      <c r="BO12" s="101" t="s">
        <v>95</v>
      </c>
      <c r="BP12" s="101" t="s">
        <v>96</v>
      </c>
      <c r="BQ12" s="101" t="s">
        <v>97</v>
      </c>
      <c r="BR12" s="101" t="s">
        <v>98</v>
      </c>
      <c r="BS12" s="101" t="s">
        <v>99</v>
      </c>
      <c r="BT12" s="101" t="s">
        <v>100</v>
      </c>
      <c r="BU12" s="101" t="s">
        <v>101</v>
      </c>
      <c r="BV12" s="101" t="s">
        <v>102</v>
      </c>
      <c r="BW12" s="101" t="s">
        <v>103</v>
      </c>
      <c r="BX12" s="101" t="s">
        <v>104</v>
      </c>
      <c r="BY12" s="101" t="s">
        <v>105</v>
      </c>
      <c r="BZ12" s="101" t="s">
        <v>106</v>
      </c>
      <c r="CA12" s="101" t="s">
        <v>107</v>
      </c>
      <c r="CB12" s="101" t="s">
        <v>92</v>
      </c>
      <c r="CC12" s="101" t="s">
        <v>108</v>
      </c>
      <c r="CD12" s="101" t="s">
        <v>95</v>
      </c>
      <c r="CE12" s="101" t="s">
        <v>109</v>
      </c>
      <c r="CF12" s="101" t="s">
        <v>98</v>
      </c>
      <c r="CG12" s="101" t="s">
        <v>110</v>
      </c>
      <c r="CH12" s="101" t="s">
        <v>111</v>
      </c>
      <c r="CI12" s="101" t="s">
        <v>10</v>
      </c>
      <c r="CJ12" s="101" t="s">
        <v>112</v>
      </c>
      <c r="CK12" s="101" t="s">
        <v>113</v>
      </c>
      <c r="CL12" s="103" t="s">
        <v>114</v>
      </c>
      <c r="CM12" s="101" t="s">
        <v>115</v>
      </c>
      <c r="CN12" s="101" t="s">
        <v>90</v>
      </c>
      <c r="CO12" s="101" t="s">
        <v>93</v>
      </c>
      <c r="CP12" s="101" t="s">
        <v>91</v>
      </c>
      <c r="CQ12" s="101" t="s">
        <v>94</v>
      </c>
      <c r="CR12" s="101" t="s">
        <v>92</v>
      </c>
      <c r="CS12" s="101" t="s">
        <v>95</v>
      </c>
      <c r="CT12" s="101" t="s">
        <v>516</v>
      </c>
      <c r="CU12" s="1226"/>
      <c r="CV12" s="1226"/>
      <c r="CW12" s="1226"/>
      <c r="CX12" s="1226"/>
      <c r="CY12" s="1226"/>
      <c r="CZ12" s="1226"/>
      <c r="DA12" s="1257"/>
      <c r="DB12" s="1253"/>
    </row>
    <row r="13" spans="1:106" ht="16.5" customHeight="1" x14ac:dyDescent="0.2">
      <c r="A13" s="125"/>
      <c r="B13" s="375"/>
      <c r="C13" s="849"/>
      <c r="D13" s="849"/>
      <c r="E13" s="849"/>
      <c r="F13" s="849"/>
      <c r="G13" s="849"/>
      <c r="H13" s="849"/>
      <c r="I13" s="849"/>
      <c r="J13" s="849"/>
      <c r="K13" s="849"/>
      <c r="L13" s="849"/>
      <c r="M13" s="849"/>
      <c r="N13" s="849"/>
      <c r="O13" s="849"/>
      <c r="P13" s="376"/>
      <c r="Q13" s="849"/>
      <c r="R13" s="849"/>
      <c r="S13" s="849"/>
      <c r="T13" s="850"/>
      <c r="U13" s="850"/>
      <c r="V13" s="850"/>
      <c r="W13" s="851"/>
      <c r="X13" s="850"/>
      <c r="Y13" s="852"/>
      <c r="Z13" s="849"/>
      <c r="AA13" s="849"/>
      <c r="AB13" s="376"/>
      <c r="AC13" s="849"/>
      <c r="AD13" s="849"/>
      <c r="AE13" s="849"/>
      <c r="AF13" s="849"/>
      <c r="AG13" s="849"/>
      <c r="AH13" s="849"/>
      <c r="AI13" s="850"/>
      <c r="AJ13" s="850"/>
      <c r="AK13" s="849"/>
      <c r="AL13" s="853"/>
      <c r="AM13" s="850"/>
      <c r="AN13" s="850"/>
      <c r="AO13" s="849"/>
      <c r="AP13" s="849"/>
      <c r="AQ13" s="849"/>
      <c r="AR13" s="377"/>
      <c r="AS13" s="104"/>
      <c r="AT13" s="1220"/>
      <c r="AU13" s="388" t="s">
        <v>3</v>
      </c>
      <c r="AV13" s="389" t="s">
        <v>41</v>
      </c>
      <c r="AW13" s="389" t="s">
        <v>41</v>
      </c>
      <c r="AX13" s="389" t="s">
        <v>116</v>
      </c>
      <c r="AY13" s="389" t="s">
        <v>116</v>
      </c>
      <c r="AZ13" s="390" t="s">
        <v>40</v>
      </c>
      <c r="BA13" s="388" t="s">
        <v>3</v>
      </c>
      <c r="BB13" s="388" t="s">
        <v>3</v>
      </c>
      <c r="BC13" s="388" t="s">
        <v>3</v>
      </c>
      <c r="BD13" s="391" t="s">
        <v>40</v>
      </c>
      <c r="BE13" s="391" t="s">
        <v>40</v>
      </c>
      <c r="BF13" s="388" t="s">
        <v>3</v>
      </c>
      <c r="BG13" s="388" t="s">
        <v>3</v>
      </c>
      <c r="BH13" s="388" t="s">
        <v>3</v>
      </c>
      <c r="BI13" s="388" t="s">
        <v>3</v>
      </c>
      <c r="BJ13" s="388" t="s">
        <v>2</v>
      </c>
      <c r="BK13" s="388" t="s">
        <v>2</v>
      </c>
      <c r="BL13" s="388" t="s">
        <v>2</v>
      </c>
      <c r="BM13" s="388" t="s">
        <v>2</v>
      </c>
      <c r="BN13" s="388" t="s">
        <v>2</v>
      </c>
      <c r="BO13" s="388" t="s">
        <v>2</v>
      </c>
      <c r="BP13" s="388" t="s">
        <v>2</v>
      </c>
      <c r="BQ13" s="388" t="s">
        <v>2</v>
      </c>
      <c r="BR13" s="388" t="s">
        <v>2</v>
      </c>
      <c r="BS13" s="388" t="s">
        <v>2</v>
      </c>
      <c r="BT13" s="388" t="s">
        <v>2</v>
      </c>
      <c r="BU13" s="388" t="s">
        <v>2</v>
      </c>
      <c r="BV13" s="388" t="s">
        <v>2</v>
      </c>
      <c r="BW13" s="392" t="s">
        <v>117</v>
      </c>
      <c r="BX13" s="392" t="s">
        <v>117</v>
      </c>
      <c r="BY13" s="388" t="s">
        <v>2</v>
      </c>
      <c r="BZ13" s="388" t="s">
        <v>2</v>
      </c>
      <c r="CA13" s="388" t="s">
        <v>1</v>
      </c>
      <c r="CB13" s="388" t="s">
        <v>1</v>
      </c>
      <c r="CC13" s="388" t="s">
        <v>1</v>
      </c>
      <c r="CD13" s="388" t="s">
        <v>1</v>
      </c>
      <c r="CE13" s="388" t="s">
        <v>1</v>
      </c>
      <c r="CF13" s="388" t="s">
        <v>1</v>
      </c>
      <c r="CG13" s="388" t="s">
        <v>1</v>
      </c>
      <c r="CH13" s="388" t="s">
        <v>1</v>
      </c>
      <c r="CI13" s="390" t="s">
        <v>40</v>
      </c>
      <c r="CJ13" s="388" t="s">
        <v>2</v>
      </c>
      <c r="CK13" s="388" t="s">
        <v>2</v>
      </c>
      <c r="CL13" s="393" t="s">
        <v>117</v>
      </c>
      <c r="CM13" s="388" t="s">
        <v>2</v>
      </c>
      <c r="CN13" s="388" t="s">
        <v>2</v>
      </c>
      <c r="CO13" s="388" t="s">
        <v>2</v>
      </c>
      <c r="CP13" s="388" t="s">
        <v>2</v>
      </c>
      <c r="CQ13" s="388" t="s">
        <v>2</v>
      </c>
      <c r="CR13" s="388" t="s">
        <v>2</v>
      </c>
      <c r="CS13" s="388" t="s">
        <v>2</v>
      </c>
      <c r="CT13" s="388" t="s">
        <v>2</v>
      </c>
      <c r="CU13" s="388" t="s">
        <v>118</v>
      </c>
      <c r="CV13" s="388" t="s">
        <v>3</v>
      </c>
      <c r="CW13" s="388" t="s">
        <v>3</v>
      </c>
      <c r="CX13" s="388" t="s">
        <v>3</v>
      </c>
      <c r="CY13" s="388" t="s">
        <v>3</v>
      </c>
      <c r="CZ13" s="388" t="s">
        <v>3</v>
      </c>
      <c r="DA13" s="494" t="s">
        <v>3</v>
      </c>
      <c r="DB13" s="398" t="s">
        <v>3</v>
      </c>
    </row>
    <row r="14" spans="1:106" ht="16.5" customHeight="1" x14ac:dyDescent="0.2">
      <c r="B14" s="115" t="s">
        <v>584</v>
      </c>
      <c r="C14" s="373">
        <v>55</v>
      </c>
      <c r="D14" s="116">
        <v>1.34</v>
      </c>
      <c r="E14" s="116">
        <f>D14</f>
        <v>1.34</v>
      </c>
      <c r="F14" s="114">
        <v>0.6</v>
      </c>
      <c r="G14" s="114">
        <f>IF(E14&lt;1,1,E14^-0.15)</f>
        <v>0.95704923454750057</v>
      </c>
      <c r="H14" s="114">
        <f t="shared" ref="H14:H16" si="0">$E14^-0.15</f>
        <v>0.95704923454750057</v>
      </c>
      <c r="I14" s="114">
        <f>0.0725*F14*((J14*M14)^(0.333333333333333))</f>
        <v>0.52985558660289001</v>
      </c>
      <c r="J14" s="116">
        <f>$C$6*($C$8^$C$7)/(M14+$E$7)^$E$8</f>
        <v>239.3598986334367</v>
      </c>
      <c r="K14" s="114">
        <f>2.78*G14*E14*I14*J14/1000</f>
        <v>0.45216067086946998</v>
      </c>
      <c r="L14" s="114">
        <v>0</v>
      </c>
      <c r="M14" s="114">
        <f>10.57215256*(C14/1000)^0.5552*P14^-0.207</f>
        <v>7.5501119302414441</v>
      </c>
      <c r="N14" s="114">
        <f t="shared" ref="N14:N16" si="1">C14/(Y14*60)</f>
        <v>0.8446687754520199</v>
      </c>
      <c r="O14" s="114">
        <f>AM14-AN14</f>
        <v>0.11700000000007549</v>
      </c>
      <c r="P14" s="117">
        <f>O14/C14</f>
        <v>2.1272727272740998E-3</v>
      </c>
      <c r="Q14" s="114">
        <f>2.78*G14*J14*D14*I14/1000</f>
        <v>0.45216067086947004</v>
      </c>
      <c r="R14" s="114">
        <f>AH14-AI14</f>
        <v>1.7000000000052751E-2</v>
      </c>
      <c r="S14" s="118">
        <f>R14/C14</f>
        <v>3.0909090909186817E-4</v>
      </c>
      <c r="T14" s="246">
        <f>1.55*(K14*0.015/(P14)^(1/2))^(3/8)</f>
        <v>0.75532501801534757</v>
      </c>
      <c r="U14" s="240">
        <v>0</v>
      </c>
      <c r="V14" s="240">
        <v>0</v>
      </c>
      <c r="W14" s="240">
        <v>1</v>
      </c>
      <c r="X14" s="383">
        <v>0.8</v>
      </c>
      <c r="Y14" s="241">
        <f t="shared" ref="Y14:Y16" si="2">((AD14^(2/3))*(P14^0.5))/0.015</f>
        <v>1.0852380167316087</v>
      </c>
      <c r="Z14" s="114">
        <f>IF(W14=1,(K14*0.01)/(((X14)^(8/3))*(P14^0.5)),IF(W14=2,(K14*0.015*0.5)/(((X14)^(8/3))*(P14^0.5)),IF(W14=3,((K14*0.015)/3)/(((X14)^(8/3))*(P14^0.5)),"ERRO")))</f>
        <v>0.17774930027112498</v>
      </c>
      <c r="AA14" s="114">
        <f>VLOOKUP(Z14,$A$103:$C$202,2,TRUE)</f>
        <v>0.2621</v>
      </c>
      <c r="AB14" s="117">
        <f>VLOOKUP(Z14,$A$103:$C$202,3,TRUE)</f>
        <v>0.54</v>
      </c>
      <c r="AC14" s="114">
        <f>AB14*X14</f>
        <v>0.43200000000000005</v>
      </c>
      <c r="AD14" s="114">
        <f>AA14*X14</f>
        <v>0.20968000000000001</v>
      </c>
      <c r="AE14" s="114">
        <f t="shared" ref="AE14:AE16" si="3">((1/0.015)*((0.3042*X14)^(2/3))*(0.6736*(X14^2)*(SQRT(P14))))*W14</f>
        <v>0.51669609265924732</v>
      </c>
      <c r="AF14" s="114">
        <f t="shared" ref="AF14:AF16" si="4">((1/0.015)*((0.3042*V14)^(2/3))*(0.6736*(V14^2)*(SQRT(P14))))*U14</f>
        <v>0</v>
      </c>
      <c r="AG14" s="241">
        <f>AE14+AF14</f>
        <v>0.51669609265924732</v>
      </c>
      <c r="AH14" s="368">
        <v>525.33100000000002</v>
      </c>
      <c r="AI14" s="368">
        <v>525.31399999999996</v>
      </c>
      <c r="AJ14" s="142"/>
      <c r="AK14" s="116">
        <v>1.4</v>
      </c>
      <c r="AL14" s="116">
        <v>1.5</v>
      </c>
      <c r="AM14" s="244">
        <f t="shared" ref="AM14:AM16" si="5">AH14-AK14</f>
        <v>523.93100000000004</v>
      </c>
      <c r="AN14" s="244">
        <f t="shared" ref="AN14:AN16" si="6">AI14-AL14</f>
        <v>523.81399999999996</v>
      </c>
      <c r="AO14" s="114">
        <f t="shared" ref="AO14:AO16" si="7">AM14+AC14</f>
        <v>524.36300000000006</v>
      </c>
      <c r="AP14" s="114">
        <f t="shared" ref="AP14:AP16" si="8">AN14+AC14</f>
        <v>524.24599999999998</v>
      </c>
      <c r="AQ14" s="116">
        <f t="shared" ref="AQ14:AQ16" si="9">AH14-X14*1.105-AM14</f>
        <v>0.51599999999996271</v>
      </c>
      <c r="AR14" s="119">
        <f t="shared" ref="AR14:AR16" si="10">AI14-X14*1.105-AN14</f>
        <v>0.61599999999998545</v>
      </c>
      <c r="AS14" s="104"/>
      <c r="AT14" s="105" t="str">
        <f t="shared" ref="AT14:AU16" si="11">B14</f>
        <v xml:space="preserve">TR-01 </v>
      </c>
      <c r="AU14" s="106">
        <f t="shared" si="11"/>
        <v>55</v>
      </c>
      <c r="AV14" s="107">
        <f t="shared" ref="AV14:AV17" si="12">U14</f>
        <v>0</v>
      </c>
      <c r="AW14" s="107">
        <f t="shared" ref="AW14:AW16" si="13">W14</f>
        <v>1</v>
      </c>
      <c r="AX14" s="107">
        <f t="shared" ref="AX14:AX17" si="14">V14</f>
        <v>0</v>
      </c>
      <c r="AY14" s="107">
        <f>X14*1000</f>
        <v>800</v>
      </c>
      <c r="AZ14" s="108" t="str">
        <f>IF(AY14=600,"PS-1","PA-1")</f>
        <v>PA-1</v>
      </c>
      <c r="BA14" s="109">
        <f>AK14</f>
        <v>1.4</v>
      </c>
      <c r="BB14" s="109">
        <f>AL14</f>
        <v>1.5</v>
      </c>
      <c r="BC14" s="109">
        <f>IF(AY14&gt;=1000,0.2,0)</f>
        <v>0</v>
      </c>
      <c r="BD14" s="110">
        <v>4</v>
      </c>
      <c r="BE14" s="110" t="str">
        <f>IF(BF14&gt;1.25,"Com","Sem")</f>
        <v>Com</v>
      </c>
      <c r="BF14" s="109">
        <f>AVERAGE(BA14:BB14)</f>
        <v>1.45</v>
      </c>
      <c r="BG14" s="109">
        <f>BF14+BC14+0.21*AY14/1000</f>
        <v>1.6179999999999999</v>
      </c>
      <c r="BH14" s="109">
        <f>IF(AW14=1,2*AY14/1000,IF(AW14=2,((1.21*2*(AY14/1000))+0.4),IF(AW14=3,((3*1.21*(AY14/1000))+0.6),0)))</f>
        <v>1.6</v>
      </c>
      <c r="BI14" s="109">
        <f>IF(BD14=0,BH14,BH14+2*(1/BD14)*BG14)</f>
        <v>2.4089999999999998</v>
      </c>
      <c r="BJ14" s="109" t="str">
        <f>IF(AND(BG14&lt;=1.5,BI14&lt;=0.8),(BI14+BH14)*BG14/2*AU14,"")</f>
        <v/>
      </c>
      <c r="BK14" s="109" t="str">
        <f>IF(AND(BG14&lt;=1.5,BI14&gt;0.8,BI14&lt;=1.5),(BI14+BH14)*BG14/2*AU14,"")</f>
        <v/>
      </c>
      <c r="BL14" s="109" t="str">
        <f>IF(AND(BG14&lt;=1.5,BI14&gt;1.5),(BI14+BH14)*BG14/2*AU14,"")</f>
        <v/>
      </c>
      <c r="BM14" s="109" t="str">
        <f>IF(AND(BG14&gt;1.5,BG14&lt;=3,BI14&lt;=0.8),(BI14+BH14)*BG14/2*AU14,"")</f>
        <v/>
      </c>
      <c r="BN14" s="109" t="str">
        <f>IF(AND(BG14&gt;1.5,BG14&lt;=3,BI14&gt;0.8,BI14&lt;=1.5),(BI14+BH14)*BG14/2*AU14,"")</f>
        <v/>
      </c>
      <c r="BO14" s="109">
        <f>IF(AND(BG14&gt;1.5,BG14&lt;=3,BI14&gt;1.5),(BI14+BH14)*BG14/2*AU14,"")</f>
        <v>178.38045500000001</v>
      </c>
      <c r="BP14" s="109" t="str">
        <f>IF(AND(BG14&gt;3,BG14&lt;=4.5,BI14&lt;=0.8),(BI14+BH14)*BG14/2*AU14,"")</f>
        <v/>
      </c>
      <c r="BQ14" s="109" t="str">
        <f>IF(AND(BG14&gt;3,BG14&lt;=4.5,BI14&gt;0.8,BI14&lt;=1.5),(BI14+BH14)*BG14/2*AU14,"")</f>
        <v/>
      </c>
      <c r="BR14" s="109" t="str">
        <f>IF(AND(BG14&gt;3,BG14&lt;=4.5,BI14&gt;1.5),(BI14+BH14)*BG14/2*AU14,"")</f>
        <v/>
      </c>
      <c r="BS14" s="109" t="str">
        <f>IF(AND(BG14&gt;4.5,BI14&lt;=0.8),(BI14+BH14)*BG14/2*AU14,"")</f>
        <v/>
      </c>
      <c r="BT14" s="109" t="str">
        <f>IF(AND(BG14&gt;4.5,BI14&gt;0.8,BI14&lt;=1.5),(BI14+BH14)*BG14/2*AU14,"")</f>
        <v/>
      </c>
      <c r="BU14" s="109" t="str">
        <f>IF(AND(BG14&gt;4.5,BI14&gt;1.5),(BI14+BH14)*BG14/2*AU14,"")</f>
        <v/>
      </c>
      <c r="BV14" s="109">
        <f>(PI()*(AY14/1000*1.21)^2/4*AU14)*AW14</f>
        <v>40.476531076263178</v>
      </c>
      <c r="BW14" s="111">
        <v>0</v>
      </c>
      <c r="BX14" s="111">
        <v>0.15</v>
      </c>
      <c r="BY14" s="109">
        <f>BW14*SUM(BJ14:BU14)</f>
        <v>0</v>
      </c>
      <c r="BZ14" s="109">
        <f>MAX(BY14,BV14)*(1+BX14)</f>
        <v>46.548010737702654</v>
      </c>
      <c r="CA14" s="109" t="str">
        <f>IF(BE14="Sem","",IF(AND(BG14&lt;=1.5,BI14&lt;=1.5),2*BG14*AU14,""))</f>
        <v/>
      </c>
      <c r="CB14" s="109" t="str">
        <f>IF(BE14="Sem","",IF(AND(BG14&lt;=1.5,BI14&gt;1.5),2*BG14*AU14,""))</f>
        <v/>
      </c>
      <c r="CC14" s="109" t="str">
        <f>IF(BE14="Sem","",IF(AND(BG14&gt;1.5,BG14&lt;=3,BI14&lt;=1.5),2*BG14*AU14,""))</f>
        <v/>
      </c>
      <c r="CD14" s="109">
        <f>IF(BE14="Sem","",IF(AND(BG14&gt;1.5,BG14&lt;=3,BI14&gt;1.5),2*BG14*AU14,""))</f>
        <v>177.98</v>
      </c>
      <c r="CE14" s="109" t="str">
        <f>IF(BE14="Sem","",IF(AND(BG14&gt;3,BI14&lt;=1.5),2*BG14*AU14,""))</f>
        <v/>
      </c>
      <c r="CF14" s="109" t="str">
        <f>IF(BE14="Sem","",IF(AND(BG14&gt;3,BI14&gt;1.5),2*BG14*AU14,""))</f>
        <v/>
      </c>
      <c r="CG14" s="109" t="str">
        <f>IF(BC14&lt;&gt;0,"",IF(BH14&lt;1.5,BH14*AU14,""))</f>
        <v/>
      </c>
      <c r="CH14" s="109">
        <f>IF(BC14&lt;&gt;0,"",IF(BH14&gt;=1.5,BH14*AU14,""))</f>
        <v>88</v>
      </c>
      <c r="CI14" s="108" t="str">
        <f t="shared" ref="CI14:CI17" si="15">IF(BC14=0,"-","Brita")</f>
        <v>-</v>
      </c>
      <c r="CJ14" s="109" t="str">
        <f>IF(BC14=0,"",IF(BH14&lt;1.5,BC14*BH14*AU14,""))</f>
        <v/>
      </c>
      <c r="CK14" s="109" t="str">
        <f>IF(BC14=0,"",IF(BH14&gt;=1.5,BC14*BH14*AU14,""))</f>
        <v/>
      </c>
      <c r="CL14" s="112">
        <v>0.1</v>
      </c>
      <c r="CM14" s="109">
        <f>SUM(CJ14:CK14)*(1+CL14)</f>
        <v>0</v>
      </c>
      <c r="CN14" s="109" t="str">
        <f>IF(AND(BG14&lt;=1.5,BI14&lt;=0.8),SUM(BJ14:BU14)-BV14,"")</f>
        <v/>
      </c>
      <c r="CO14" s="109" t="str">
        <f t="shared" ref="CO14:CO17" si="16">IF(AND(BG14&gt;1.5,BG14&lt;=3,BI14&lt;=0.8),SUM(BJ14:BU14)-BV14,"")</f>
        <v/>
      </c>
      <c r="CP14" s="109" t="str">
        <f>IF(AND(BG14&lt;=1.5,BI14&gt;0.8,BI14&lt;=1.5),SUM(BJ14:BU14)-BV14,"")</f>
        <v/>
      </c>
      <c r="CQ14" s="109" t="str">
        <f t="shared" ref="CQ14:CQ17" si="17">IF(AND(BG14&gt;1.5,BG14&lt;=3,BI14&gt;0.8,BI14&lt;=1.5),SUM(BJ14:BU14)-BV14,"")</f>
        <v/>
      </c>
      <c r="CR14" s="109" t="str">
        <f t="shared" ref="CR14:CR17" si="18">IF(AND(BG14&lt;=1.5,BI14&gt;1.5),SUM(BJ14:BU14)-BV14,"")</f>
        <v/>
      </c>
      <c r="CS14" s="109">
        <f t="shared" ref="CS14:CS17" si="19">IF(AND(BG14&gt;1.5,BG14&lt;=3,BI14&gt;1.5),SUM(BJ14:BU14)-BV14,"")</f>
        <v>137.90392392373684</v>
      </c>
      <c r="CT14" s="109" t="str">
        <f t="shared" ref="CT14:CT17" si="20">IF(AND(BG14&gt;3,BG14&lt;=6,BI14&gt;1.5),SUM(BJ14:BU14)-BV14,"")</f>
        <v/>
      </c>
      <c r="CU14" s="109">
        <f>HLOOKUP(AY14,$AV$25:$BA$26,2,FALSE)*AU14*AW14</f>
        <v>29.150000000000002</v>
      </c>
      <c r="CV14" s="109">
        <f t="shared" ref="CV14:CV17" si="21">IF(AY14=400,AU14*AW14,0)</f>
        <v>0</v>
      </c>
      <c r="CW14" s="109">
        <f t="shared" ref="CW14:CW17" si="22">IF($AY14=600,$AU14*AW14,0)</f>
        <v>0</v>
      </c>
      <c r="CX14" s="109">
        <f t="shared" ref="CX14:CX17" si="23">IF($AY14=800,$AU14*AW14,0)</f>
        <v>55</v>
      </c>
      <c r="CY14" s="109">
        <f t="shared" ref="CY14:CY17" si="24">IF($AY14=1000,$AU14*AW14,0)</f>
        <v>0</v>
      </c>
      <c r="CZ14" s="109">
        <f t="shared" ref="CZ14:CZ17" si="25">IF($AY14=1200,$AU14*AW14,0)</f>
        <v>0</v>
      </c>
      <c r="DA14" s="495">
        <f t="shared" ref="DA14:DA17" si="26">IF($AY14=1500,$AU14*AW14,0)</f>
        <v>0</v>
      </c>
      <c r="DB14" s="113">
        <f t="shared" ref="DB14:DB16" si="27">IF(AK14=0,0,(IF(AK14&lt;=1.9,0.3,AK14-1.5)))</f>
        <v>0.3</v>
      </c>
    </row>
    <row r="15" spans="1:106" ht="16.5" customHeight="1" x14ac:dyDescent="0.2">
      <c r="B15" s="115" t="s">
        <v>585</v>
      </c>
      <c r="C15" s="373">
        <v>55</v>
      </c>
      <c r="D15" s="116">
        <v>1.3</v>
      </c>
      <c r="E15" s="116">
        <f>D15</f>
        <v>1.3</v>
      </c>
      <c r="F15" s="114">
        <v>0.6</v>
      </c>
      <c r="G15" s="114">
        <f t="shared" ref="G15" si="28">IF(E15&lt;1,1,E15^-0.15)</f>
        <v>0.96140969466433979</v>
      </c>
      <c r="H15" s="114">
        <f t="shared" si="0"/>
        <v>0.96140969466433979</v>
      </c>
      <c r="I15" s="114">
        <f t="shared" ref="I15" si="29">0.0725*F15*((J15*M15)^(0.333333333333333))</f>
        <v>0.50449087463013087</v>
      </c>
      <c r="J15" s="116">
        <f t="shared" ref="J15" si="30">$C$6*($C$8^$C$7)/(M15+$E$7)^$E$8</f>
        <v>253.7812527001507</v>
      </c>
      <c r="K15" s="114">
        <f t="shared" ref="K15" si="31">2.78*G15*E15*I15*J15/1000</f>
        <v>0.44484580269600515</v>
      </c>
      <c r="L15" s="114">
        <v>0</v>
      </c>
      <c r="M15" s="114">
        <f>10.57215256*(C15/1000)^0.5552*P15^-0.207</f>
        <v>6.1465672462376642</v>
      </c>
      <c r="N15" s="114">
        <f t="shared" si="1"/>
        <v>0.53042074904076131</v>
      </c>
      <c r="O15" s="114">
        <f t="shared" ref="O15" si="32">AM15-AN15</f>
        <v>0.31600000000003092</v>
      </c>
      <c r="P15" s="117">
        <f t="shared" ref="P15" si="33">O15/C15</f>
        <v>5.7454545454551078E-3</v>
      </c>
      <c r="Q15" s="114">
        <f t="shared" ref="Q15" si="34">2.78*G15*J15*D15*I15/1000</f>
        <v>0.44484580269600515</v>
      </c>
      <c r="R15" s="114">
        <f t="shared" ref="R15" si="35">AH15-AI15</f>
        <v>0.21600000000000819</v>
      </c>
      <c r="S15" s="118">
        <f t="shared" ref="S15" si="36">R15/C15</f>
        <v>3.9272727272728764E-3</v>
      </c>
      <c r="T15" s="246">
        <f t="shared" ref="T15" si="37">1.55*(K15*0.015/(P15)^(1/2))^(3/8)</f>
        <v>0.62311923556729198</v>
      </c>
      <c r="U15" s="240">
        <v>0</v>
      </c>
      <c r="V15" s="240">
        <v>0</v>
      </c>
      <c r="W15" s="240">
        <v>1</v>
      </c>
      <c r="X15" s="383">
        <v>0.8</v>
      </c>
      <c r="Y15" s="241">
        <f t="shared" si="2"/>
        <v>1.7281877986945482</v>
      </c>
      <c r="Z15" s="114">
        <f t="shared" ref="Z15" si="38">IF(W15=1,(K15*0.015)/(((X15)^(8/3))*(P15^0.5)),IF(W15=2,(K15*0.015*0.5)/(((X15)^(8/3))*(P15^0.5)),IF(W15=3,((K15*0.015)/3)/(((X15)^(8/3))*(P15^0.5)),"ERRO")))</f>
        <v>0.15961189765170233</v>
      </c>
      <c r="AA15" s="114">
        <f>VLOOKUP(Z15,$A$103:$C$202,2,TRUE)</f>
        <v>0.25</v>
      </c>
      <c r="AB15" s="117">
        <f>VLOOKUP(Z15,$A$103:$C$202,3,TRUE)</f>
        <v>0.5</v>
      </c>
      <c r="AC15" s="114">
        <f t="shared" ref="AC15" si="39">AB15*X15</f>
        <v>0.4</v>
      </c>
      <c r="AD15" s="114">
        <f t="shared" ref="AD15" si="40">AA15*X15</f>
        <v>0.2</v>
      </c>
      <c r="AE15" s="114">
        <f t="shared" si="3"/>
        <v>0.8491526862061608</v>
      </c>
      <c r="AF15" s="114">
        <f t="shared" si="4"/>
        <v>0</v>
      </c>
      <c r="AG15" s="241">
        <f t="shared" ref="AG15" si="41">AE15+AF15</f>
        <v>0.8491526862061608</v>
      </c>
      <c r="AH15" s="368">
        <v>524.90700000000004</v>
      </c>
      <c r="AI15" s="368">
        <v>524.69100000000003</v>
      </c>
      <c r="AJ15" s="142"/>
      <c r="AK15" s="116">
        <v>1.4</v>
      </c>
      <c r="AL15" s="116">
        <v>1.5</v>
      </c>
      <c r="AM15" s="244">
        <f t="shared" si="5"/>
        <v>523.50700000000006</v>
      </c>
      <c r="AN15" s="244">
        <f t="shared" si="6"/>
        <v>523.19100000000003</v>
      </c>
      <c r="AO15" s="114">
        <f t="shared" si="7"/>
        <v>523.90700000000004</v>
      </c>
      <c r="AP15" s="114">
        <f t="shared" si="8"/>
        <v>523.59100000000001</v>
      </c>
      <c r="AQ15" s="116">
        <f t="shared" si="9"/>
        <v>0.51599999999996271</v>
      </c>
      <c r="AR15" s="119">
        <f t="shared" si="10"/>
        <v>0.61599999999998545</v>
      </c>
      <c r="AS15" s="104"/>
      <c r="AT15" s="105" t="str">
        <f t="shared" si="11"/>
        <v xml:space="preserve">TR-02 </v>
      </c>
      <c r="AU15" s="106">
        <f t="shared" si="11"/>
        <v>55</v>
      </c>
      <c r="AV15" s="107">
        <f t="shared" si="12"/>
        <v>0</v>
      </c>
      <c r="AW15" s="107">
        <f t="shared" si="13"/>
        <v>1</v>
      </c>
      <c r="AX15" s="107">
        <f t="shared" si="14"/>
        <v>0</v>
      </c>
      <c r="AY15" s="107">
        <f t="shared" ref="AY15" si="42">X15*1000</f>
        <v>800</v>
      </c>
      <c r="AZ15" s="108" t="str">
        <f t="shared" ref="AZ15" si="43">IF(AY15=600,"PS-1","PA-1")</f>
        <v>PA-1</v>
      </c>
      <c r="BA15" s="109">
        <f t="shared" ref="BA15:BB15" si="44">AK15</f>
        <v>1.4</v>
      </c>
      <c r="BB15" s="109">
        <f t="shared" si="44"/>
        <v>1.5</v>
      </c>
      <c r="BC15" s="109">
        <f t="shared" ref="BC15" si="45">IF(AY15&gt;=1000,0.2,0)</f>
        <v>0</v>
      </c>
      <c r="BD15" s="110">
        <v>4</v>
      </c>
      <c r="BE15" s="110" t="str">
        <f t="shared" ref="BE15" si="46">IF(BF15&gt;1.25,"Com","Sem")</f>
        <v>Com</v>
      </c>
      <c r="BF15" s="109">
        <f t="shared" ref="BF15" si="47">AVERAGE(BA15:BB15)</f>
        <v>1.45</v>
      </c>
      <c r="BG15" s="109">
        <f t="shared" ref="BG15" si="48">BF15+BC15+0.21*AY15/1000</f>
        <v>1.6179999999999999</v>
      </c>
      <c r="BH15" s="109">
        <f t="shared" ref="BH15" si="49">IF(AW15=1,2*AY15/1000,IF(AW15=2,((1.21*2*(AY15/1000))+0.4),IF(AW15=3,((3*1.21*(AY15/1000))+0.6),0)))</f>
        <v>1.6</v>
      </c>
      <c r="BI15" s="109">
        <f t="shared" ref="BI15" si="50">IF(BD15=0,BH15,BH15+2*(1/BD15)*BG15)</f>
        <v>2.4089999999999998</v>
      </c>
      <c r="BJ15" s="109" t="str">
        <f t="shared" ref="BJ15" si="51">IF(AND(BG15&lt;=1.5,BI15&lt;=0.8),(BI15+BH15)*BG15/2*AU15,"")</f>
        <v/>
      </c>
      <c r="BK15" s="109" t="str">
        <f t="shared" ref="BK15" si="52">IF(AND(BG15&lt;=1.5,BI15&gt;0.8,BI15&lt;=1.5),(BI15+BH15)*BG15/2*AU15,"")</f>
        <v/>
      </c>
      <c r="BL15" s="109" t="str">
        <f t="shared" ref="BL15" si="53">IF(AND(BG15&lt;=1.5,BI15&gt;1.5),(BI15+BH15)*BG15/2*AU15,"")</f>
        <v/>
      </c>
      <c r="BM15" s="109" t="str">
        <f t="shared" ref="BM15" si="54">IF(AND(BG15&gt;1.5,BG15&lt;=3,BI15&lt;=0.8),(BI15+BH15)*BG15/2*AU15,"")</f>
        <v/>
      </c>
      <c r="BN15" s="109" t="str">
        <f t="shared" ref="BN15" si="55">IF(AND(BG15&gt;1.5,BG15&lt;=3,BI15&gt;0.8,BI15&lt;=1.5),(BI15+BH15)*BG15/2*AU15,"")</f>
        <v/>
      </c>
      <c r="BO15" s="109">
        <f t="shared" ref="BO15" si="56">IF(AND(BG15&gt;1.5,BG15&lt;=3,BI15&gt;1.5),(BI15+BH15)*BG15/2*AU15,"")</f>
        <v>178.38045500000001</v>
      </c>
      <c r="BP15" s="109" t="str">
        <f t="shared" ref="BP15" si="57">IF(AND(BG15&gt;3,BG15&lt;=4.5,BI15&lt;=0.8),(BI15+BH15)*BG15/2*AU15,"")</f>
        <v/>
      </c>
      <c r="BQ15" s="109" t="str">
        <f t="shared" ref="BQ15" si="58">IF(AND(BG15&gt;3,BG15&lt;=4.5,BI15&gt;0.8,BI15&lt;=1.5),(BI15+BH15)*BG15/2*AU15,"")</f>
        <v/>
      </c>
      <c r="BR15" s="109" t="str">
        <f t="shared" ref="BR15" si="59">IF(AND(BG15&gt;3,BG15&lt;=4.5,BI15&gt;1.5),(BI15+BH15)*BG15/2*AU15,"")</f>
        <v/>
      </c>
      <c r="BS15" s="109" t="str">
        <f t="shared" ref="BS15" si="60">IF(AND(BG15&gt;4.5,BI15&lt;=0.8),(BI15+BH15)*BG15/2*AU15,"")</f>
        <v/>
      </c>
      <c r="BT15" s="109" t="str">
        <f t="shared" ref="BT15" si="61">IF(AND(BG15&gt;4.5,BI15&gt;0.8,BI15&lt;=1.5),(BI15+BH15)*BG15/2*AU15,"")</f>
        <v/>
      </c>
      <c r="BU15" s="109" t="str">
        <f t="shared" ref="BU15" si="62">IF(AND(BG15&gt;4.5,BI15&gt;1.5),(BI15+BH15)*BG15/2*AU15,"")</f>
        <v/>
      </c>
      <c r="BV15" s="109">
        <f t="shared" ref="BV15" si="63">(PI()*(AY15/1000*1.21)^2/4*AU15)*AW15</f>
        <v>40.476531076263178</v>
      </c>
      <c r="BW15" s="111">
        <v>0</v>
      </c>
      <c r="BX15" s="111">
        <v>0.15</v>
      </c>
      <c r="BY15" s="109">
        <f t="shared" ref="BY15" si="64">BW15*SUM(BJ15:BU15)</f>
        <v>0</v>
      </c>
      <c r="BZ15" s="109">
        <f t="shared" ref="BZ15" si="65">MAX(BY15,BV15)*(1+BX15)</f>
        <v>46.548010737702654</v>
      </c>
      <c r="CA15" s="109" t="str">
        <f t="shared" ref="CA15" si="66">IF(BE15="Sem","",IF(AND(BG15&lt;=1.5,BI15&lt;=1.5),2*BG15*AU15,""))</f>
        <v/>
      </c>
      <c r="CB15" s="109" t="str">
        <f t="shared" ref="CB15" si="67">IF(BE15="Sem","",IF(AND(BG15&lt;=1.5,BI15&gt;1.5),2*BG15*AU15,""))</f>
        <v/>
      </c>
      <c r="CC15" s="109" t="str">
        <f t="shared" ref="CC15" si="68">IF(BE15="Sem","",IF(AND(BG15&gt;1.5,BG15&lt;=3,BI15&lt;=1.5),2*BG15*AU15,""))</f>
        <v/>
      </c>
      <c r="CD15" s="109">
        <f t="shared" ref="CD15" si="69">IF(BE15="Sem","",IF(AND(BG15&gt;1.5,BG15&lt;=3,BI15&gt;1.5),2*BG15*AU15,""))</f>
        <v>177.98</v>
      </c>
      <c r="CE15" s="109" t="str">
        <f t="shared" ref="CE15" si="70">IF(BE15="Sem","",IF(AND(BG15&gt;3,BI15&lt;=1.5),2*BG15*AU15,""))</f>
        <v/>
      </c>
      <c r="CF15" s="109" t="str">
        <f t="shared" ref="CF15" si="71">IF(BE15="Sem","",IF(AND(BG15&gt;3,BI15&gt;1.5),2*BG15*AU15,""))</f>
        <v/>
      </c>
      <c r="CG15" s="109" t="str">
        <f t="shared" ref="CG15" si="72">IF(BC15&lt;&gt;0,"",IF(BH15&lt;1.5,BH15*AU15,""))</f>
        <v/>
      </c>
      <c r="CH15" s="109">
        <f t="shared" ref="CH15" si="73">IF(BC15&lt;&gt;0,"",IF(BH15&gt;=1.5,BH15*AU15,""))</f>
        <v>88</v>
      </c>
      <c r="CI15" s="108" t="str">
        <f t="shared" si="15"/>
        <v>-</v>
      </c>
      <c r="CJ15" s="109" t="str">
        <f t="shared" ref="CJ15" si="74">IF(BC15=0,"",IF(BH15&lt;1.5,BC15*BH15*AU15,""))</f>
        <v/>
      </c>
      <c r="CK15" s="109" t="str">
        <f t="shared" ref="CK15" si="75">IF(BC15=0,"",IF(BH15&gt;=1.5,BC15*BH15*AU15,""))</f>
        <v/>
      </c>
      <c r="CL15" s="112">
        <v>0.1</v>
      </c>
      <c r="CM15" s="109">
        <f t="shared" ref="CM15" si="76">SUM(CJ15:CK15)*(1+CL15)</f>
        <v>0</v>
      </c>
      <c r="CN15" s="109" t="str">
        <f t="shared" ref="CN15" si="77">IF(AND(BG15&lt;=1.5,BI15&lt;=0.8),SUM(BJ15:BU15)-BV15,"")</f>
        <v/>
      </c>
      <c r="CO15" s="109" t="str">
        <f t="shared" si="16"/>
        <v/>
      </c>
      <c r="CP15" s="109" t="str">
        <f t="shared" ref="CP15" si="78">IF(AND(BG15&lt;=1.5,BI15&gt;0.8,BI15&lt;=1.5),SUM(BJ15:BU15)-BV15,"")</f>
        <v/>
      </c>
      <c r="CQ15" s="109" t="str">
        <f t="shared" si="17"/>
        <v/>
      </c>
      <c r="CR15" s="109" t="str">
        <f t="shared" si="18"/>
        <v/>
      </c>
      <c r="CS15" s="109">
        <f t="shared" si="19"/>
        <v>137.90392392373684</v>
      </c>
      <c r="CT15" s="109" t="str">
        <f t="shared" si="20"/>
        <v/>
      </c>
      <c r="CU15" s="109">
        <f>HLOOKUP(AY15,$AV$25:$BA$26,2,FALSE)*AU15*AW15</f>
        <v>29.150000000000002</v>
      </c>
      <c r="CV15" s="109">
        <f t="shared" si="21"/>
        <v>0</v>
      </c>
      <c r="CW15" s="109">
        <f t="shared" si="22"/>
        <v>0</v>
      </c>
      <c r="CX15" s="109">
        <f t="shared" si="23"/>
        <v>55</v>
      </c>
      <c r="CY15" s="109">
        <f t="shared" si="24"/>
        <v>0</v>
      </c>
      <c r="CZ15" s="109">
        <f t="shared" si="25"/>
        <v>0</v>
      </c>
      <c r="DA15" s="495">
        <f t="shared" si="26"/>
        <v>0</v>
      </c>
      <c r="DB15" s="113">
        <f t="shared" si="27"/>
        <v>0.3</v>
      </c>
    </row>
    <row r="16" spans="1:106" ht="16.5" customHeight="1" thickBot="1" x14ac:dyDescent="0.25">
      <c r="B16" s="201" t="s">
        <v>586</v>
      </c>
      <c r="C16" s="374">
        <v>55</v>
      </c>
      <c r="D16" s="120">
        <v>1.34</v>
      </c>
      <c r="E16" s="120">
        <f>D16</f>
        <v>1.34</v>
      </c>
      <c r="F16" s="121">
        <v>0.6</v>
      </c>
      <c r="G16" s="121">
        <f>IF(E16&lt;1,1,E16^-0.15)</f>
        <v>0.95704923454750057</v>
      </c>
      <c r="H16" s="121">
        <f t="shared" si="0"/>
        <v>0.95704923454750057</v>
      </c>
      <c r="I16" s="121">
        <f>0.0725*F16*((J16*M16)^(0.333333333333333))</f>
        <v>0.51433489711995173</v>
      </c>
      <c r="J16" s="120">
        <f>$C$6*($C$8^$C$7)/(M16+$E$7)^$E$8</f>
        <v>248.32308912179687</v>
      </c>
      <c r="K16" s="121">
        <f>2.78*G16*E16*I16*J16/1000</f>
        <v>0.45535170651025203</v>
      </c>
      <c r="L16" s="121">
        <v>0</v>
      </c>
      <c r="M16" s="854">
        <f>10.57215256*(C16/1000)^0.5552*P16^-0.207</f>
        <v>6.6566098340851232</v>
      </c>
      <c r="N16" s="121">
        <f t="shared" si="1"/>
        <v>0.67376736687290284</v>
      </c>
      <c r="O16" s="121">
        <f>AM16-AN16</f>
        <v>0.21500000000003183</v>
      </c>
      <c r="P16" s="122">
        <f>O16/C16</f>
        <v>3.9090909090914875E-3</v>
      </c>
      <c r="Q16" s="121">
        <f>2.78*G16*J16*D16*I16/1000</f>
        <v>0.45535170651025197</v>
      </c>
      <c r="R16" s="121">
        <f>AH16-AI16</f>
        <v>0.11500000000000909</v>
      </c>
      <c r="S16" s="123">
        <f>R16/C16</f>
        <v>2.0909090909092564E-3</v>
      </c>
      <c r="T16" s="247">
        <f>1.55*(K16*0.015/(P16)^(1/2))^(3/8)</f>
        <v>0.67566562830859567</v>
      </c>
      <c r="U16" s="242">
        <v>0</v>
      </c>
      <c r="V16" s="242">
        <v>0</v>
      </c>
      <c r="W16" s="242">
        <v>1</v>
      </c>
      <c r="X16" s="530">
        <v>0.8</v>
      </c>
      <c r="Y16" s="243">
        <f t="shared" si="2"/>
        <v>1.3605091486117991</v>
      </c>
      <c r="Z16" s="121">
        <f>IF(W16=1,(K16*0.01)/(((X16)^(8/3))*(P16^0.5)),IF(W16=2,(K16*0.015*0.5)/(((X16)^(8/3))*(P16^0.5)),IF(W16=3,((K16*0.015)/3)/(((X16)^(8/3))*(P16^0.5)),"ERRO")))</f>
        <v>0.13204920310433665</v>
      </c>
      <c r="AA16" s="121">
        <f>VLOOKUP(Z16,$A$103:$C$202,2,TRUE)</f>
        <v>0.2331</v>
      </c>
      <c r="AB16" s="122">
        <f>VLOOKUP(Z16,$A$103:$C$202,3,TRUE)</f>
        <v>0.45</v>
      </c>
      <c r="AC16" s="121">
        <f>AB16*X16</f>
        <v>0.36000000000000004</v>
      </c>
      <c r="AD16" s="121">
        <f>AA16*X16</f>
        <v>0.18648000000000001</v>
      </c>
      <c r="AE16" s="121">
        <f t="shared" si="3"/>
        <v>0.70042473815192874</v>
      </c>
      <c r="AF16" s="121">
        <f t="shared" si="4"/>
        <v>0</v>
      </c>
      <c r="AG16" s="243">
        <f>AE16+AF16</f>
        <v>0.70042473815192874</v>
      </c>
      <c r="AH16" s="369">
        <v>525.39300000000003</v>
      </c>
      <c r="AI16" s="369">
        <v>525.27800000000002</v>
      </c>
      <c r="AJ16" s="370"/>
      <c r="AK16" s="120">
        <v>1.4</v>
      </c>
      <c r="AL16" s="120">
        <v>1.5</v>
      </c>
      <c r="AM16" s="245">
        <f t="shared" si="5"/>
        <v>523.99300000000005</v>
      </c>
      <c r="AN16" s="245">
        <f t="shared" si="6"/>
        <v>523.77800000000002</v>
      </c>
      <c r="AO16" s="121">
        <f t="shared" si="7"/>
        <v>524.35300000000007</v>
      </c>
      <c r="AP16" s="121">
        <f t="shared" si="8"/>
        <v>524.13800000000003</v>
      </c>
      <c r="AQ16" s="120">
        <f t="shared" si="9"/>
        <v>0.51599999999996271</v>
      </c>
      <c r="AR16" s="124">
        <f t="shared" si="10"/>
        <v>0.61599999999998545</v>
      </c>
      <c r="AS16" s="104"/>
      <c r="AT16" s="105" t="str">
        <f t="shared" si="11"/>
        <v xml:space="preserve">TR-03 </v>
      </c>
      <c r="AU16" s="106">
        <f t="shared" si="11"/>
        <v>55</v>
      </c>
      <c r="AV16" s="107">
        <f t="shared" si="12"/>
        <v>0</v>
      </c>
      <c r="AW16" s="107">
        <f t="shared" si="13"/>
        <v>1</v>
      </c>
      <c r="AX16" s="107">
        <f t="shared" si="14"/>
        <v>0</v>
      </c>
      <c r="AY16" s="107">
        <f>X16*1000</f>
        <v>800</v>
      </c>
      <c r="AZ16" s="108" t="str">
        <f>IF(AY16=600,"PS-1","PA-1")</f>
        <v>PA-1</v>
      </c>
      <c r="BA16" s="109">
        <f>AK16</f>
        <v>1.4</v>
      </c>
      <c r="BB16" s="109">
        <f>AL16</f>
        <v>1.5</v>
      </c>
      <c r="BC16" s="109">
        <f>IF(AY16&gt;=1000,0.2,0)</f>
        <v>0</v>
      </c>
      <c r="BD16" s="110">
        <v>4</v>
      </c>
      <c r="BE16" s="110" t="str">
        <f>IF(BF16&gt;1.25,"Com","Sem")</f>
        <v>Com</v>
      </c>
      <c r="BF16" s="109">
        <f>AVERAGE(BA16:BB16)</f>
        <v>1.45</v>
      </c>
      <c r="BG16" s="109">
        <f>BF16+BC16+0.21*AY16/1000</f>
        <v>1.6179999999999999</v>
      </c>
      <c r="BH16" s="109">
        <f>IF(AW16=1,2*AY16/1000,IF(AW16=2,((1.21*2*(AY16/1000))+0.4),IF(AW16=3,((3*1.21*(AY16/1000))+0.6),0)))</f>
        <v>1.6</v>
      </c>
      <c r="BI16" s="109">
        <f>IF(BD16=0,BH16,BH16+2*(1/BD16)*BG16)</f>
        <v>2.4089999999999998</v>
      </c>
      <c r="BJ16" s="109" t="str">
        <f>IF(AND(BG16&lt;=1.5,BI16&lt;=0.8),(BI16+BH16)*BG16/2*AU16,"")</f>
        <v/>
      </c>
      <c r="BK16" s="109" t="str">
        <f>IF(AND(BG16&lt;=1.5,BI16&gt;0.8,BI16&lt;=1.5),(BI16+BH16)*BG16/2*AU16,"")</f>
        <v/>
      </c>
      <c r="BL16" s="109" t="str">
        <f>IF(AND(BG16&lt;=1.5,BI16&gt;1.5),(BI16+BH16)*BG16/2*AU16,"")</f>
        <v/>
      </c>
      <c r="BM16" s="109" t="str">
        <f>IF(AND(BG16&gt;1.5,BG16&lt;=3,BI16&lt;=0.8),(BI16+BH16)*BG16/2*AU16,"")</f>
        <v/>
      </c>
      <c r="BN16" s="109" t="str">
        <f>IF(AND(BG16&gt;1.5,BG16&lt;=3,BI16&gt;0.8,BI16&lt;=1.5),(BI16+BH16)*BG16/2*AU16,"")</f>
        <v/>
      </c>
      <c r="BO16" s="109">
        <f>IF(AND(BG16&gt;1.5,BG16&lt;=3,BI16&gt;1.5),(BI16+BH16)*BG16/2*AU16,"")</f>
        <v>178.38045500000001</v>
      </c>
      <c r="BP16" s="109" t="str">
        <f>IF(AND(BG16&gt;3,BG16&lt;=4.5,BI16&lt;=0.8),(BI16+BH16)*BG16/2*AU16,"")</f>
        <v/>
      </c>
      <c r="BQ16" s="109" t="str">
        <f>IF(AND(BG16&gt;3,BG16&lt;=4.5,BI16&gt;0.8,BI16&lt;=1.5),(BI16+BH16)*BG16/2*AU16,"")</f>
        <v/>
      </c>
      <c r="BR16" s="109" t="str">
        <f>IF(AND(BG16&gt;3,BG16&lt;=4.5,BI16&gt;1.5),(BI16+BH16)*BG16/2*AU16,"")</f>
        <v/>
      </c>
      <c r="BS16" s="109" t="str">
        <f>IF(AND(BG16&gt;4.5,BI16&lt;=0.8),(BI16+BH16)*BG16/2*AU16,"")</f>
        <v/>
      </c>
      <c r="BT16" s="109" t="str">
        <f>IF(AND(BG16&gt;4.5,BI16&gt;0.8,BI16&lt;=1.5),(BI16+BH16)*BG16/2*AU16,"")</f>
        <v/>
      </c>
      <c r="BU16" s="109" t="str">
        <f>IF(AND(BG16&gt;4.5,BI16&gt;1.5),(BI16+BH16)*BG16/2*AU16,"")</f>
        <v/>
      </c>
      <c r="BV16" s="109">
        <f>(PI()*(AY16/1000*1.21)^2/4*AU16)*AW16</f>
        <v>40.476531076263178</v>
      </c>
      <c r="BW16" s="111">
        <v>0</v>
      </c>
      <c r="BX16" s="111">
        <v>0.15</v>
      </c>
      <c r="BY16" s="109">
        <f>BW16*SUM(BJ16:BU16)</f>
        <v>0</v>
      </c>
      <c r="BZ16" s="109">
        <f>MAX(BY16,BV16)*(1+BX16)</f>
        <v>46.548010737702654</v>
      </c>
      <c r="CA16" s="109" t="str">
        <f>IF(BE16="Sem","",IF(AND(BG16&lt;=1.5,BI16&lt;=1.5),2*BG16*AU16,""))</f>
        <v/>
      </c>
      <c r="CB16" s="109" t="str">
        <f>IF(BE16="Sem","",IF(AND(BG16&lt;=1.5,BI16&gt;1.5),2*BG16*AU16,""))</f>
        <v/>
      </c>
      <c r="CC16" s="109" t="str">
        <f>IF(BE16="Sem","",IF(AND(BG16&gt;1.5,BG16&lt;=3,BI16&lt;=1.5),2*BG16*AU16,""))</f>
        <v/>
      </c>
      <c r="CD16" s="109">
        <f>IF(BE16="Sem","",IF(AND(BG16&gt;1.5,BG16&lt;=3,BI16&gt;1.5),2*BG16*AU16,""))</f>
        <v>177.98</v>
      </c>
      <c r="CE16" s="109" t="str">
        <f>IF(BE16="Sem","",IF(AND(BG16&gt;3,BI16&lt;=1.5),2*BG16*AU16,""))</f>
        <v/>
      </c>
      <c r="CF16" s="109" t="str">
        <f>IF(BE16="Sem","",IF(AND(BG16&gt;3,BI16&gt;1.5),2*BG16*AU16,""))</f>
        <v/>
      </c>
      <c r="CG16" s="109" t="str">
        <f>IF(BC16&lt;&gt;0,"",IF(BH16&lt;1.5,BH16*AU16,""))</f>
        <v/>
      </c>
      <c r="CH16" s="109">
        <f>IF(BC16&lt;&gt;0,"",IF(BH16&gt;=1.5,BH16*AU16,""))</f>
        <v>88</v>
      </c>
      <c r="CI16" s="108" t="str">
        <f t="shared" si="15"/>
        <v>-</v>
      </c>
      <c r="CJ16" s="109" t="str">
        <f>IF(BC16=0,"",IF(BH16&lt;1.5,BC16*BH16*AU16,""))</f>
        <v/>
      </c>
      <c r="CK16" s="109" t="str">
        <f>IF(BC16=0,"",IF(BH16&gt;=1.5,BC16*BH16*AU16,""))</f>
        <v/>
      </c>
      <c r="CL16" s="112">
        <v>0.1</v>
      </c>
      <c r="CM16" s="109">
        <f>SUM(CJ16:CK16)*(1+CL16)</f>
        <v>0</v>
      </c>
      <c r="CN16" s="109" t="str">
        <f>IF(AND(BG16&lt;=1.5,BI16&lt;=0.8),SUM(BJ16:BU16)-BV16,"")</f>
        <v/>
      </c>
      <c r="CO16" s="109" t="str">
        <f t="shared" si="16"/>
        <v/>
      </c>
      <c r="CP16" s="109" t="str">
        <f>IF(AND(BG16&lt;=1.5,BI16&gt;0.8,BI16&lt;=1.5),SUM(BJ16:BU16)-BV16,"")</f>
        <v/>
      </c>
      <c r="CQ16" s="109" t="str">
        <f t="shared" si="17"/>
        <v/>
      </c>
      <c r="CR16" s="109" t="str">
        <f t="shared" si="18"/>
        <v/>
      </c>
      <c r="CS16" s="109">
        <f t="shared" si="19"/>
        <v>137.90392392373684</v>
      </c>
      <c r="CT16" s="109" t="str">
        <f t="shared" si="20"/>
        <v/>
      </c>
      <c r="CU16" s="109">
        <f>HLOOKUP(AY16,$AV$25:$BA$26,2,FALSE)*AU16*AW16</f>
        <v>29.150000000000002</v>
      </c>
      <c r="CV16" s="109">
        <f t="shared" si="21"/>
        <v>0</v>
      </c>
      <c r="CW16" s="109">
        <f t="shared" si="22"/>
        <v>0</v>
      </c>
      <c r="CX16" s="109">
        <f t="shared" si="23"/>
        <v>55</v>
      </c>
      <c r="CY16" s="109">
        <f t="shared" si="24"/>
        <v>0</v>
      </c>
      <c r="CZ16" s="109">
        <f t="shared" si="25"/>
        <v>0</v>
      </c>
      <c r="DA16" s="495">
        <f t="shared" si="26"/>
        <v>0</v>
      </c>
      <c r="DB16" s="113">
        <f t="shared" si="27"/>
        <v>0.3</v>
      </c>
    </row>
    <row r="17" spans="26:107" s="56" customFormat="1" ht="39" customHeight="1" x14ac:dyDescent="0.2">
      <c r="AT17" s="105" t="s">
        <v>453</v>
      </c>
      <c r="AU17" s="109">
        <v>124</v>
      </c>
      <c r="AV17" s="107">
        <f t="shared" si="12"/>
        <v>0</v>
      </c>
      <c r="AW17" s="107">
        <v>1</v>
      </c>
      <c r="AX17" s="107">
        <f t="shared" si="14"/>
        <v>0</v>
      </c>
      <c r="AY17" s="107">
        <v>400</v>
      </c>
      <c r="AZ17" s="108" t="s">
        <v>119</v>
      </c>
      <c r="BA17" s="109">
        <v>1</v>
      </c>
      <c r="BB17" s="109">
        <v>1.5</v>
      </c>
      <c r="BC17" s="109">
        <f t="shared" ref="BC17" si="79">IF(AY17&gt;=1000,0.2,0)</f>
        <v>0</v>
      </c>
      <c r="BD17" s="110">
        <v>4</v>
      </c>
      <c r="BE17" s="110" t="str">
        <f t="shared" ref="BE17" si="80">IF(BF17&gt;1.25,"Com","Sem")</f>
        <v>Sem</v>
      </c>
      <c r="BF17" s="109">
        <f t="shared" ref="BF17" si="81">AVERAGE(BA17:BB17)</f>
        <v>1.25</v>
      </c>
      <c r="BG17" s="109">
        <f t="shared" ref="BG17" si="82">BF17+BC17+0.21*AY17/1000</f>
        <v>1.3340000000000001</v>
      </c>
      <c r="BH17" s="109">
        <f t="shared" ref="BH17" si="83">IF(AW17=1,2*AY17/1000,IF(AW17=2,((1.21*2*(AY17/1000))+0.4),IF(AW17=3,((3*1.21*(AY17/1000))+0.6),0)))</f>
        <v>0.8</v>
      </c>
      <c r="BI17" s="109">
        <f t="shared" ref="BI17" si="84">IF(BD17=0,BH17,BH17+2*(1/BD17)*BG17)</f>
        <v>1.4670000000000001</v>
      </c>
      <c r="BJ17" s="109" t="str">
        <f t="shared" ref="BJ17" si="85">IF(AND(BG17&lt;=1.5,BI17&lt;=0.8),(BI17+BH17)*BG17/2*AU17,"")</f>
        <v/>
      </c>
      <c r="BK17" s="109">
        <f t="shared" ref="BK17" si="86">IF(AND(BG17&lt;=1.5,BI17&gt;0.8,BI17&lt;=1.5),(BI17+BH17)*BG17/2*AU17,"")</f>
        <v>187.49903600000002</v>
      </c>
      <c r="BL17" s="109" t="str">
        <f t="shared" ref="BL17" si="87">IF(AND(BG17&lt;=1.5,BI17&gt;1.5),(BI17+BH17)*BG17/2*AU17,"")</f>
        <v/>
      </c>
      <c r="BM17" s="109" t="str">
        <f t="shared" ref="BM17" si="88">IF(AND(BG17&gt;1.5,BG17&lt;=3,BI17&lt;=0.8),(BI17+BH17)*BG17/2*AU17,"")</f>
        <v/>
      </c>
      <c r="BN17" s="109" t="str">
        <f t="shared" ref="BN17" si="89">IF(AND(BG17&gt;1.5,BG17&lt;=3,BI17&gt;0.8,BI17&lt;=1.5),(BI17+BH17)*BG17/2*AU17,"")</f>
        <v/>
      </c>
      <c r="BO17" s="109" t="str">
        <f t="shared" ref="BO17" si="90">IF(AND(BG17&gt;1.5,BG17&lt;=3,BI17&gt;1.5),(BI17+BH17)*BG17/2*AU17,"")</f>
        <v/>
      </c>
      <c r="BP17" s="109" t="str">
        <f t="shared" ref="BP17" si="91">IF(AND(BG17&gt;3,BG17&lt;=4.5,BI17&lt;=0.8),(BI17+BH17)*BG17/2*AU17,"")</f>
        <v/>
      </c>
      <c r="BQ17" s="109" t="str">
        <f t="shared" ref="BQ17" si="92">IF(AND(BG17&gt;3,BG17&lt;=4.5,BI17&gt;0.8,BI17&lt;=1.5),(BI17+BH17)*BG17/2*AU17,"")</f>
        <v/>
      </c>
      <c r="BR17" s="109" t="str">
        <f t="shared" ref="BR17" si="93">IF(AND(BG17&gt;3,BG17&lt;=4.5,BI17&gt;1.5),(BI17+BH17)*BG17/2*AU17,"")</f>
        <v/>
      </c>
      <c r="BS17" s="109" t="str">
        <f t="shared" ref="BS17" si="94">IF(AND(BG17&gt;4.5,BI17&lt;=0.8),(BI17+BH17)*BG17/2*AU17,"")</f>
        <v/>
      </c>
      <c r="BT17" s="109" t="str">
        <f t="shared" ref="BT17" si="95">IF(AND(BG17&gt;4.5,BI17&gt;0.8,BI17&lt;=1.5),(BI17+BH17)*BG17/2*AU17,"")</f>
        <v/>
      </c>
      <c r="BU17" s="109" t="str">
        <f t="shared" ref="BU17" si="96">IF(AND(BG17&gt;4.5,BI17&gt;1.5),(BI17+BH17)*BG17/2*AU17,"")</f>
        <v/>
      </c>
      <c r="BV17" s="109">
        <f>(PI()*(AY17/1000*1.21)^2/4*AU17)*AW17</f>
        <v>22.814044788439247</v>
      </c>
      <c r="BW17" s="111">
        <v>0</v>
      </c>
      <c r="BX17" s="111">
        <v>0.15</v>
      </c>
      <c r="BY17" s="109">
        <f t="shared" ref="BY17" si="97">BW17*SUM(BJ17:BU17)</f>
        <v>0</v>
      </c>
      <c r="BZ17" s="109">
        <f t="shared" ref="BZ17" si="98">MAX(BY17,BV17)*(1+BX17)</f>
        <v>26.236151506705131</v>
      </c>
      <c r="CA17" s="109" t="str">
        <f t="shared" ref="CA17" si="99">IF(BE17="Sem","",IF(AND(BG17&lt;=1.5,BI17&lt;=1.5),2*BG17*AU17,""))</f>
        <v/>
      </c>
      <c r="CB17" s="109" t="str">
        <f t="shared" ref="CB17" si="100">IF(BE17="Sem","",IF(AND(BG17&lt;=1.5,BI17&gt;1.5),2*BG17*AU17,""))</f>
        <v/>
      </c>
      <c r="CC17" s="109" t="str">
        <f t="shared" ref="CC17" si="101">IF(BE17="Sem","",IF(AND(BG17&gt;1.5,BG17&lt;=3,BI17&lt;=1.5),2*BG17*AU17,""))</f>
        <v/>
      </c>
      <c r="CD17" s="109" t="str">
        <f t="shared" ref="CD17" si="102">IF(BE17="Sem","",IF(AND(BG17&gt;1.5,BG17&lt;=3,BI17&gt;1.5),2*BG17*AU17,""))</f>
        <v/>
      </c>
      <c r="CE17" s="109" t="str">
        <f t="shared" ref="CE17" si="103">IF(BE17="Sem","",IF(AND(BG17&gt;3,BI17&lt;=1.5),2*BG17*AU17,""))</f>
        <v/>
      </c>
      <c r="CF17" s="109" t="str">
        <f t="shared" ref="CF17" si="104">IF(BE17="Sem","",IF(AND(BG17&gt;3,BI17&gt;1.5),2*BG17*AU17,""))</f>
        <v/>
      </c>
      <c r="CG17" s="109">
        <f t="shared" ref="CG17" si="105">IF(BC17&lt;&gt;0,"",IF(BH17&lt;1.5,BH17*AU17,""))</f>
        <v>99.2</v>
      </c>
      <c r="CH17" s="109" t="str">
        <f t="shared" ref="CH17" si="106">IF(BC17&lt;&gt;0,"",IF(BH17&gt;=1.5,BH17*AU17,""))</f>
        <v/>
      </c>
      <c r="CI17" s="108" t="str">
        <f t="shared" si="15"/>
        <v>-</v>
      </c>
      <c r="CJ17" s="109" t="str">
        <f t="shared" ref="CJ17" si="107">IF(BC17=0,"",IF(BH17&lt;1.5,BC17*BH17*AU17,""))</f>
        <v/>
      </c>
      <c r="CK17" s="109" t="str">
        <f t="shared" ref="CK17" si="108">IF(BC17=0,"",IF(BH17&gt;=1.5,BC17*BH17*AU17,""))</f>
        <v/>
      </c>
      <c r="CL17" s="112">
        <v>0.1</v>
      </c>
      <c r="CM17" s="109">
        <f t="shared" ref="CM17" si="109">SUM(CJ17:CK17)*(1+CL17)</f>
        <v>0</v>
      </c>
      <c r="CN17" s="109" t="str">
        <f t="shared" ref="CN17" si="110">IF(AND(BG17&lt;=1.5,BI17&lt;=0.8),SUM(BJ17:BU17)-BV17,"")</f>
        <v/>
      </c>
      <c r="CO17" s="109" t="str">
        <f t="shared" si="16"/>
        <v/>
      </c>
      <c r="CP17" s="109">
        <f t="shared" ref="CP17" si="111">IF(AND(BG17&lt;=1.5,BI17&gt;0.8,BI17&lt;=1.5),SUM(BJ17:BU17)-BV17,"")</f>
        <v>164.68499121156077</v>
      </c>
      <c r="CQ17" s="109" t="str">
        <f t="shared" si="17"/>
        <v/>
      </c>
      <c r="CR17" s="109" t="str">
        <f t="shared" si="18"/>
        <v/>
      </c>
      <c r="CS17" s="109" t="str">
        <f t="shared" si="19"/>
        <v/>
      </c>
      <c r="CT17" s="109" t="str">
        <f t="shared" si="20"/>
        <v/>
      </c>
      <c r="CU17" s="109">
        <f>HLOOKUP(AY17,$AV$25:$BA$26,2,FALSE)*AU17*AW17</f>
        <v>22.32</v>
      </c>
      <c r="CV17" s="109">
        <f t="shared" si="21"/>
        <v>124</v>
      </c>
      <c r="CW17" s="109">
        <f t="shared" si="22"/>
        <v>0</v>
      </c>
      <c r="CX17" s="109">
        <f t="shared" si="23"/>
        <v>0</v>
      </c>
      <c r="CY17" s="109">
        <f t="shared" si="24"/>
        <v>0</v>
      </c>
      <c r="CZ17" s="109">
        <f t="shared" si="25"/>
        <v>0</v>
      </c>
      <c r="DA17" s="495">
        <f t="shared" si="26"/>
        <v>0</v>
      </c>
      <c r="DB17" s="113">
        <f>IF($AY17=1500,$AU17*AX17,0)</f>
        <v>0</v>
      </c>
    </row>
    <row r="18" spans="26:107" s="56" customFormat="1" ht="22.5" customHeight="1" thickBot="1" x14ac:dyDescent="0.25">
      <c r="AT18" s="126" t="s">
        <v>34</v>
      </c>
      <c r="AU18" s="394">
        <f>SUM(CV18:DA18)</f>
        <v>289</v>
      </c>
      <c r="AV18" s="395" t="s">
        <v>40</v>
      </c>
      <c r="AW18" s="395" t="s">
        <v>40</v>
      </c>
      <c r="AX18" s="395" t="s">
        <v>40</v>
      </c>
      <c r="AY18" s="395" t="s">
        <v>40</v>
      </c>
      <c r="AZ18" s="395" t="s">
        <v>40</v>
      </c>
      <c r="BA18" s="395" t="s">
        <v>40</v>
      </c>
      <c r="BB18" s="395" t="s">
        <v>40</v>
      </c>
      <c r="BC18" s="395" t="s">
        <v>40</v>
      </c>
      <c r="BD18" s="395" t="s">
        <v>40</v>
      </c>
      <c r="BE18" s="395" t="s">
        <v>40</v>
      </c>
      <c r="BF18" s="395" t="s">
        <v>40</v>
      </c>
      <c r="BG18" s="395" t="s">
        <v>40</v>
      </c>
      <c r="BH18" s="395" t="s">
        <v>40</v>
      </c>
      <c r="BI18" s="395" t="s">
        <v>40</v>
      </c>
      <c r="BJ18" s="394">
        <f>SUM(BJ14:BJ17)</f>
        <v>0</v>
      </c>
      <c r="BK18" s="394">
        <f t="shared" ref="BK18:BV18" si="112">TRUNC(SUM(BK14:BK17),2)</f>
        <v>187.49</v>
      </c>
      <c r="BL18" s="394">
        <f t="shared" si="112"/>
        <v>0</v>
      </c>
      <c r="BM18" s="394">
        <f t="shared" si="112"/>
        <v>0</v>
      </c>
      <c r="BN18" s="394">
        <f t="shared" si="112"/>
        <v>0</v>
      </c>
      <c r="BO18" s="394">
        <f t="shared" si="112"/>
        <v>535.14</v>
      </c>
      <c r="BP18" s="394">
        <f t="shared" si="112"/>
        <v>0</v>
      </c>
      <c r="BQ18" s="394">
        <f t="shared" si="112"/>
        <v>0</v>
      </c>
      <c r="BR18" s="394">
        <f t="shared" si="112"/>
        <v>0</v>
      </c>
      <c r="BS18" s="394">
        <f t="shared" si="112"/>
        <v>0</v>
      </c>
      <c r="BT18" s="394">
        <f t="shared" si="112"/>
        <v>0</v>
      </c>
      <c r="BU18" s="394">
        <f t="shared" si="112"/>
        <v>0</v>
      </c>
      <c r="BV18" s="394">
        <f t="shared" si="112"/>
        <v>144.24</v>
      </c>
      <c r="BW18" s="394" t="s">
        <v>40</v>
      </c>
      <c r="BX18" s="394" t="s">
        <v>40</v>
      </c>
      <c r="BY18" s="394" t="s">
        <v>40</v>
      </c>
      <c r="BZ18" s="394">
        <f t="shared" ref="BZ18:CH18" si="113">TRUNC(SUM(BZ14:BZ17),2)</f>
        <v>165.88</v>
      </c>
      <c r="CA18" s="394">
        <f t="shared" si="113"/>
        <v>0</v>
      </c>
      <c r="CB18" s="394">
        <f t="shared" si="113"/>
        <v>0</v>
      </c>
      <c r="CC18" s="394">
        <f t="shared" si="113"/>
        <v>0</v>
      </c>
      <c r="CD18" s="394">
        <f t="shared" si="113"/>
        <v>533.94000000000005</v>
      </c>
      <c r="CE18" s="394">
        <f t="shared" si="113"/>
        <v>0</v>
      </c>
      <c r="CF18" s="394">
        <f t="shared" si="113"/>
        <v>0</v>
      </c>
      <c r="CG18" s="394">
        <f t="shared" si="113"/>
        <v>99.2</v>
      </c>
      <c r="CH18" s="394">
        <f t="shared" si="113"/>
        <v>264</v>
      </c>
      <c r="CI18" s="394" t="s">
        <v>40</v>
      </c>
      <c r="CJ18" s="394">
        <f>SUM(CJ14:CJ17)</f>
        <v>0</v>
      </c>
      <c r="CK18" s="394">
        <f>TRUNC(SUM(CK14:CK17),2)</f>
        <v>0</v>
      </c>
      <c r="CL18" s="394" t="s">
        <v>40</v>
      </c>
      <c r="CM18" s="394">
        <f t="shared" ref="CM18:CY18" si="114">TRUNC(SUM(CM14:CM17),2)</f>
        <v>0</v>
      </c>
      <c r="CN18" s="394">
        <f t="shared" si="114"/>
        <v>0</v>
      </c>
      <c r="CO18" s="394">
        <f t="shared" si="114"/>
        <v>0</v>
      </c>
      <c r="CP18" s="394">
        <f t="shared" si="114"/>
        <v>164.68</v>
      </c>
      <c r="CQ18" s="394">
        <f t="shared" si="114"/>
        <v>0</v>
      </c>
      <c r="CR18" s="394">
        <f t="shared" si="114"/>
        <v>0</v>
      </c>
      <c r="CS18" s="394">
        <f t="shared" si="114"/>
        <v>413.71</v>
      </c>
      <c r="CT18" s="394">
        <f t="shared" si="114"/>
        <v>0</v>
      </c>
      <c r="CU18" s="394">
        <f t="shared" si="114"/>
        <v>109.77</v>
      </c>
      <c r="CV18" s="394">
        <f t="shared" si="114"/>
        <v>124</v>
      </c>
      <c r="CW18" s="394">
        <f t="shared" si="114"/>
        <v>0</v>
      </c>
      <c r="CX18" s="394">
        <f t="shared" si="114"/>
        <v>165</v>
      </c>
      <c r="CY18" s="394">
        <f t="shared" si="114"/>
        <v>0</v>
      </c>
      <c r="CZ18" s="394">
        <f>SUM(CZ14:CZ17)</f>
        <v>0</v>
      </c>
      <c r="DA18" s="496">
        <f>SUM(DA14:DA17)</f>
        <v>0</v>
      </c>
      <c r="DB18" s="396">
        <f>SUM(DB14:DB17)</f>
        <v>0.89999999999999991</v>
      </c>
    </row>
    <row r="19" spans="26:107" ht="16.5" customHeight="1" x14ac:dyDescent="0.2">
      <c r="Z19" s="1239" t="s">
        <v>454</v>
      </c>
      <c r="AA19" s="1239"/>
      <c r="AB19" s="1239"/>
      <c r="AC19" s="1239"/>
      <c r="CS19" s="844" t="s">
        <v>343</v>
      </c>
      <c r="CT19" s="844"/>
      <c r="CU19" s="845"/>
      <c r="CV19" s="845"/>
      <c r="CW19" s="845"/>
      <c r="CX19" s="845"/>
      <c r="CY19" s="263"/>
      <c r="CZ19" s="45"/>
      <c r="DA19" s="45"/>
      <c r="DB19" s="45"/>
      <c r="DC19" s="45"/>
    </row>
    <row r="20" spans="26:107" ht="16.5" hidden="1" customHeight="1" x14ac:dyDescent="0.2">
      <c r="Z20" s="1240" t="s">
        <v>399</v>
      </c>
      <c r="AA20" s="1240"/>
      <c r="AB20" s="1240"/>
      <c r="AC20" s="1240"/>
      <c r="AT20" s="128" t="s">
        <v>157</v>
      </c>
      <c r="AU20" s="129"/>
      <c r="AV20" s="129"/>
      <c r="AW20" s="129"/>
      <c r="AX20" s="129"/>
      <c r="AY20" s="129"/>
      <c r="AZ20" s="129"/>
      <c r="BA20" s="130"/>
      <c r="BB20" s="130"/>
      <c r="BC20" s="130"/>
      <c r="BD20" s="130"/>
      <c r="BE20" s="130"/>
      <c r="BF20" s="130"/>
      <c r="BG20" s="130"/>
      <c r="BH20" s="130"/>
      <c r="BI20" s="130"/>
      <c r="BN20" s="130"/>
      <c r="BO20" s="130"/>
      <c r="BP20" s="130"/>
      <c r="BQ20" s="130"/>
      <c r="BR20" s="130"/>
      <c r="BS20" s="130"/>
      <c r="BT20" s="130"/>
      <c r="BU20" s="130"/>
      <c r="BV20" s="130"/>
      <c r="BW20" s="130"/>
      <c r="BX20" s="130"/>
      <c r="BY20" s="130"/>
      <c r="BZ20" s="130"/>
      <c r="CA20" s="130"/>
      <c r="CB20" s="130"/>
      <c r="CC20" s="130"/>
      <c r="CD20" s="130"/>
      <c r="CE20" s="130"/>
      <c r="CF20" s="130"/>
      <c r="CG20" s="130"/>
      <c r="CH20" s="130"/>
      <c r="CI20" s="130"/>
      <c r="CJ20" s="130"/>
      <c r="CK20" s="130"/>
      <c r="CL20" s="131"/>
      <c r="CM20" s="130"/>
      <c r="CN20" s="130"/>
      <c r="CO20" s="130"/>
      <c r="CP20" s="130"/>
      <c r="CQ20" s="130"/>
      <c r="CR20" s="130"/>
      <c r="CS20" s="236" t="s">
        <v>344</v>
      </c>
      <c r="CT20" s="236"/>
      <c r="CU20" s="236"/>
      <c r="CV20" s="236"/>
      <c r="CW20" s="236"/>
      <c r="CX20" s="236"/>
      <c r="CY20" s="264"/>
      <c r="CZ20" s="45"/>
      <c r="DA20" s="45"/>
      <c r="DB20" s="45"/>
      <c r="DC20" s="45"/>
    </row>
    <row r="21" spans="26:107" s="132" customFormat="1" ht="16.5" hidden="1" customHeight="1" x14ac:dyDescent="0.2">
      <c r="Z21" s="1240" t="s">
        <v>400</v>
      </c>
      <c r="AA21" s="1240"/>
      <c r="AB21" s="1240"/>
      <c r="AC21" s="1240"/>
      <c r="AT21" s="128" t="s">
        <v>158</v>
      </c>
      <c r="AU21" s="129"/>
      <c r="AV21" s="129"/>
      <c r="AW21" s="129"/>
      <c r="AX21" s="129"/>
      <c r="AY21" s="129"/>
      <c r="AZ21" s="129"/>
      <c r="BA21" s="130"/>
      <c r="BB21" s="130"/>
      <c r="BC21" s="130"/>
      <c r="BD21" s="130"/>
      <c r="BE21" s="130"/>
      <c r="BF21" s="130"/>
      <c r="BG21" s="130"/>
      <c r="BH21" s="130"/>
      <c r="BI21" s="130"/>
      <c r="BK21" s="47"/>
      <c r="BN21" s="130"/>
      <c r="BO21" s="130"/>
      <c r="BP21" s="130"/>
      <c r="BQ21" s="130"/>
      <c r="BR21" s="130"/>
      <c r="BS21" s="130"/>
      <c r="BT21" s="130"/>
      <c r="BU21" s="130"/>
      <c r="BV21" s="130"/>
      <c r="BW21" s="130"/>
      <c r="BX21" s="130"/>
      <c r="BY21" s="130"/>
      <c r="BZ21" s="130"/>
      <c r="CA21" s="130"/>
      <c r="CB21" s="130"/>
      <c r="CC21" s="130"/>
      <c r="CD21" s="130"/>
      <c r="CE21" s="130"/>
      <c r="CF21" s="130"/>
      <c r="CG21" s="130"/>
      <c r="CH21" s="130"/>
      <c r="CI21" s="130"/>
      <c r="CJ21" s="130"/>
      <c r="CK21" s="130"/>
      <c r="CL21" s="131"/>
      <c r="CM21" s="130"/>
      <c r="CN21" s="130"/>
      <c r="CO21" s="130"/>
      <c r="CP21" s="130"/>
      <c r="CQ21" s="130"/>
      <c r="CR21" s="130"/>
      <c r="CS21" s="130"/>
      <c r="CT21" s="130"/>
      <c r="CU21" s="236"/>
      <c r="CV21" s="266"/>
      <c r="CW21" s="266"/>
      <c r="CX21" s="266"/>
      <c r="CY21" s="265"/>
      <c r="CZ21" s="265"/>
      <c r="DA21" s="265"/>
      <c r="DB21" s="265"/>
      <c r="DC21" s="265"/>
    </row>
    <row r="22" spans="26:107" s="132" customFormat="1" ht="16.5" hidden="1" customHeight="1" x14ac:dyDescent="0.2">
      <c r="AT22" s="128"/>
      <c r="AU22" s="129"/>
      <c r="AV22" s="129"/>
      <c r="AW22" s="129"/>
      <c r="AX22" s="129"/>
      <c r="AY22" s="129"/>
      <c r="AZ22" s="129"/>
      <c r="BA22" s="130"/>
      <c r="BB22" s="130"/>
      <c r="BC22" s="130"/>
      <c r="BD22" s="130"/>
      <c r="BE22" s="130"/>
      <c r="BF22" s="130"/>
      <c r="BG22" s="130"/>
      <c r="BH22" s="130"/>
      <c r="BI22" s="130"/>
      <c r="BK22" s="237"/>
      <c r="BL22" s="237"/>
      <c r="BM22" s="237"/>
      <c r="BN22" s="237"/>
      <c r="BO22" s="237"/>
      <c r="BP22" s="237"/>
      <c r="BQ22" s="237"/>
      <c r="BR22" s="237"/>
      <c r="BS22" s="237"/>
      <c r="BT22" s="237"/>
      <c r="BU22" s="237"/>
      <c r="BV22" s="237"/>
      <c r="BW22" s="237"/>
      <c r="BX22" s="237"/>
      <c r="BY22" s="237"/>
      <c r="BZ22" s="237"/>
      <c r="CA22" s="237"/>
      <c r="CB22" s="237"/>
      <c r="CC22" s="237"/>
      <c r="CD22" s="237"/>
      <c r="CE22" s="237"/>
      <c r="CF22" s="237"/>
      <c r="CG22" s="237"/>
      <c r="CH22" s="237"/>
      <c r="CI22" s="237"/>
      <c r="CJ22" s="237"/>
      <c r="CK22" s="237"/>
      <c r="CL22" s="237"/>
      <c r="CM22" s="237"/>
      <c r="CN22" s="237"/>
      <c r="CO22" s="237"/>
      <c r="CP22" s="237"/>
      <c r="CQ22" s="237"/>
      <c r="CR22" s="237"/>
      <c r="CS22" s="237"/>
      <c r="CT22" s="237"/>
      <c r="CU22" s="237"/>
      <c r="CV22" s="237"/>
      <c r="CW22" s="237"/>
      <c r="CX22" s="237"/>
      <c r="CY22" s="237"/>
      <c r="CZ22" s="237"/>
      <c r="DA22" s="237"/>
      <c r="DB22" s="237"/>
    </row>
    <row r="23" spans="26:107" ht="16.5" hidden="1" customHeight="1" x14ac:dyDescent="0.2">
      <c r="AT23" s="128"/>
      <c r="AU23" s="129"/>
      <c r="AV23" s="1258" t="s">
        <v>344</v>
      </c>
      <c r="AW23" s="1258"/>
      <c r="AX23" s="1258"/>
      <c r="AY23" s="1258"/>
      <c r="AZ23" s="1258"/>
      <c r="BA23" s="1258"/>
      <c r="BB23" s="1259" t="s">
        <v>343</v>
      </c>
      <c r="BC23" s="1259"/>
      <c r="BD23" s="1259"/>
      <c r="BE23" s="130"/>
      <c r="BF23" s="130"/>
      <c r="BG23" s="130"/>
      <c r="BH23" s="130"/>
      <c r="BI23" s="130"/>
      <c r="BN23" s="130"/>
      <c r="BO23" s="130"/>
      <c r="BP23" s="130"/>
      <c r="BQ23" s="130"/>
      <c r="BR23" s="130"/>
      <c r="BS23" s="130"/>
      <c r="BT23" s="130"/>
      <c r="BU23" s="130"/>
      <c r="BV23" s="130"/>
      <c r="BW23" s="130"/>
      <c r="BX23" s="130"/>
      <c r="BY23" s="130"/>
      <c r="BZ23" s="130"/>
      <c r="CA23" s="130"/>
      <c r="CB23" s="130"/>
      <c r="CC23" s="130"/>
      <c r="CD23" s="130"/>
      <c r="CE23" s="130"/>
      <c r="CF23" s="130"/>
      <c r="CG23" s="130"/>
      <c r="CH23" s="130"/>
      <c r="CI23" s="130"/>
      <c r="CJ23" s="130"/>
      <c r="CK23" s="130"/>
      <c r="CL23" s="131"/>
      <c r="CM23" s="130"/>
      <c r="CN23" s="130"/>
      <c r="CO23" s="130"/>
      <c r="CP23" s="130"/>
      <c r="CQ23" s="130"/>
      <c r="CR23" s="130"/>
      <c r="CS23" s="130"/>
      <c r="CT23" s="130"/>
      <c r="CU23" s="130"/>
    </row>
    <row r="24" spans="26:107" ht="16.5" hidden="1" customHeight="1" x14ac:dyDescent="0.2">
      <c r="AT24" s="129"/>
      <c r="AU24" s="129"/>
      <c r="AV24" s="134" t="s">
        <v>119</v>
      </c>
      <c r="AW24" s="134" t="s">
        <v>119</v>
      </c>
      <c r="AX24" s="134" t="s">
        <v>222</v>
      </c>
      <c r="AY24" s="134" t="s">
        <v>222</v>
      </c>
      <c r="AZ24" s="134" t="s">
        <v>222</v>
      </c>
      <c r="BA24" s="134" t="s">
        <v>222</v>
      </c>
      <c r="BB24" s="846" t="s">
        <v>343</v>
      </c>
      <c r="BC24" s="846" t="s">
        <v>343</v>
      </c>
      <c r="BD24" s="846" t="s">
        <v>343</v>
      </c>
      <c r="BF24" s="135"/>
      <c r="BH24" s="135"/>
      <c r="BI24" s="135"/>
      <c r="BN24" s="130"/>
      <c r="BO24" s="130"/>
      <c r="BP24" s="130"/>
      <c r="BQ24" s="130"/>
      <c r="BR24" s="130"/>
      <c r="BS24" s="130"/>
      <c r="BT24" s="130"/>
      <c r="BU24" s="130"/>
      <c r="BV24" s="130"/>
      <c r="BW24" s="130"/>
      <c r="BX24" s="130"/>
      <c r="BY24" s="130"/>
      <c r="BZ24" s="130"/>
      <c r="CA24" s="130"/>
      <c r="CB24" s="130"/>
      <c r="CC24" s="130"/>
      <c r="CD24" s="136"/>
      <c r="CE24" s="130"/>
      <c r="CF24" s="130"/>
      <c r="CG24" s="130"/>
      <c r="CH24" s="130"/>
      <c r="CI24" s="130"/>
      <c r="CJ24" s="130"/>
      <c r="CK24" s="130"/>
      <c r="CL24" s="131"/>
      <c r="CM24" s="130"/>
      <c r="CN24" s="130"/>
      <c r="CO24" s="130"/>
      <c r="CP24" s="130"/>
      <c r="CQ24" s="130"/>
      <c r="CR24" s="130"/>
      <c r="CS24" s="130"/>
      <c r="CT24" s="130"/>
      <c r="CU24" s="130"/>
    </row>
    <row r="25" spans="26:107" ht="16.5" hidden="1" customHeight="1" x14ac:dyDescent="0.2">
      <c r="AT25" s="1260" t="s">
        <v>120</v>
      </c>
      <c r="AU25" s="1260"/>
      <c r="AV25" s="204">
        <v>400</v>
      </c>
      <c r="AW25" s="204">
        <v>600</v>
      </c>
      <c r="AX25" s="204">
        <v>800</v>
      </c>
      <c r="AY25" s="204">
        <v>1000</v>
      </c>
      <c r="AZ25" s="204">
        <v>1200</v>
      </c>
      <c r="BA25" s="204">
        <v>1500</v>
      </c>
      <c r="BB25" s="847">
        <v>600</v>
      </c>
      <c r="BC25" s="847">
        <v>800</v>
      </c>
      <c r="BD25" s="847">
        <v>1000</v>
      </c>
      <c r="BF25" s="137"/>
      <c r="BH25" s="137"/>
      <c r="BN25" s="130"/>
      <c r="BO25" s="130"/>
      <c r="BP25" s="130"/>
      <c r="BQ25" s="130"/>
      <c r="BR25" s="130"/>
      <c r="BS25" s="130"/>
      <c r="BT25" s="130"/>
      <c r="BU25" s="130"/>
      <c r="BV25" s="130"/>
      <c r="BW25" s="130"/>
      <c r="BX25" s="130"/>
      <c r="BY25" s="130"/>
      <c r="BZ25" s="130"/>
      <c r="CA25" s="130"/>
      <c r="CB25" s="130"/>
      <c r="CC25" s="130"/>
      <c r="CD25" s="130"/>
      <c r="CE25" s="130"/>
      <c r="CF25" s="130"/>
      <c r="CG25" s="130"/>
      <c r="CH25" s="130"/>
      <c r="CI25" s="130"/>
      <c r="CJ25" s="130"/>
      <c r="CK25" s="130"/>
      <c r="CL25" s="131"/>
      <c r="CM25" s="130"/>
      <c r="CN25" s="130"/>
      <c r="CO25" s="130"/>
      <c r="CP25" s="130"/>
      <c r="CQ25" s="130"/>
      <c r="CR25" s="130"/>
      <c r="CS25" s="130"/>
      <c r="CT25" s="130"/>
      <c r="CU25" s="130"/>
    </row>
    <row r="26" spans="26:107" ht="16.5" hidden="1" customHeight="1" x14ac:dyDescent="0.2">
      <c r="AT26" s="1260" t="s">
        <v>121</v>
      </c>
      <c r="AU26" s="1260"/>
      <c r="AV26" s="205">
        <v>0.18</v>
      </c>
      <c r="AW26" s="205">
        <v>0.35</v>
      </c>
      <c r="AX26" s="205">
        <v>0.53</v>
      </c>
      <c r="AY26" s="205">
        <v>0.8</v>
      </c>
      <c r="AZ26" s="205">
        <v>1.36</v>
      </c>
      <c r="BA26" s="205">
        <v>1.93</v>
      </c>
      <c r="BB26" s="848">
        <v>0.02</v>
      </c>
      <c r="BC26" s="848">
        <v>2.9000000000000001E-2</v>
      </c>
      <c r="BD26" s="848">
        <v>3.5000000000000003E-2</v>
      </c>
      <c r="BF26" s="138"/>
      <c r="BH26" s="138"/>
      <c r="BN26" s="139"/>
      <c r="BO26" s="139"/>
      <c r="BP26" s="139"/>
      <c r="BQ26" s="130"/>
      <c r="BR26" s="130"/>
      <c r="BS26" s="130"/>
      <c r="BT26" s="130"/>
      <c r="BU26" s="130"/>
      <c r="BV26" s="130"/>
      <c r="BW26" s="130"/>
      <c r="BX26" s="130"/>
      <c r="BY26" s="130"/>
      <c r="BZ26" s="130"/>
      <c r="CA26" s="130"/>
      <c r="CB26" s="130"/>
      <c r="CC26" s="130"/>
      <c r="CD26" s="130"/>
      <c r="CE26" s="130"/>
      <c r="CF26" s="130"/>
      <c r="CG26" s="130"/>
      <c r="CH26" s="130"/>
      <c r="CI26" s="130"/>
      <c r="CJ26" s="130"/>
      <c r="CK26" s="130"/>
      <c r="CL26" s="131"/>
      <c r="CM26" s="130"/>
      <c r="CN26" s="130"/>
      <c r="CO26" s="130"/>
      <c r="CP26" s="130"/>
      <c r="CQ26" s="130"/>
      <c r="CR26" s="130"/>
      <c r="CS26" s="130"/>
      <c r="CT26" s="130"/>
      <c r="CU26" s="130"/>
    </row>
    <row r="27" spans="26:107" ht="16.5" hidden="1" customHeight="1" x14ac:dyDescent="0.2">
      <c r="BG27" s="130"/>
      <c r="BH27" s="130"/>
      <c r="BI27" s="130"/>
      <c r="BN27" s="130"/>
      <c r="BO27" s="130"/>
      <c r="BP27" s="130"/>
      <c r="BQ27" s="130"/>
      <c r="BR27" s="130"/>
      <c r="BS27" s="130"/>
      <c r="BT27" s="130"/>
      <c r="BU27" s="130"/>
      <c r="BV27" s="130"/>
      <c r="BW27" s="130"/>
      <c r="BX27" s="130"/>
      <c r="BY27" s="130"/>
      <c r="BZ27" s="130"/>
      <c r="CA27" s="130"/>
      <c r="CB27" s="130"/>
      <c r="CC27" s="130"/>
      <c r="CD27" s="130"/>
      <c r="CE27" s="130"/>
      <c r="CF27" s="130"/>
      <c r="CG27" s="130"/>
      <c r="CH27" s="130"/>
      <c r="CI27" s="130"/>
      <c r="CJ27" s="130"/>
      <c r="CK27" s="130"/>
      <c r="CL27" s="131"/>
      <c r="CM27" s="130"/>
      <c r="CN27" s="130"/>
      <c r="CO27" s="130"/>
      <c r="CP27" s="130"/>
      <c r="CQ27" s="130"/>
      <c r="CR27" s="130"/>
      <c r="CS27" s="130"/>
      <c r="CT27" s="130"/>
      <c r="CU27" s="130"/>
    </row>
    <row r="28" spans="26:107" ht="24.95" hidden="1" customHeight="1" x14ac:dyDescent="0.2">
      <c r="AT28" s="1261" t="s">
        <v>320</v>
      </c>
      <c r="AU28" s="1262"/>
      <c r="AV28" s="1262"/>
      <c r="AW28" s="1262"/>
      <c r="AX28" s="1262"/>
      <c r="AY28" s="1262"/>
      <c r="AZ28" s="1262"/>
      <c r="BA28" s="1262"/>
      <c r="BB28" s="1262"/>
      <c r="BC28" s="1262"/>
      <c r="BD28" s="1262"/>
      <c r="BE28" s="1263"/>
      <c r="BF28"/>
      <c r="BG28"/>
      <c r="BH28" s="140"/>
      <c r="BI28" s="140"/>
    </row>
    <row r="29" spans="26:107" ht="54.95" hidden="1" customHeight="1" x14ac:dyDescent="0.2">
      <c r="AT29" s="1233" t="s">
        <v>321</v>
      </c>
      <c r="AU29" s="1234"/>
      <c r="AV29" s="141" t="s">
        <v>322</v>
      </c>
      <c r="AW29" s="141" t="s">
        <v>323</v>
      </c>
      <c r="AX29" s="141" t="s">
        <v>324</v>
      </c>
      <c r="AY29" s="141" t="s">
        <v>325</v>
      </c>
      <c r="AZ29" s="141" t="s">
        <v>326</v>
      </c>
      <c r="BA29" s="141" t="s">
        <v>327</v>
      </c>
      <c r="BB29" s="141" t="s">
        <v>328</v>
      </c>
      <c r="BC29" s="141" t="s">
        <v>329</v>
      </c>
      <c r="BD29" s="141" t="s">
        <v>330</v>
      </c>
      <c r="BE29" s="141" t="s">
        <v>331</v>
      </c>
      <c r="BI29" s="138"/>
    </row>
    <row r="30" spans="26:107" ht="24.95" hidden="1" customHeight="1" x14ac:dyDescent="0.2">
      <c r="AT30" s="1235"/>
      <c r="AU30" s="1236"/>
      <c r="AV30" s="142"/>
      <c r="AW30" s="142"/>
      <c r="AX30" s="143"/>
      <c r="AY30" s="143"/>
      <c r="AZ30" s="144">
        <f>(((AY30+AX30)*$AV30)/2)*$AW30</f>
        <v>0</v>
      </c>
      <c r="BA30" s="144">
        <f>AZ30-BB30/1.3</f>
        <v>0</v>
      </c>
      <c r="BB30" s="144">
        <f>0.2799*AW30*1.3</f>
        <v>0</v>
      </c>
      <c r="BC30" s="145">
        <f>AW30</f>
        <v>0</v>
      </c>
      <c r="BD30" s="145">
        <f>0.2323*AW30</f>
        <v>0</v>
      </c>
      <c r="BE30" s="145">
        <f>2.1*AW30</f>
        <v>0</v>
      </c>
    </row>
    <row r="31" spans="26:107" ht="24.95" customHeight="1" x14ac:dyDescent="0.2">
      <c r="AT31" s="146"/>
      <c r="AU31" s="147"/>
      <c r="AV31" s="148"/>
      <c r="AW31" s="148"/>
      <c r="AX31" s="148"/>
      <c r="AY31" s="148"/>
      <c r="AZ31" s="148"/>
      <c r="BA31" s="148"/>
      <c r="BB31" s="148"/>
      <c r="BC31" s="148"/>
      <c r="BD31" s="149"/>
      <c r="BE31" s="150"/>
      <c r="BF31" s="151"/>
      <c r="BG31" s="149"/>
      <c r="BH31" s="150"/>
      <c r="BI31" s="152"/>
    </row>
    <row r="32" spans="26:107" ht="16.5" customHeight="1" x14ac:dyDescent="0.2">
      <c r="AT32" s="146"/>
      <c r="AU32" s="147"/>
      <c r="AV32" s="148"/>
      <c r="AW32" s="148"/>
      <c r="AX32" s="148"/>
      <c r="AY32" s="148"/>
      <c r="AZ32" s="148"/>
      <c r="BA32" s="148"/>
      <c r="BB32" s="148"/>
      <c r="BC32" s="148"/>
      <c r="BD32" s="153"/>
      <c r="BE32" s="154"/>
      <c r="BF32" s="49"/>
      <c r="BG32" s="155"/>
      <c r="BH32" s="154"/>
      <c r="BI32" s="152"/>
      <c r="CK32" s="156"/>
      <c r="CL32" s="154"/>
      <c r="CM32" s="139"/>
    </row>
    <row r="33" spans="47:99" ht="16.5" customHeight="1" x14ac:dyDescent="0.2">
      <c r="AU33" s="153" t="s">
        <v>198</v>
      </c>
      <c r="AV33" s="384">
        <f>IF(AV43&gt;30,TRUNC((CU18)*30,2),TRUNC((CU18)*AV43,2))</f>
        <v>3293.1</v>
      </c>
      <c r="AW33" s="139" t="s">
        <v>39</v>
      </c>
      <c r="AY33" s="139"/>
      <c r="BB33" s="1218"/>
      <c r="BC33" s="1218"/>
      <c r="BD33" s="1218"/>
      <c r="BE33" s="157"/>
      <c r="BF33" s="158"/>
      <c r="BG33" s="9"/>
      <c r="CK33" s="156"/>
      <c r="CL33" s="154"/>
      <c r="CM33" s="139"/>
    </row>
    <row r="34" spans="47:99" ht="16.5" customHeight="1" x14ac:dyDescent="0.2">
      <c r="AU34" s="153" t="s">
        <v>199</v>
      </c>
      <c r="AV34" s="385">
        <f>IF(AV43&gt;30,TRUNC((CU18)*(AV43-30),2),0)</f>
        <v>15367.8</v>
      </c>
      <c r="AW34" s="139" t="s">
        <v>39</v>
      </c>
      <c r="AY34" s="139"/>
      <c r="BA34" s="104"/>
      <c r="BB34" s="1217"/>
      <c r="BC34" s="1217"/>
      <c r="BD34" s="1217"/>
      <c r="BE34" s="160"/>
      <c r="BF34" s="161"/>
      <c r="BG34" s="162"/>
    </row>
    <row r="35" spans="47:99" ht="16.5" hidden="1" customHeight="1" x14ac:dyDescent="0.2">
      <c r="AU35" s="153" t="s">
        <v>376</v>
      </c>
      <c r="AV35" s="385" t="e">
        <f>IF(AV44&gt;30,TRUNC((#REF!+#REF!+#REF!+#REF!+#REF!+#REF!+#REF!)*30,2),TRUNC((#REF!+#REF!+#REF!+#REF!+#REF!+#REF!+#REF!)*AV44,2))</f>
        <v>#REF!</v>
      </c>
      <c r="AW35" s="139" t="s">
        <v>39</v>
      </c>
      <c r="AY35" s="139"/>
      <c r="BA35" s="104"/>
      <c r="BB35" s="1218"/>
      <c r="BC35" s="1218"/>
      <c r="BD35" s="1218"/>
      <c r="BE35" s="157"/>
      <c r="BF35" s="158"/>
      <c r="BG35" s="9"/>
      <c r="CK35" s="156"/>
      <c r="CL35" s="154"/>
      <c r="CM35" s="139"/>
    </row>
    <row r="36" spans="47:99" ht="16.5" hidden="1" customHeight="1" x14ac:dyDescent="0.2">
      <c r="AU36" s="153" t="s">
        <v>377</v>
      </c>
      <c r="AV36" s="385">
        <f>IF(AV44&gt;30,TRUNC((#REF!+#REF!+#REF!+#REF!+#REF!+#REF!+#REF!)*(AV44-30),2),0)</f>
        <v>0</v>
      </c>
      <c r="AW36" s="139" t="s">
        <v>39</v>
      </c>
      <c r="AY36" s="139"/>
      <c r="BB36" s="1217"/>
      <c r="BC36" s="1217"/>
      <c r="BD36" s="1217"/>
      <c r="BE36" s="160"/>
      <c r="BF36" s="161"/>
      <c r="BG36" s="162"/>
    </row>
    <row r="37" spans="47:99" ht="16.5" customHeight="1" x14ac:dyDescent="0.2">
      <c r="AU37" s="156" t="s">
        <v>332</v>
      </c>
      <c r="AV37" s="385">
        <f>TRUNC(BZ18*AV45,2)</f>
        <v>563.99</v>
      </c>
      <c r="AW37" s="139" t="s">
        <v>8</v>
      </c>
      <c r="AY37" s="139"/>
      <c r="BB37" s="1217"/>
      <c r="BC37" s="1217"/>
      <c r="BD37" s="1217"/>
      <c r="BE37" s="160"/>
      <c r="BF37" s="161"/>
      <c r="BG37" s="162"/>
    </row>
    <row r="38" spans="47:99" ht="16.5" hidden="1" customHeight="1" x14ac:dyDescent="0.2">
      <c r="AU38" s="156" t="s">
        <v>333</v>
      </c>
      <c r="AV38" s="385">
        <f>TRUNC(BG43*AV46,2)</f>
        <v>0</v>
      </c>
      <c r="AW38" s="139" t="s">
        <v>8</v>
      </c>
      <c r="AY38" s="139"/>
      <c r="BB38" s="1217"/>
      <c r="BC38" s="1217"/>
      <c r="BD38" s="1217"/>
      <c r="BE38" s="160"/>
      <c r="BF38" s="161"/>
      <c r="BG38" s="162"/>
      <c r="BJ38" s="163"/>
      <c r="BK38" s="163"/>
      <c r="BL38" s="163"/>
      <c r="BM38" s="163"/>
      <c r="BN38" s="163"/>
      <c r="BO38" s="163"/>
      <c r="BP38" s="163"/>
      <c r="BQ38" s="163"/>
      <c r="BR38" s="163"/>
      <c r="BS38" s="163"/>
      <c r="BT38" s="163"/>
      <c r="BU38" s="163"/>
      <c r="BV38" s="163"/>
      <c r="BW38" s="163"/>
      <c r="BX38" s="163"/>
      <c r="BY38" s="163"/>
      <c r="BZ38" s="163"/>
      <c r="CA38" s="163"/>
      <c r="CB38" s="163"/>
      <c r="CC38" s="163"/>
      <c r="CD38" s="163"/>
      <c r="CE38" s="163"/>
      <c r="CF38" s="163"/>
      <c r="CG38" s="163"/>
      <c r="CH38" s="163"/>
      <c r="CI38" s="163"/>
      <c r="CJ38" s="163"/>
      <c r="CK38" s="163"/>
      <c r="CL38" s="164"/>
      <c r="CM38" s="163"/>
      <c r="CN38" s="163"/>
      <c r="CO38" s="163"/>
      <c r="CP38" s="163"/>
      <c r="CQ38" s="163"/>
      <c r="CR38" s="163"/>
      <c r="CS38" s="163"/>
      <c r="CT38" s="163"/>
      <c r="CU38" s="163"/>
    </row>
    <row r="39" spans="47:99" ht="16.5" hidden="1" customHeight="1" x14ac:dyDescent="0.2">
      <c r="AU39" s="156" t="s">
        <v>334</v>
      </c>
      <c r="AV39" s="385">
        <v>0</v>
      </c>
      <c r="AW39" s="139" t="s">
        <v>8</v>
      </c>
      <c r="AY39" s="139"/>
      <c r="BB39" s="1231"/>
      <c r="BC39" s="1231"/>
      <c r="BD39" s="1231"/>
      <c r="BE39" s="166"/>
      <c r="BF39" s="166"/>
      <c r="BG39" s="167"/>
    </row>
    <row r="40" spans="47:99" ht="16.5" hidden="1" customHeight="1" x14ac:dyDescent="0.2">
      <c r="AU40" s="156" t="s">
        <v>200</v>
      </c>
      <c r="AV40" s="385">
        <f>TRUNC(CM18*AV46,2)</f>
        <v>0</v>
      </c>
      <c r="AW40" s="139" t="s">
        <v>8</v>
      </c>
      <c r="AY40" s="139"/>
      <c r="BB40" s="165"/>
      <c r="BC40" s="165"/>
      <c r="BD40" s="165"/>
      <c r="BE40" s="168"/>
      <c r="BF40" s="168"/>
      <c r="BG40" s="167"/>
    </row>
    <row r="41" spans="47:99" ht="16.5" hidden="1" customHeight="1" x14ac:dyDescent="0.2">
      <c r="AU41" s="156" t="s">
        <v>200</v>
      </c>
      <c r="AV41" s="385">
        <f>IF(AV47&gt;30,TRUNC(CM18*30,2),TRUNC(CM18*AV47,2))</f>
        <v>0</v>
      </c>
      <c r="AW41" s="139" t="s">
        <v>8</v>
      </c>
      <c r="AY41" s="139"/>
      <c r="BB41" s="165"/>
      <c r="BC41" s="165"/>
      <c r="BD41" s="165"/>
      <c r="BE41" s="168"/>
      <c r="BF41" s="168"/>
      <c r="BG41" s="167"/>
    </row>
    <row r="42" spans="47:99" ht="16.5" hidden="1" customHeight="1" x14ac:dyDescent="0.2">
      <c r="AU42" s="156" t="s">
        <v>573</v>
      </c>
      <c r="AV42" s="385">
        <f>IF(AV47&gt;30,TRUNC(CM18*(AV47-30),2),0)</f>
        <v>0</v>
      </c>
      <c r="AW42" s="139" t="s">
        <v>8</v>
      </c>
      <c r="AY42" s="139"/>
      <c r="BB42" s="165"/>
      <c r="BC42" s="165"/>
      <c r="BD42" s="165"/>
      <c r="BE42" s="168"/>
      <c r="BF42" s="168"/>
      <c r="BG42" s="167"/>
    </row>
    <row r="43" spans="47:99" ht="16.5" customHeight="1" x14ac:dyDescent="0.2">
      <c r="AU43" s="153" t="s">
        <v>379</v>
      </c>
      <c r="AV43" s="386">
        <f>DMT!F11</f>
        <v>170</v>
      </c>
      <c r="AW43" s="139" t="s">
        <v>38</v>
      </c>
      <c r="AY43" s="139"/>
      <c r="BB43" s="1217"/>
      <c r="BC43" s="1217"/>
      <c r="BD43" s="1217"/>
      <c r="BE43" s="160"/>
      <c r="BF43" s="158"/>
      <c r="BG43" s="169"/>
    </row>
    <row r="44" spans="47:99" ht="16.5" hidden="1" customHeight="1" x14ac:dyDescent="0.2">
      <c r="AU44" s="153" t="s">
        <v>378</v>
      </c>
      <c r="AV44" s="386">
        <f>[2]DMT!F10</f>
        <v>0</v>
      </c>
      <c r="AW44" s="139" t="s">
        <v>38</v>
      </c>
      <c r="AY44" s="139"/>
      <c r="BB44" s="159"/>
      <c r="BC44" s="159"/>
      <c r="BD44" s="159"/>
      <c r="BE44" s="160"/>
      <c r="BF44" s="158"/>
      <c r="BG44" s="169"/>
    </row>
    <row r="45" spans="47:99" ht="16.5" customHeight="1" x14ac:dyDescent="0.2">
      <c r="AU45" s="153" t="s">
        <v>122</v>
      </c>
      <c r="AV45" s="386">
        <f>DMT!F15</f>
        <v>3.4</v>
      </c>
      <c r="AW45" s="139" t="s">
        <v>38</v>
      </c>
      <c r="AY45" s="139"/>
      <c r="BB45" s="159"/>
      <c r="BC45" s="159"/>
      <c r="BD45" s="159"/>
      <c r="BE45" s="160"/>
      <c r="BF45" s="162"/>
      <c r="BG45" s="162"/>
    </row>
    <row r="46" spans="47:99" ht="16.5" hidden="1" customHeight="1" x14ac:dyDescent="0.2">
      <c r="AU46" s="153" t="s">
        <v>123</v>
      </c>
      <c r="AV46" s="542">
        <f>[2]DMT!F8</f>
        <v>65.8</v>
      </c>
      <c r="AW46" s="139" t="s">
        <v>38</v>
      </c>
      <c r="AY46" s="139"/>
      <c r="BB46" s="1217"/>
      <c r="BC46" s="1217"/>
      <c r="BD46" s="1217"/>
      <c r="BE46" s="170"/>
      <c r="BF46" s="162"/>
      <c r="BG46" s="162"/>
    </row>
    <row r="47" spans="47:99" ht="16.5" customHeight="1" x14ac:dyDescent="0.2">
      <c r="AU47" s="153" t="s">
        <v>123</v>
      </c>
      <c r="AV47" s="387">
        <f>DMT!F10</f>
        <v>65.400000000000006</v>
      </c>
      <c r="AW47" s="139" t="s">
        <v>38</v>
      </c>
      <c r="AY47" s="139"/>
      <c r="BB47" s="1217"/>
      <c r="BC47" s="1217"/>
      <c r="BD47" s="1217"/>
      <c r="BE47" s="170"/>
      <c r="BF47" s="162"/>
      <c r="BG47" s="162"/>
    </row>
    <row r="48" spans="47:99" ht="16.5" customHeight="1" x14ac:dyDescent="0.2">
      <c r="AU48" s="1232"/>
      <c r="AV48" s="1232"/>
      <c r="BB48" s="159"/>
      <c r="BC48" s="159"/>
      <c r="BD48" s="159"/>
      <c r="BE48" s="170"/>
      <c r="BF48" s="171"/>
      <c r="BG48" s="162"/>
    </row>
    <row r="50" spans="49:56" ht="16.5" customHeight="1" x14ac:dyDescent="0.2">
      <c r="AW50" s="104"/>
    </row>
    <row r="51" spans="49:56" ht="16.5" customHeight="1" x14ac:dyDescent="0.2">
      <c r="AW51" s="104"/>
    </row>
    <row r="52" spans="49:56" ht="16.5" customHeight="1" x14ac:dyDescent="0.2">
      <c r="BB52" s="1223"/>
      <c r="BC52" s="1223"/>
      <c r="BD52" s="1223"/>
    </row>
    <row r="53" spans="49:56" ht="16.5" customHeight="1" x14ac:dyDescent="0.2">
      <c r="BB53" s="1223"/>
      <c r="BC53" s="1223"/>
      <c r="BD53" s="1223"/>
    </row>
    <row r="83" spans="1:4" s="49" customFormat="1" ht="16.5" customHeight="1" x14ac:dyDescent="0.2">
      <c r="A83" s="172" t="s">
        <v>124</v>
      </c>
      <c r="B83" s="173"/>
      <c r="C83" s="173"/>
      <c r="D83" s="173"/>
    </row>
    <row r="84" spans="1:4" s="49" customFormat="1" ht="16.5" customHeight="1" x14ac:dyDescent="0.2">
      <c r="A84" s="45"/>
      <c r="B84" s="47"/>
      <c r="C84" s="47"/>
      <c r="D84" s="47"/>
    </row>
    <row r="85" spans="1:4" s="49" customFormat="1" ht="16.5" customHeight="1" x14ac:dyDescent="0.2">
      <c r="A85" s="174" t="s">
        <v>125</v>
      </c>
      <c r="B85" s="175" t="s">
        <v>126</v>
      </c>
      <c r="C85" s="175" t="s">
        <v>127</v>
      </c>
      <c r="D85" s="175" t="s">
        <v>128</v>
      </c>
    </row>
    <row r="86" spans="1:4" s="49" customFormat="1" ht="16.5" customHeight="1" x14ac:dyDescent="0.2">
      <c r="A86" s="176">
        <v>1</v>
      </c>
      <c r="B86" s="177" t="s">
        <v>129</v>
      </c>
      <c r="C86" s="178">
        <v>0.8</v>
      </c>
      <c r="D86" s="178">
        <v>5.8000000000000003E-2</v>
      </c>
    </row>
    <row r="87" spans="1:4" s="49" customFormat="1" ht="16.5" customHeight="1" x14ac:dyDescent="0.2">
      <c r="A87" s="176">
        <v>2</v>
      </c>
      <c r="B87" s="177" t="s">
        <v>130</v>
      </c>
      <c r="C87" s="178">
        <v>0.6</v>
      </c>
      <c r="D87" s="178">
        <v>4.2999999999999997E-2</v>
      </c>
    </row>
    <row r="88" spans="1:4" s="49" customFormat="1" ht="16.5" customHeight="1" x14ac:dyDescent="0.2">
      <c r="A88" s="176">
        <v>3</v>
      </c>
      <c r="B88" s="178" t="s">
        <v>131</v>
      </c>
      <c r="C88" s="178">
        <v>0.4</v>
      </c>
      <c r="D88" s="178">
        <v>2.9000000000000001E-2</v>
      </c>
    </row>
    <row r="89" spans="1:4" s="49" customFormat="1" ht="16.5" customHeight="1" x14ac:dyDescent="0.2">
      <c r="A89" s="176">
        <v>4</v>
      </c>
      <c r="B89" s="178" t="s">
        <v>132</v>
      </c>
      <c r="C89" s="178">
        <v>0.25</v>
      </c>
      <c r="D89" s="178">
        <v>1.7999999999999999E-2</v>
      </c>
    </row>
    <row r="90" spans="1:4" s="49" customFormat="1" ht="16.5" customHeight="1" x14ac:dyDescent="0.2">
      <c r="A90" s="45"/>
      <c r="B90" s="47"/>
      <c r="C90" s="47"/>
      <c r="D90" s="47"/>
    </row>
    <row r="91" spans="1:4" s="49" customFormat="1" ht="16.5" customHeight="1" x14ac:dyDescent="0.2">
      <c r="A91" s="45"/>
      <c r="B91" s="47"/>
      <c r="C91" s="47"/>
      <c r="D91" s="47"/>
    </row>
    <row r="92" spans="1:4" s="49" customFormat="1" ht="16.5" customHeight="1" x14ac:dyDescent="0.2">
      <c r="A92" s="172" t="s">
        <v>133</v>
      </c>
      <c r="B92" s="173"/>
      <c r="C92" s="173"/>
      <c r="D92" s="173"/>
    </row>
    <row r="93" spans="1:4" s="49" customFormat="1" ht="16.5" customHeight="1" x14ac:dyDescent="0.2">
      <c r="A93" s="45"/>
      <c r="B93" s="47"/>
      <c r="C93" s="47"/>
      <c r="D93" s="47"/>
    </row>
    <row r="94" spans="1:4" s="49" customFormat="1" ht="16.5" customHeight="1" x14ac:dyDescent="0.2">
      <c r="A94" s="1224" t="s">
        <v>134</v>
      </c>
      <c r="B94" s="1084" t="s">
        <v>135</v>
      </c>
      <c r="C94" s="1084"/>
      <c r="D94" s="179"/>
    </row>
    <row r="95" spans="1:4" s="49" customFormat="1" ht="16.5" customHeight="1" x14ac:dyDescent="0.2">
      <c r="A95" s="1224"/>
      <c r="B95" s="178" t="s">
        <v>136</v>
      </c>
      <c r="C95" s="178" t="s">
        <v>137</v>
      </c>
      <c r="D95" s="173"/>
    </row>
    <row r="96" spans="1:4" s="49" customFormat="1" ht="16.5" customHeight="1" x14ac:dyDescent="0.2">
      <c r="A96" s="180" t="s">
        <v>138</v>
      </c>
      <c r="B96" s="178" t="s">
        <v>139</v>
      </c>
      <c r="C96" s="178" t="s">
        <v>140</v>
      </c>
      <c r="D96" s="173"/>
    </row>
    <row r="97" spans="1:17" s="49" customFormat="1" ht="16.5" customHeight="1" x14ac:dyDescent="0.2">
      <c r="A97" s="181" t="s">
        <v>141</v>
      </c>
      <c r="B97" s="178" t="s">
        <v>142</v>
      </c>
      <c r="C97" s="178" t="s">
        <v>139</v>
      </c>
      <c r="D97" s="173"/>
    </row>
    <row r="98" spans="1:17" s="49" customFormat="1" ht="16.5" customHeight="1" x14ac:dyDescent="0.2">
      <c r="A98" s="181" t="s">
        <v>143</v>
      </c>
      <c r="B98" s="178" t="s">
        <v>144</v>
      </c>
      <c r="C98" s="178" t="s">
        <v>142</v>
      </c>
      <c r="D98" s="182"/>
    </row>
    <row r="101" spans="1:17" s="49" customFormat="1" ht="16.5" customHeight="1" x14ac:dyDescent="0.2">
      <c r="A101" s="1216" t="s">
        <v>145</v>
      </c>
      <c r="B101" s="1216"/>
      <c r="C101" s="1216"/>
      <c r="D101" s="183"/>
      <c r="E101" s="183"/>
      <c r="F101" s="183"/>
      <c r="G101" s="183"/>
      <c r="H101" s="183"/>
      <c r="I101" s="183"/>
      <c r="J101" s="47"/>
      <c r="K101" s="47"/>
      <c r="L101" s="47"/>
      <c r="M101" s="47"/>
      <c r="N101" s="184" t="s">
        <v>201</v>
      </c>
      <c r="O101" s="184" t="s">
        <v>202</v>
      </c>
      <c r="P101" s="185" t="s">
        <v>203</v>
      </c>
      <c r="Q101" s="184" t="s">
        <v>204</v>
      </c>
    </row>
    <row r="102" spans="1:17" s="49" customFormat="1" ht="16.5" customHeight="1" x14ac:dyDescent="0.2">
      <c r="A102" s="186" t="s">
        <v>55</v>
      </c>
      <c r="B102" s="187" t="s">
        <v>56</v>
      </c>
      <c r="C102" s="187" t="s">
        <v>57</v>
      </c>
      <c r="D102" s="133"/>
      <c r="E102" s="188"/>
      <c r="F102" s="188"/>
      <c r="G102" s="133"/>
      <c r="H102" s="188"/>
      <c r="I102" s="188"/>
      <c r="J102" s="47"/>
      <c r="K102" s="47"/>
      <c r="L102" s="47"/>
      <c r="M102" s="47"/>
      <c r="N102" s="189">
        <v>1.52E-2</v>
      </c>
      <c r="O102" s="189">
        <v>2.3699999999999999E-2</v>
      </c>
      <c r="P102" s="190">
        <v>0.15</v>
      </c>
      <c r="Q102" s="189">
        <v>7.3899999999999993E-2</v>
      </c>
    </row>
    <row r="103" spans="1:17" s="49" customFormat="1" ht="16.5" customHeight="1" x14ac:dyDescent="0.2">
      <c r="A103" s="191">
        <v>1E-4</v>
      </c>
      <c r="B103" s="192">
        <v>6.6E-3</v>
      </c>
      <c r="C103" s="193">
        <v>0.01</v>
      </c>
      <c r="D103" s="47"/>
      <c r="E103" s="47"/>
      <c r="F103" s="47"/>
      <c r="G103" s="47"/>
      <c r="H103" s="47"/>
      <c r="I103" s="47"/>
      <c r="J103" s="47"/>
      <c r="K103" s="47"/>
      <c r="L103" s="47"/>
      <c r="M103" s="47"/>
      <c r="N103" s="194">
        <v>1.7399999999999999E-2</v>
      </c>
      <c r="O103" s="194">
        <v>2.69E-2</v>
      </c>
      <c r="P103" s="195">
        <v>0.16</v>
      </c>
      <c r="Q103" s="194">
        <v>8.1100000000000005E-2</v>
      </c>
    </row>
    <row r="104" spans="1:17" s="49" customFormat="1" ht="16.5" customHeight="1" x14ac:dyDescent="0.2">
      <c r="A104" s="191">
        <v>2.0000000000000001E-4</v>
      </c>
      <c r="B104" s="192">
        <v>1.32E-2</v>
      </c>
      <c r="C104" s="193">
        <v>0.02</v>
      </c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194">
        <v>1.9699999999999999E-2</v>
      </c>
      <c r="O104" s="194">
        <v>3.04E-2</v>
      </c>
      <c r="P104" s="195">
        <v>0.17</v>
      </c>
      <c r="Q104" s="194">
        <v>8.0500000000000002E-2</v>
      </c>
    </row>
    <row r="105" spans="1:17" s="49" customFormat="1" ht="16.5" customHeight="1" x14ac:dyDescent="0.2">
      <c r="A105" s="191">
        <v>5.0000000000000001E-4</v>
      </c>
      <c r="B105" s="192">
        <v>1.9699999999999999E-2</v>
      </c>
      <c r="C105" s="193">
        <v>0.03</v>
      </c>
      <c r="D105" s="47"/>
      <c r="E105" s="47"/>
      <c r="F105" s="47"/>
      <c r="G105" s="47"/>
      <c r="H105" s="47"/>
      <c r="I105" s="47"/>
      <c r="J105" s="47"/>
      <c r="K105" s="47"/>
      <c r="L105" s="47"/>
      <c r="M105" s="47"/>
      <c r="N105" s="194">
        <v>2.2100000000000002E-2</v>
      </c>
      <c r="O105" s="194">
        <v>3.4000000000000002E-2</v>
      </c>
      <c r="P105" s="195">
        <v>0.18</v>
      </c>
      <c r="Q105" s="194">
        <v>9.6100000000000005E-2</v>
      </c>
    </row>
    <row r="106" spans="1:17" s="49" customFormat="1" ht="16.5" customHeight="1" x14ac:dyDescent="0.2">
      <c r="A106" s="191">
        <v>8.9999999999999998E-4</v>
      </c>
      <c r="B106" s="192">
        <v>2.6200000000000001E-2</v>
      </c>
      <c r="C106" s="193">
        <v>0.04</v>
      </c>
      <c r="D106" s="47"/>
      <c r="E106" s="47"/>
      <c r="F106" s="47"/>
      <c r="G106" s="47"/>
      <c r="H106" s="47"/>
      <c r="I106" s="47"/>
      <c r="J106" s="47"/>
      <c r="K106" s="47"/>
      <c r="L106" s="47"/>
      <c r="M106" s="47"/>
      <c r="N106" s="194">
        <v>2.46E-2</v>
      </c>
      <c r="O106" s="194">
        <v>3.7699999999999997E-2</v>
      </c>
      <c r="P106" s="195">
        <v>0.19</v>
      </c>
      <c r="Q106" s="194">
        <v>0.10299999999999999</v>
      </c>
    </row>
    <row r="107" spans="1:17" s="49" customFormat="1" ht="16.5" customHeight="1" x14ac:dyDescent="0.2">
      <c r="A107" s="191">
        <v>1.5E-3</v>
      </c>
      <c r="B107" s="192">
        <v>3.2599999999999997E-2</v>
      </c>
      <c r="C107" s="193">
        <v>0.05</v>
      </c>
      <c r="D107" s="47"/>
      <c r="E107" s="47"/>
      <c r="F107" s="47"/>
      <c r="G107" s="47"/>
      <c r="H107" s="47"/>
      <c r="I107" s="47"/>
      <c r="J107" s="47"/>
      <c r="K107" s="47"/>
      <c r="L107" s="47"/>
      <c r="M107" s="47"/>
      <c r="N107" s="194">
        <v>2.7300000000000001E-2</v>
      </c>
      <c r="O107" s="194">
        <v>4.1799999999999997E-2</v>
      </c>
      <c r="P107" s="195">
        <v>0.2</v>
      </c>
      <c r="Q107" s="194">
        <v>0.111</v>
      </c>
    </row>
    <row r="108" spans="1:17" s="49" customFormat="1" ht="16.5" customHeight="1" x14ac:dyDescent="0.2">
      <c r="A108" s="191">
        <v>2.2000000000000001E-3</v>
      </c>
      <c r="B108" s="192">
        <v>3.8899999999999997E-2</v>
      </c>
      <c r="C108" s="193">
        <v>0.06</v>
      </c>
      <c r="D108" s="47"/>
      <c r="E108" s="47"/>
      <c r="F108" s="47"/>
      <c r="G108" s="47"/>
      <c r="H108" s="47"/>
      <c r="I108" s="47"/>
      <c r="J108" s="47"/>
      <c r="K108" s="47"/>
      <c r="L108" s="47"/>
      <c r="M108" s="47"/>
      <c r="N108" s="194">
        <v>3.0200000000000001E-2</v>
      </c>
      <c r="O108" s="194">
        <v>4.6100000000000002E-2</v>
      </c>
      <c r="P108" s="195">
        <v>0.21</v>
      </c>
      <c r="Q108" s="194">
        <v>0.11990000000000001</v>
      </c>
    </row>
    <row r="109" spans="1:17" s="49" customFormat="1" ht="16.5" customHeight="1" x14ac:dyDescent="0.2">
      <c r="A109" s="191">
        <v>3.0999999999999999E-3</v>
      </c>
      <c r="B109" s="192">
        <v>4.5100000000000001E-2</v>
      </c>
      <c r="C109" s="193">
        <v>7.0000000000000007E-2</v>
      </c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194">
        <v>3.3099999999999997E-2</v>
      </c>
      <c r="O109" s="194">
        <v>3.04E-2</v>
      </c>
      <c r="P109" s="195">
        <v>0.22</v>
      </c>
      <c r="Q109" s="194">
        <v>0.12609999999999999</v>
      </c>
    </row>
    <row r="110" spans="1:17" s="49" customFormat="1" ht="16.5" customHeight="1" x14ac:dyDescent="0.2">
      <c r="A110" s="191">
        <v>4.1000000000000003E-3</v>
      </c>
      <c r="B110" s="192">
        <v>5.1299999999999998E-2</v>
      </c>
      <c r="C110" s="193">
        <v>0.08</v>
      </c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194">
        <v>3.61E-2</v>
      </c>
      <c r="O110" s="194">
        <v>5.4899999999999997E-2</v>
      </c>
      <c r="P110" s="195">
        <v>0.23</v>
      </c>
      <c r="Q110" s="194">
        <v>0.1366</v>
      </c>
    </row>
    <row r="111" spans="1:17" s="49" customFormat="1" ht="16.5" customHeight="1" x14ac:dyDescent="0.2">
      <c r="A111" s="191">
        <v>5.1999999999999998E-3</v>
      </c>
      <c r="B111" s="192">
        <v>5.7500000000000002E-2</v>
      </c>
      <c r="C111" s="193">
        <v>0.09</v>
      </c>
      <c r="D111" s="47"/>
      <c r="E111" s="47"/>
      <c r="F111" s="47"/>
      <c r="G111" s="47"/>
      <c r="H111" s="47"/>
      <c r="I111" s="47"/>
      <c r="J111" s="47"/>
      <c r="K111" s="47"/>
      <c r="L111" s="47"/>
      <c r="M111" s="47"/>
      <c r="N111" s="194">
        <v>3.9399999999999998E-2</v>
      </c>
      <c r="O111" s="194">
        <v>5.9700000000000003E-2</v>
      </c>
      <c r="P111" s="195">
        <v>0.24</v>
      </c>
      <c r="Q111" s="194">
        <v>0.1449</v>
      </c>
    </row>
    <row r="112" spans="1:17" s="49" customFormat="1" ht="16.5" customHeight="1" x14ac:dyDescent="0.2">
      <c r="A112" s="191">
        <v>6.4999999999999997E-3</v>
      </c>
      <c r="B112" s="192">
        <v>6.3500000000000001E-2</v>
      </c>
      <c r="C112" s="193">
        <v>0.1</v>
      </c>
      <c r="D112" s="47"/>
      <c r="E112" s="47"/>
      <c r="F112" s="47"/>
      <c r="G112" s="47"/>
      <c r="H112" s="47"/>
      <c r="I112" s="47"/>
      <c r="J112" s="47"/>
      <c r="K112" s="47"/>
      <c r="L112" s="47"/>
      <c r="M112" s="47"/>
      <c r="N112" s="194">
        <v>4.2700000000000002E-2</v>
      </c>
      <c r="O112" s="194">
        <v>6.4600000000000005E-2</v>
      </c>
      <c r="P112" s="195">
        <v>0.25</v>
      </c>
      <c r="Q112" s="194">
        <v>0.1535</v>
      </c>
    </row>
    <row r="113" spans="1:17" s="49" customFormat="1" ht="16.5" customHeight="1" x14ac:dyDescent="0.2">
      <c r="A113" s="191">
        <v>8.0000000000000002E-3</v>
      </c>
      <c r="B113" s="192">
        <v>6.9500000000000006E-2</v>
      </c>
      <c r="C113" s="193">
        <v>0.11</v>
      </c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194">
        <v>4.3200000000000002E-2</v>
      </c>
      <c r="O113" s="194">
        <v>6.9800000000000001E-2</v>
      </c>
      <c r="P113" s="195">
        <v>0.26</v>
      </c>
      <c r="Q113" s="194">
        <v>0.1623</v>
      </c>
    </row>
    <row r="114" spans="1:17" s="49" customFormat="1" ht="16.5" customHeight="1" x14ac:dyDescent="0.2">
      <c r="A114" s="191">
        <v>9.4999999999999998E-3</v>
      </c>
      <c r="B114" s="192">
        <v>7.5499999999999998E-2</v>
      </c>
      <c r="C114" s="193">
        <v>0.12</v>
      </c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194">
        <v>4.9799999999999997E-2</v>
      </c>
      <c r="O114" s="194">
        <v>7.5200000000000003E-2</v>
      </c>
      <c r="P114" s="195">
        <v>0.27</v>
      </c>
      <c r="Q114" s="194">
        <v>0.1711</v>
      </c>
    </row>
    <row r="115" spans="1:17" s="49" customFormat="1" ht="16.5" customHeight="1" x14ac:dyDescent="0.2">
      <c r="A115" s="191">
        <v>1.1299999999999999E-2</v>
      </c>
      <c r="B115" s="192">
        <v>8.1299999999999997E-2</v>
      </c>
      <c r="C115" s="193">
        <v>0.13</v>
      </c>
      <c r="D115" s="47"/>
      <c r="E115" s="47"/>
      <c r="F115" s="47"/>
      <c r="G115" s="47"/>
      <c r="H115" s="47"/>
      <c r="I115" s="47"/>
      <c r="J115" s="47"/>
      <c r="K115" s="47"/>
      <c r="L115" s="47"/>
      <c r="M115" s="47"/>
      <c r="N115" s="194">
        <v>5.3499999999999999E-2</v>
      </c>
      <c r="O115" s="194">
        <v>8.0500000000000002E-2</v>
      </c>
      <c r="P115" s="195">
        <v>0.28000000000000003</v>
      </c>
      <c r="Q115" s="194">
        <v>0.18</v>
      </c>
    </row>
    <row r="116" spans="1:17" s="49" customFormat="1" ht="16.5" customHeight="1" x14ac:dyDescent="0.2">
      <c r="A116" s="191">
        <v>1.3100000000000001E-2</v>
      </c>
      <c r="B116" s="192">
        <v>8.7099999999999997E-2</v>
      </c>
      <c r="C116" s="193">
        <v>0.14000000000000001</v>
      </c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194">
        <v>5.7299999999999997E-2</v>
      </c>
      <c r="O116" s="194">
        <v>8.6199999999999999E-2</v>
      </c>
      <c r="P116" s="195">
        <v>0.28999999999999998</v>
      </c>
      <c r="Q116" s="194">
        <v>0.189</v>
      </c>
    </row>
    <row r="117" spans="1:17" s="49" customFormat="1" ht="16.5" customHeight="1" x14ac:dyDescent="0.2">
      <c r="A117" s="191">
        <v>1.52E-2</v>
      </c>
      <c r="B117" s="192">
        <v>9.2899999999999996E-2</v>
      </c>
      <c r="C117" s="193">
        <v>0.15</v>
      </c>
      <c r="D117" s="47"/>
      <c r="E117" s="47"/>
      <c r="F117" s="47"/>
      <c r="G117" s="47"/>
      <c r="H117" s="47"/>
      <c r="I117" s="47"/>
      <c r="J117" s="47"/>
      <c r="K117" s="47"/>
      <c r="L117" s="47"/>
      <c r="M117" s="47"/>
      <c r="N117" s="194">
        <v>6.13E-2</v>
      </c>
      <c r="O117" s="194">
        <v>9.2100000000000001E-2</v>
      </c>
      <c r="P117" s="195">
        <v>0.3</v>
      </c>
      <c r="Q117" s="194">
        <v>0.19819999999999999</v>
      </c>
    </row>
    <row r="118" spans="1:17" s="49" customFormat="1" ht="16.5" customHeight="1" x14ac:dyDescent="0.2">
      <c r="A118" s="191">
        <v>1.7299999999999999E-2</v>
      </c>
      <c r="B118" s="192">
        <v>9.8599999999999993E-2</v>
      </c>
      <c r="C118" s="193">
        <v>0.16</v>
      </c>
      <c r="D118" s="47"/>
      <c r="E118" s="47"/>
      <c r="F118" s="47"/>
      <c r="G118" s="47"/>
      <c r="H118" s="47"/>
      <c r="I118" s="47"/>
      <c r="J118" s="47"/>
      <c r="K118" s="47"/>
      <c r="L118" s="47"/>
      <c r="M118" s="47"/>
      <c r="N118" s="194">
        <v>6.5299999999999997E-2</v>
      </c>
      <c r="O118" s="194">
        <v>9.8100000000000007E-2</v>
      </c>
      <c r="P118" s="195">
        <v>0.31</v>
      </c>
      <c r="Q118" s="194">
        <v>0.2074</v>
      </c>
    </row>
    <row r="119" spans="1:17" s="49" customFormat="1" ht="16.5" customHeight="1" x14ac:dyDescent="0.2">
      <c r="A119" s="191">
        <v>1.9599999999999999E-2</v>
      </c>
      <c r="B119" s="192">
        <v>0.1042</v>
      </c>
      <c r="C119" s="193">
        <v>0.17</v>
      </c>
      <c r="D119" s="47"/>
      <c r="E119" s="47"/>
      <c r="F119" s="47"/>
      <c r="G119" s="47"/>
      <c r="H119" s="47"/>
      <c r="I119" s="47"/>
      <c r="J119" s="47"/>
      <c r="K119" s="47"/>
      <c r="L119" s="47"/>
      <c r="M119" s="47"/>
      <c r="N119" s="194">
        <v>6.9400000000000003E-2</v>
      </c>
      <c r="O119" s="194">
        <v>0.10440000000000001</v>
      </c>
      <c r="P119" s="195">
        <v>0.32</v>
      </c>
      <c r="Q119" s="194">
        <v>0.2167</v>
      </c>
    </row>
    <row r="120" spans="1:17" s="49" customFormat="1" ht="16.5" customHeight="1" x14ac:dyDescent="0.2">
      <c r="A120" s="191">
        <v>2.1999999999999999E-2</v>
      </c>
      <c r="B120" s="192">
        <v>0.10970000000000001</v>
      </c>
      <c r="C120" s="193">
        <v>0.18</v>
      </c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194">
        <v>7.3499999999999996E-2</v>
      </c>
      <c r="O120" s="194">
        <v>0.11070000000000001</v>
      </c>
      <c r="P120" s="195">
        <v>0.33</v>
      </c>
      <c r="Q120" s="194">
        <v>0.22600000000000001</v>
      </c>
    </row>
    <row r="121" spans="1:17" s="49" customFormat="1" ht="16.5" customHeight="1" x14ac:dyDescent="0.2">
      <c r="A121" s="191">
        <v>2.46E-2</v>
      </c>
      <c r="B121" s="192">
        <v>0.1152</v>
      </c>
      <c r="C121" s="193">
        <v>0.19</v>
      </c>
      <c r="D121" s="47"/>
      <c r="E121" s="47"/>
      <c r="F121" s="47"/>
      <c r="G121" s="47"/>
      <c r="H121" s="47"/>
      <c r="I121" s="47"/>
      <c r="J121" s="47"/>
      <c r="K121" s="47"/>
      <c r="L121" s="47"/>
      <c r="M121" s="47"/>
      <c r="N121" s="194">
        <v>7.7700000000000005E-2</v>
      </c>
      <c r="O121" s="194">
        <v>0.1174</v>
      </c>
      <c r="P121" s="195">
        <v>0.34</v>
      </c>
      <c r="Q121" s="194">
        <v>0.23549999999999999</v>
      </c>
    </row>
    <row r="122" spans="1:17" s="49" customFormat="1" ht="16.5" customHeight="1" x14ac:dyDescent="0.2">
      <c r="A122" s="191">
        <v>2.7300000000000001E-2</v>
      </c>
      <c r="B122" s="192">
        <v>0.1206</v>
      </c>
      <c r="C122" s="193">
        <v>0.2</v>
      </c>
      <c r="D122" s="47"/>
      <c r="E122" s="47"/>
      <c r="F122" s="47"/>
      <c r="G122" s="47"/>
      <c r="H122" s="47"/>
      <c r="I122" s="47"/>
      <c r="J122" s="47"/>
      <c r="K122" s="47"/>
      <c r="L122" s="47"/>
      <c r="M122" s="47"/>
      <c r="N122" s="194">
        <v>8.1799999999999998E-2</v>
      </c>
      <c r="O122" s="194">
        <v>0.1242</v>
      </c>
      <c r="P122" s="195">
        <v>0.35</v>
      </c>
      <c r="Q122" s="194">
        <v>0.245</v>
      </c>
    </row>
    <row r="123" spans="1:17" s="49" customFormat="1" ht="16.5" customHeight="1" x14ac:dyDescent="0.2">
      <c r="A123" s="191">
        <v>3.0099999999999998E-2</v>
      </c>
      <c r="B123" s="192">
        <v>0.12590000000000001</v>
      </c>
      <c r="C123" s="193">
        <v>0.21</v>
      </c>
      <c r="D123" s="47"/>
      <c r="E123" s="47"/>
      <c r="F123" s="47"/>
      <c r="G123" s="47"/>
      <c r="H123" s="47"/>
      <c r="I123" s="47"/>
      <c r="J123" s="47"/>
      <c r="K123" s="47"/>
      <c r="L123" s="47"/>
      <c r="M123" s="47"/>
      <c r="N123" s="194">
        <v>8.6400000000000005E-2</v>
      </c>
      <c r="O123" s="194">
        <v>0.13120000000000001</v>
      </c>
      <c r="P123" s="195">
        <v>0.36</v>
      </c>
      <c r="Q123" s="194">
        <v>0.25459999999999999</v>
      </c>
    </row>
    <row r="124" spans="1:17" s="49" customFormat="1" ht="16.5" customHeight="1" x14ac:dyDescent="0.2">
      <c r="A124" s="191">
        <v>3.3099999999999997E-2</v>
      </c>
      <c r="B124" s="192">
        <v>0.13120000000000001</v>
      </c>
      <c r="C124" s="193">
        <v>0.22</v>
      </c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194">
        <v>9.0999999999999998E-2</v>
      </c>
      <c r="O124" s="194">
        <v>0.13830000000000001</v>
      </c>
      <c r="P124" s="195">
        <v>0.37</v>
      </c>
      <c r="Q124" s="194">
        <v>0.26419999999999999</v>
      </c>
    </row>
    <row r="125" spans="1:17" s="49" customFormat="1" ht="16.5" customHeight="1" x14ac:dyDescent="0.2">
      <c r="A125" s="191">
        <v>3.6200000000000003E-2</v>
      </c>
      <c r="B125" s="192">
        <v>0.13639999999999999</v>
      </c>
      <c r="C125" s="193">
        <v>0.23</v>
      </c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194">
        <v>9.5500000000000002E-2</v>
      </c>
      <c r="O125" s="194">
        <v>0.14549999999999999</v>
      </c>
      <c r="P125" s="195">
        <v>0.38</v>
      </c>
      <c r="Q125" s="194">
        <v>0.27389999999999998</v>
      </c>
    </row>
    <row r="126" spans="1:17" s="49" customFormat="1" ht="16.5" customHeight="1" x14ac:dyDescent="0.2">
      <c r="A126" s="191">
        <v>3.9399999999999998E-2</v>
      </c>
      <c r="B126" s="192">
        <v>0.1416</v>
      </c>
      <c r="C126" s="193">
        <v>0.24</v>
      </c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194">
        <v>0.1002</v>
      </c>
      <c r="O126" s="194">
        <v>0.153</v>
      </c>
      <c r="P126" s="195">
        <v>0.39</v>
      </c>
      <c r="Q126" s="194">
        <v>0.28360000000000002</v>
      </c>
    </row>
    <row r="127" spans="1:17" s="49" customFormat="1" ht="16.5" customHeight="1" x14ac:dyDescent="0.2">
      <c r="A127" s="191">
        <v>4.2700000000000002E-2</v>
      </c>
      <c r="B127" s="192">
        <v>0.14660000000000001</v>
      </c>
      <c r="C127" s="193">
        <v>0.25</v>
      </c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194">
        <v>0.105</v>
      </c>
      <c r="O127" s="194">
        <v>0.16039999999999999</v>
      </c>
      <c r="P127" s="195">
        <v>0.4</v>
      </c>
      <c r="Q127" s="194">
        <v>0.29339999999999999</v>
      </c>
    </row>
    <row r="128" spans="1:17" s="49" customFormat="1" ht="16.5" customHeight="1" x14ac:dyDescent="0.2">
      <c r="A128" s="191">
        <v>4.6100000000000002E-2</v>
      </c>
      <c r="B128" s="192">
        <v>0.15160000000000001</v>
      </c>
      <c r="C128" s="193">
        <v>0.26</v>
      </c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194">
        <v>0.20899999999999999</v>
      </c>
      <c r="O128" s="194">
        <v>0.16830000000000001</v>
      </c>
      <c r="P128" s="195">
        <v>0.41</v>
      </c>
      <c r="Q128" s="194">
        <v>0.30320000000000003</v>
      </c>
    </row>
    <row r="129" spans="1:17" s="49" customFormat="1" ht="16.5" customHeight="1" x14ac:dyDescent="0.2">
      <c r="A129" s="191">
        <v>4.9700000000000001E-2</v>
      </c>
      <c r="B129" s="192">
        <v>0.15659999999999999</v>
      </c>
      <c r="C129" s="193">
        <v>0.27</v>
      </c>
      <c r="D129" s="47"/>
      <c r="E129" s="47"/>
      <c r="F129" s="47"/>
      <c r="G129" s="47"/>
      <c r="H129" s="47"/>
      <c r="I129" s="47"/>
      <c r="J129" s="47"/>
      <c r="K129" s="47"/>
      <c r="L129" s="47"/>
      <c r="M129" s="47"/>
      <c r="N129" s="194">
        <v>0.1148</v>
      </c>
      <c r="O129" s="194">
        <v>0.1762</v>
      </c>
      <c r="P129" s="195">
        <v>0.42</v>
      </c>
      <c r="Q129" s="194">
        <v>0.313</v>
      </c>
    </row>
    <row r="130" spans="1:17" s="49" customFormat="1" ht="16.5" customHeight="1" x14ac:dyDescent="0.2">
      <c r="A130" s="191">
        <v>5.3400000000000003E-2</v>
      </c>
      <c r="B130" s="192">
        <v>0.16139999999999999</v>
      </c>
      <c r="C130" s="193">
        <v>0.28000000000000003</v>
      </c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194">
        <v>0.1198</v>
      </c>
      <c r="O130" s="194">
        <v>0.18440000000000001</v>
      </c>
      <c r="P130" s="195">
        <v>0.43</v>
      </c>
      <c r="Q130" s="194">
        <v>0.32290000000000002</v>
      </c>
    </row>
    <row r="131" spans="1:17" s="49" customFormat="1" ht="16.5" customHeight="1" x14ac:dyDescent="0.2">
      <c r="A131" s="191">
        <v>5.7200000000000001E-2</v>
      </c>
      <c r="B131" s="192">
        <v>0.16619999999999999</v>
      </c>
      <c r="C131" s="193">
        <v>0.28999999999999998</v>
      </c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194">
        <v>0.12479999999999999</v>
      </c>
      <c r="O131" s="194">
        <v>0.19259999999999999</v>
      </c>
      <c r="P131" s="195">
        <v>0.44</v>
      </c>
      <c r="Q131" s="194">
        <v>0.33279999999999998</v>
      </c>
    </row>
    <row r="132" spans="1:17" s="49" customFormat="1" ht="16.5" customHeight="1" x14ac:dyDescent="0.2">
      <c r="A132" s="191">
        <v>6.0999999999999999E-2</v>
      </c>
      <c r="B132" s="192">
        <v>0.1709</v>
      </c>
      <c r="C132" s="193">
        <v>0.3</v>
      </c>
      <c r="D132" s="47"/>
      <c r="E132" s="47"/>
      <c r="F132" s="47"/>
      <c r="G132" s="47"/>
      <c r="H132" s="47"/>
      <c r="I132" s="47"/>
      <c r="J132" s="47"/>
      <c r="K132" s="47"/>
      <c r="L132" s="47"/>
      <c r="M132" s="47"/>
      <c r="N132" s="194">
        <v>0.1298</v>
      </c>
      <c r="O132" s="194">
        <v>0.2014</v>
      </c>
      <c r="P132" s="195">
        <v>0.45</v>
      </c>
      <c r="Q132" s="194">
        <v>0.34200000000000003</v>
      </c>
    </row>
    <row r="133" spans="1:17" s="49" customFormat="1" ht="16.5" customHeight="1" x14ac:dyDescent="0.2">
      <c r="A133" s="191">
        <v>6.5000000000000002E-2</v>
      </c>
      <c r="B133" s="192">
        <v>0.17560000000000001</v>
      </c>
      <c r="C133" s="193">
        <v>0.31</v>
      </c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194">
        <v>0.13469999999999999</v>
      </c>
      <c r="O133" s="194">
        <v>0.20979999999999999</v>
      </c>
      <c r="P133" s="195">
        <v>0.46</v>
      </c>
      <c r="Q133" s="194">
        <v>0.35270000000000001</v>
      </c>
    </row>
    <row r="134" spans="1:17" s="49" customFormat="1" ht="16.5" customHeight="1" x14ac:dyDescent="0.2">
      <c r="A134" s="191">
        <v>6.9099999999999995E-2</v>
      </c>
      <c r="B134" s="192">
        <v>0.1802</v>
      </c>
      <c r="C134" s="193">
        <v>0.32</v>
      </c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194">
        <v>0.1401</v>
      </c>
      <c r="O134" s="194">
        <v>0.2185</v>
      </c>
      <c r="P134" s="195">
        <v>0.47</v>
      </c>
      <c r="Q134" s="194">
        <v>0.36270000000000002</v>
      </c>
    </row>
    <row r="135" spans="1:17" s="49" customFormat="1" ht="16.5" customHeight="1" x14ac:dyDescent="0.2">
      <c r="A135" s="191">
        <v>7.3300000000000004E-2</v>
      </c>
      <c r="B135" s="192">
        <v>0.1847</v>
      </c>
      <c r="C135" s="193">
        <v>0.33</v>
      </c>
      <c r="D135" s="47"/>
      <c r="E135" s="47"/>
      <c r="F135" s="47"/>
      <c r="G135" s="47"/>
      <c r="H135" s="47"/>
      <c r="I135" s="47"/>
      <c r="J135" s="47"/>
      <c r="K135" s="47"/>
      <c r="L135" s="47"/>
      <c r="M135" s="47"/>
      <c r="N135" s="194">
        <v>0.14510000000000001</v>
      </c>
      <c r="O135" s="194">
        <v>0.2276</v>
      </c>
      <c r="P135" s="195">
        <v>0.48</v>
      </c>
      <c r="Q135" s="194">
        <v>0.37269999999999998</v>
      </c>
    </row>
    <row r="136" spans="1:17" s="49" customFormat="1" ht="16.5" customHeight="1" x14ac:dyDescent="0.2">
      <c r="A136" s="191">
        <v>7.7600000000000002E-2</v>
      </c>
      <c r="B136" s="192">
        <v>0.18909999999999999</v>
      </c>
      <c r="C136" s="193">
        <v>0.34</v>
      </c>
      <c r="D136" s="196"/>
      <c r="E136" s="196"/>
      <c r="F136" s="197"/>
      <c r="G136" s="196"/>
      <c r="H136" s="196"/>
      <c r="I136" s="197"/>
      <c r="J136" s="47"/>
      <c r="K136" s="47"/>
      <c r="L136" s="47"/>
      <c r="M136" s="47"/>
      <c r="N136" s="194">
        <v>0.15079999999999999</v>
      </c>
      <c r="O136" s="194">
        <v>0.23680000000000001</v>
      </c>
      <c r="P136" s="195">
        <v>0.49</v>
      </c>
      <c r="Q136" s="194">
        <v>0.38269999999999998</v>
      </c>
    </row>
    <row r="137" spans="1:17" s="49" customFormat="1" ht="16.5" customHeight="1" x14ac:dyDescent="0.2">
      <c r="A137" s="191">
        <v>8.2000000000000003E-2</v>
      </c>
      <c r="B137" s="192">
        <v>0.19350000000000001</v>
      </c>
      <c r="C137" s="193">
        <v>0.35</v>
      </c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194">
        <v>0.15590000000000001</v>
      </c>
      <c r="O137" s="194">
        <v>0.24640000000000001</v>
      </c>
      <c r="P137" s="195">
        <v>0.5</v>
      </c>
      <c r="Q137" s="194">
        <v>0.39300000000000002</v>
      </c>
    </row>
    <row r="138" spans="1:17" s="49" customFormat="1" ht="16.5" customHeight="1" x14ac:dyDescent="0.2">
      <c r="A138" s="191">
        <v>8.6400000000000005E-2</v>
      </c>
      <c r="B138" s="192">
        <v>0.1978</v>
      </c>
      <c r="C138" s="193">
        <v>0.36</v>
      </c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194">
        <v>0.16120000000000001</v>
      </c>
      <c r="O138" s="194">
        <v>0.255</v>
      </c>
      <c r="P138" s="195">
        <v>0.51</v>
      </c>
      <c r="Q138" s="194">
        <v>0.40300000000000002</v>
      </c>
    </row>
    <row r="139" spans="1:17" s="49" customFormat="1" ht="16.5" customHeight="1" x14ac:dyDescent="0.2">
      <c r="A139" s="191">
        <v>9.0999999999999998E-2</v>
      </c>
      <c r="B139" s="192">
        <v>0.20200000000000001</v>
      </c>
      <c r="C139" s="193">
        <v>0.37</v>
      </c>
      <c r="D139" s="47"/>
      <c r="E139" s="47"/>
      <c r="F139" s="47"/>
      <c r="G139" s="47"/>
      <c r="H139" s="47"/>
      <c r="I139" s="47"/>
      <c r="J139" s="47"/>
      <c r="K139" s="47"/>
      <c r="L139" s="47"/>
      <c r="M139" s="47"/>
      <c r="N139" s="194">
        <v>0.1668</v>
      </c>
      <c r="O139" s="194">
        <v>0.2651</v>
      </c>
      <c r="P139" s="195">
        <v>0.52</v>
      </c>
      <c r="Q139" s="194">
        <v>0.41299999999999998</v>
      </c>
    </row>
    <row r="140" spans="1:17" s="49" customFormat="1" ht="16.5" customHeight="1" x14ac:dyDescent="0.2">
      <c r="A140" s="191">
        <v>9.5600000000000004E-2</v>
      </c>
      <c r="B140" s="192">
        <v>0.20619999999999999</v>
      </c>
      <c r="C140" s="193">
        <v>0.38</v>
      </c>
      <c r="D140" s="47"/>
      <c r="E140" s="47"/>
      <c r="F140" s="47"/>
      <c r="G140" s="47"/>
      <c r="H140" s="47"/>
      <c r="I140" s="47"/>
      <c r="J140" s="47"/>
      <c r="K140" s="47"/>
      <c r="L140" s="47"/>
      <c r="M140" s="47"/>
      <c r="N140" s="194">
        <v>0.1719</v>
      </c>
      <c r="O140" s="194">
        <v>0.27510000000000001</v>
      </c>
      <c r="P140" s="195">
        <v>0.53</v>
      </c>
      <c r="Q140" s="194">
        <v>0.42299999999999999</v>
      </c>
    </row>
    <row r="141" spans="1:17" s="49" customFormat="1" ht="16.5" customHeight="1" x14ac:dyDescent="0.2">
      <c r="A141" s="191">
        <v>0.1003</v>
      </c>
      <c r="B141" s="192">
        <v>0.2102</v>
      </c>
      <c r="C141" s="193">
        <v>0.39</v>
      </c>
      <c r="D141" s="47"/>
      <c r="E141" s="47"/>
      <c r="F141" s="47"/>
      <c r="G141" s="47"/>
      <c r="H141" s="47"/>
      <c r="I141" s="47"/>
      <c r="J141" s="47"/>
      <c r="K141" s="47"/>
      <c r="L141" s="47"/>
      <c r="M141" s="47"/>
      <c r="N141" s="194">
        <v>0.17730000000000001</v>
      </c>
      <c r="O141" s="194">
        <v>0.2853</v>
      </c>
      <c r="P141" s="195">
        <v>0.54</v>
      </c>
      <c r="Q141" s="194">
        <v>0.433</v>
      </c>
    </row>
    <row r="142" spans="1:17" s="49" customFormat="1" ht="16.5" customHeight="1" x14ac:dyDescent="0.2">
      <c r="A142" s="191">
        <v>0.105</v>
      </c>
      <c r="B142" s="192">
        <v>0.2142</v>
      </c>
      <c r="C142" s="193">
        <v>0.4</v>
      </c>
      <c r="D142" s="47"/>
      <c r="E142" s="47"/>
      <c r="F142" s="47"/>
      <c r="G142" s="47"/>
      <c r="H142" s="47"/>
      <c r="I142" s="47"/>
      <c r="J142" s="47"/>
      <c r="K142" s="47"/>
      <c r="L142" s="47"/>
      <c r="M142" s="47"/>
      <c r="N142" s="194">
        <v>0.18279999999999999</v>
      </c>
      <c r="O142" s="194">
        <v>0.29559999999999997</v>
      </c>
      <c r="P142" s="195">
        <v>0.55000000000000004</v>
      </c>
      <c r="Q142" s="194">
        <v>0.443</v>
      </c>
    </row>
    <row r="143" spans="1:17" s="49" customFormat="1" ht="16.5" customHeight="1" x14ac:dyDescent="0.2">
      <c r="A143" s="191">
        <v>0.1099</v>
      </c>
      <c r="B143" s="192">
        <v>0.21820000000000001</v>
      </c>
      <c r="C143" s="193">
        <v>0.41</v>
      </c>
      <c r="D143" s="47"/>
      <c r="E143" s="47"/>
      <c r="F143" s="47"/>
      <c r="G143" s="47"/>
      <c r="H143" s="47"/>
      <c r="I143" s="47"/>
      <c r="J143" s="47"/>
      <c r="K143" s="47"/>
      <c r="L143" s="47"/>
      <c r="M143" s="47"/>
      <c r="N143" s="194">
        <v>0.1883</v>
      </c>
      <c r="O143" s="194">
        <v>0.30690000000000001</v>
      </c>
      <c r="P143" s="195">
        <v>0.56000000000000005</v>
      </c>
      <c r="Q143" s="194">
        <v>0.45300000000000001</v>
      </c>
    </row>
    <row r="144" spans="1:17" s="49" customFormat="1" ht="16.5" customHeight="1" x14ac:dyDescent="0.2">
      <c r="A144" s="191">
        <v>0.1148</v>
      </c>
      <c r="B144" s="192">
        <v>0.222</v>
      </c>
      <c r="C144" s="193">
        <v>0.42</v>
      </c>
      <c r="D144" s="47"/>
      <c r="E144" s="47"/>
      <c r="F144" s="47"/>
      <c r="G144" s="47"/>
      <c r="H144" s="47"/>
      <c r="I144" s="47"/>
      <c r="J144" s="47"/>
      <c r="K144" s="47"/>
      <c r="L144" s="47"/>
      <c r="M144" s="47"/>
      <c r="N144" s="194">
        <v>0.183</v>
      </c>
      <c r="O144" s="194">
        <v>0.31569999999999998</v>
      </c>
      <c r="P144" s="195">
        <v>0.56999999999999995</v>
      </c>
      <c r="Q144" s="194">
        <v>0.46200000000000002</v>
      </c>
    </row>
    <row r="145" spans="1:17" s="49" customFormat="1" ht="16.5" customHeight="1" x14ac:dyDescent="0.2">
      <c r="A145" s="191">
        <v>0.1197</v>
      </c>
      <c r="B145" s="192">
        <v>0.2258</v>
      </c>
      <c r="C145" s="193">
        <v>0.43</v>
      </c>
      <c r="D145" s="47"/>
      <c r="E145" s="47"/>
      <c r="F145" s="47"/>
      <c r="G145" s="47"/>
      <c r="H145" s="47"/>
      <c r="I145" s="47"/>
      <c r="J145" s="47"/>
      <c r="K145" s="47"/>
      <c r="L145" s="47"/>
      <c r="M145" s="47"/>
      <c r="N145" s="194">
        <v>0.1988</v>
      </c>
      <c r="O145" s="194">
        <v>0.32629999999999998</v>
      </c>
      <c r="P145" s="195">
        <v>0.57999999999999996</v>
      </c>
      <c r="Q145" s="194">
        <v>0.47199999999999998</v>
      </c>
    </row>
    <row r="146" spans="1:17" s="49" customFormat="1" ht="16.5" customHeight="1" x14ac:dyDescent="0.2">
      <c r="A146" s="191">
        <v>0.12479999999999999</v>
      </c>
      <c r="B146" s="192">
        <v>0.22950000000000001</v>
      </c>
      <c r="C146" s="193">
        <v>0.44</v>
      </c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194">
        <v>0.20380000000000001</v>
      </c>
      <c r="O146" s="194">
        <v>0.33739999999999998</v>
      </c>
      <c r="P146" s="195">
        <v>0.59</v>
      </c>
      <c r="Q146" s="194">
        <v>0.48199999999999998</v>
      </c>
    </row>
    <row r="147" spans="1:17" s="49" customFormat="1" ht="16.5" customHeight="1" x14ac:dyDescent="0.2">
      <c r="A147" s="191">
        <v>0.1298</v>
      </c>
      <c r="B147" s="192">
        <v>0.2331</v>
      </c>
      <c r="C147" s="193">
        <v>0.45</v>
      </c>
      <c r="D147" s="47"/>
      <c r="E147" s="47"/>
      <c r="F147" s="47"/>
      <c r="G147" s="47"/>
      <c r="H147" s="47"/>
      <c r="I147" s="47"/>
      <c r="J147" s="47"/>
      <c r="K147" s="47"/>
      <c r="L147" s="47"/>
      <c r="M147" s="47"/>
      <c r="N147" s="194">
        <v>0.20979999999999999</v>
      </c>
      <c r="O147" s="194">
        <v>0.34660000000000002</v>
      </c>
      <c r="P147" s="195">
        <v>0.6</v>
      </c>
      <c r="Q147" s="194">
        <v>0.49199999999999999</v>
      </c>
    </row>
    <row r="148" spans="1:17" s="49" customFormat="1" ht="16.5" customHeight="1" x14ac:dyDescent="0.2">
      <c r="A148" s="191">
        <v>0.13500000000000001</v>
      </c>
      <c r="B148" s="192">
        <v>0.2366</v>
      </c>
      <c r="C148" s="193">
        <v>0.46</v>
      </c>
      <c r="D148" s="47"/>
      <c r="E148" s="47"/>
      <c r="F148" s="47"/>
      <c r="G148" s="47"/>
      <c r="H148" s="47"/>
      <c r="I148" s="47"/>
      <c r="J148" s="47"/>
      <c r="K148" s="47"/>
      <c r="L148" s="47"/>
      <c r="M148" s="47"/>
      <c r="N148" s="194">
        <v>0.21490000000000001</v>
      </c>
      <c r="O148" s="194">
        <v>0.3599</v>
      </c>
      <c r="P148" s="195">
        <v>0.61</v>
      </c>
      <c r="Q148" s="194">
        <v>0.502</v>
      </c>
    </row>
    <row r="149" spans="1:17" s="49" customFormat="1" ht="16.5" customHeight="1" x14ac:dyDescent="0.2">
      <c r="A149" s="191">
        <v>0.1401</v>
      </c>
      <c r="B149" s="192">
        <v>0.24010000000000001</v>
      </c>
      <c r="C149" s="193">
        <v>0.47</v>
      </c>
      <c r="D149" s="47"/>
      <c r="E149" s="47"/>
      <c r="F149" s="47"/>
      <c r="G149" s="47"/>
      <c r="H149" s="47"/>
      <c r="I149" s="47"/>
      <c r="J149" s="47"/>
      <c r="K149" s="47"/>
      <c r="L149" s="47"/>
      <c r="M149" s="47"/>
      <c r="N149" s="194">
        <v>0.22020000000000001</v>
      </c>
      <c r="O149" s="194">
        <v>0.37169999999999997</v>
      </c>
      <c r="P149" s="195">
        <v>0.62</v>
      </c>
      <c r="Q149" s="194">
        <v>0.51200000000000001</v>
      </c>
    </row>
    <row r="150" spans="1:17" s="49" customFormat="1" ht="16.5" customHeight="1" x14ac:dyDescent="0.2">
      <c r="A150" s="191">
        <v>0.14530000000000001</v>
      </c>
      <c r="B150" s="192">
        <v>0.24349999999999999</v>
      </c>
      <c r="C150" s="193">
        <v>0.48</v>
      </c>
      <c r="D150" s="47"/>
      <c r="E150" s="47"/>
      <c r="F150" s="47"/>
      <c r="G150" s="47"/>
      <c r="H150" s="47"/>
      <c r="I150" s="47"/>
      <c r="J150" s="47"/>
      <c r="K150" s="47"/>
      <c r="L150" s="47"/>
      <c r="M150" s="47"/>
      <c r="N150" s="194">
        <v>0.22509999999999999</v>
      </c>
      <c r="O150" s="194">
        <v>0.38279999999999997</v>
      </c>
      <c r="P150" s="195">
        <v>0.63</v>
      </c>
      <c r="Q150" s="194">
        <v>0.52200000000000002</v>
      </c>
    </row>
    <row r="151" spans="1:17" s="49" customFormat="1" ht="16.5" customHeight="1" x14ac:dyDescent="0.2">
      <c r="A151" s="191">
        <v>0.15060000000000001</v>
      </c>
      <c r="B151" s="192">
        <v>0.24679999999999999</v>
      </c>
      <c r="C151" s="193">
        <v>0.49</v>
      </c>
      <c r="D151" s="47"/>
      <c r="E151" s="47"/>
      <c r="F151" s="47"/>
      <c r="G151" s="47"/>
      <c r="H151" s="47"/>
      <c r="I151" s="47"/>
      <c r="J151" s="47"/>
      <c r="K151" s="47"/>
      <c r="L151" s="47"/>
      <c r="M151" s="47"/>
      <c r="N151" s="194">
        <v>0.23050000000000001</v>
      </c>
      <c r="O151" s="194">
        <v>0.39489999999999997</v>
      </c>
      <c r="P151" s="195">
        <v>0.64</v>
      </c>
      <c r="Q151" s="198" t="s">
        <v>205</v>
      </c>
    </row>
    <row r="152" spans="1:17" s="49" customFormat="1" ht="16.5" customHeight="1" x14ac:dyDescent="0.2">
      <c r="A152" s="191">
        <v>0.15579999999999999</v>
      </c>
      <c r="B152" s="192">
        <v>0.25</v>
      </c>
      <c r="C152" s="193">
        <v>0.5</v>
      </c>
      <c r="D152" s="47"/>
      <c r="E152" s="47"/>
      <c r="F152" s="47"/>
      <c r="G152" s="47"/>
      <c r="H152" s="47"/>
      <c r="I152" s="47"/>
      <c r="J152" s="47"/>
      <c r="K152" s="47"/>
      <c r="L152" s="47"/>
      <c r="M152" s="47"/>
      <c r="N152" s="194">
        <v>0.2354</v>
      </c>
      <c r="O152" s="194">
        <v>0.40620000000000001</v>
      </c>
      <c r="P152" s="195">
        <v>0.65</v>
      </c>
      <c r="Q152" s="194">
        <v>0.54</v>
      </c>
    </row>
    <row r="153" spans="1:17" s="49" customFormat="1" ht="16.5" customHeight="1" x14ac:dyDescent="0.2">
      <c r="A153" s="191">
        <v>0.16120000000000001</v>
      </c>
      <c r="B153" s="192">
        <v>0.25309999999999999</v>
      </c>
      <c r="C153" s="193">
        <v>0.51</v>
      </c>
      <c r="D153" s="47"/>
      <c r="E153" s="47"/>
      <c r="F153" s="47"/>
      <c r="G153" s="47"/>
      <c r="H153" s="47"/>
      <c r="I153" s="47"/>
      <c r="J153" s="47"/>
      <c r="K153" s="47"/>
      <c r="L153" s="47"/>
      <c r="M153" s="47"/>
      <c r="N153" s="194">
        <v>0.24099999999999999</v>
      </c>
      <c r="O153" s="194">
        <v>0.41620000000000001</v>
      </c>
      <c r="P153" s="195">
        <v>0.66</v>
      </c>
      <c r="Q153" s="194">
        <v>0.55000000000000004</v>
      </c>
    </row>
    <row r="154" spans="1:17" s="49" customFormat="1" ht="16.5" customHeight="1" x14ac:dyDescent="0.2">
      <c r="A154" s="191">
        <v>0.16650000000000001</v>
      </c>
      <c r="B154" s="192">
        <v>0.25619999999999998</v>
      </c>
      <c r="C154" s="193">
        <v>0.52</v>
      </c>
      <c r="D154" s="47"/>
      <c r="E154" s="47"/>
      <c r="F154" s="47"/>
      <c r="G154" s="47"/>
      <c r="H154" s="47"/>
      <c r="I154" s="47"/>
      <c r="J154" s="47"/>
      <c r="K154" s="47"/>
      <c r="L154" s="47"/>
      <c r="M154" s="47"/>
      <c r="N154" s="194">
        <v>0.24610000000000001</v>
      </c>
      <c r="O154" s="194">
        <v>0.43120000000000003</v>
      </c>
      <c r="P154" s="195">
        <v>0.67</v>
      </c>
      <c r="Q154" s="194">
        <v>0.55900000000000005</v>
      </c>
    </row>
    <row r="155" spans="1:17" s="49" customFormat="1" ht="16.5" customHeight="1" x14ac:dyDescent="0.2">
      <c r="A155" s="191">
        <v>0.17180000000000001</v>
      </c>
      <c r="B155" s="192">
        <v>0.25919999999999999</v>
      </c>
      <c r="C155" s="193">
        <v>0.53</v>
      </c>
      <c r="D155" s="47"/>
      <c r="E155" s="47"/>
      <c r="F155" s="47"/>
      <c r="G155" s="47"/>
      <c r="H155" s="47"/>
      <c r="I155" s="47"/>
      <c r="J155" s="47"/>
      <c r="K155" s="47"/>
      <c r="L155" s="47"/>
      <c r="M155" s="47"/>
      <c r="N155" s="199">
        <v>0.251</v>
      </c>
      <c r="O155" s="199">
        <v>0.44440000000000002</v>
      </c>
      <c r="P155" s="200">
        <v>0.68</v>
      </c>
      <c r="Q155" s="199">
        <v>0.56899999999999995</v>
      </c>
    </row>
    <row r="156" spans="1:17" s="49" customFormat="1" ht="16.5" customHeight="1" x14ac:dyDescent="0.2">
      <c r="A156" s="191">
        <v>0.1772</v>
      </c>
      <c r="B156" s="192">
        <v>0.2621</v>
      </c>
      <c r="C156" s="193">
        <v>0.54</v>
      </c>
      <c r="D156" s="47"/>
      <c r="E156" s="47"/>
      <c r="F156" s="47"/>
      <c r="G156" s="47"/>
      <c r="H156" s="47"/>
      <c r="I156" s="47"/>
      <c r="J156" s="47"/>
      <c r="K156" s="47"/>
      <c r="L156" s="47"/>
      <c r="M156" s="47"/>
      <c r="N156" s="189">
        <v>0.25609999999999999</v>
      </c>
      <c r="O156" s="189">
        <v>0.45700000000000002</v>
      </c>
      <c r="P156" s="190">
        <v>0.69</v>
      </c>
      <c r="Q156" s="189">
        <v>0.57799999999999996</v>
      </c>
    </row>
    <row r="157" spans="1:17" s="49" customFormat="1" ht="16.5" customHeight="1" x14ac:dyDescent="0.2">
      <c r="A157" s="191">
        <v>0.18260000000000001</v>
      </c>
      <c r="B157" s="192">
        <v>0.26490000000000002</v>
      </c>
      <c r="C157" s="193">
        <v>0.55000000000000004</v>
      </c>
      <c r="D157" s="47"/>
      <c r="E157" s="47"/>
      <c r="F157" s="47"/>
      <c r="G157" s="47"/>
      <c r="H157" s="47"/>
      <c r="I157" s="47"/>
      <c r="J157" s="47"/>
      <c r="K157" s="47"/>
      <c r="L157" s="47"/>
      <c r="M157" s="47"/>
      <c r="N157" s="194">
        <v>0.26069999999999999</v>
      </c>
      <c r="O157" s="194">
        <v>0.47</v>
      </c>
      <c r="P157" s="195">
        <v>0.7</v>
      </c>
      <c r="Q157" s="194">
        <v>0.58699999999999997</v>
      </c>
    </row>
    <row r="158" spans="1:17" s="49" customFormat="1" ht="16.5" customHeight="1" x14ac:dyDescent="0.2">
      <c r="A158" s="191">
        <v>0.18790000000000001</v>
      </c>
      <c r="B158" s="192">
        <v>0.2676</v>
      </c>
      <c r="C158" s="193">
        <v>0.56000000000000005</v>
      </c>
      <c r="D158" s="47"/>
      <c r="E158" s="47"/>
      <c r="F158" s="47"/>
      <c r="G158" s="47"/>
      <c r="H158" s="47"/>
      <c r="I158" s="47"/>
      <c r="J158" s="47"/>
      <c r="K158" s="47"/>
      <c r="L158" s="47"/>
      <c r="M158" s="47"/>
      <c r="N158" s="194">
        <v>0.26590000000000003</v>
      </c>
      <c r="O158" s="194">
        <v>0.48309999999999997</v>
      </c>
      <c r="P158" s="195">
        <v>0.71</v>
      </c>
      <c r="Q158" s="194">
        <v>0.69599999999999995</v>
      </c>
    </row>
    <row r="159" spans="1:17" s="49" customFormat="1" ht="16.5" customHeight="1" x14ac:dyDescent="0.2">
      <c r="A159" s="191">
        <v>0.1933</v>
      </c>
      <c r="B159" s="192">
        <v>0.27029999999999998</v>
      </c>
      <c r="C159" s="193">
        <v>0.56999999999999995</v>
      </c>
      <c r="D159" s="47"/>
      <c r="E159" s="47"/>
      <c r="F159" s="47"/>
      <c r="G159" s="47"/>
      <c r="H159" s="47"/>
      <c r="I159" s="47"/>
      <c r="J159" s="47"/>
      <c r="K159" s="47"/>
      <c r="L159" s="47"/>
      <c r="M159" s="47"/>
      <c r="N159" s="194">
        <v>0.27050000000000002</v>
      </c>
      <c r="O159" s="194">
        <v>0.49869999999999998</v>
      </c>
      <c r="P159" s="195">
        <v>0.72</v>
      </c>
      <c r="Q159" s="194">
        <v>0.60499999999999998</v>
      </c>
    </row>
    <row r="160" spans="1:17" s="49" customFormat="1" ht="16.5" customHeight="1" x14ac:dyDescent="0.2">
      <c r="A160" s="191">
        <v>0.19869999999999999</v>
      </c>
      <c r="B160" s="192">
        <v>0.27279999999999999</v>
      </c>
      <c r="C160" s="193">
        <v>0.57999999999999996</v>
      </c>
      <c r="D160" s="47"/>
      <c r="E160" s="47"/>
      <c r="F160" s="47"/>
      <c r="G160" s="47"/>
      <c r="H160" s="47"/>
      <c r="I160" s="47"/>
      <c r="J160" s="47"/>
      <c r="K160" s="47"/>
      <c r="L160" s="47"/>
      <c r="M160" s="47"/>
      <c r="N160" s="194">
        <v>0.27510000000000001</v>
      </c>
      <c r="O160" s="194">
        <v>0.51080000000000003</v>
      </c>
      <c r="P160" s="195">
        <v>0.73</v>
      </c>
      <c r="Q160" s="194">
        <v>0.61399999999999999</v>
      </c>
    </row>
    <row r="161" spans="1:17" s="49" customFormat="1" ht="16.5" customHeight="1" x14ac:dyDescent="0.2">
      <c r="A161" s="191">
        <v>0.2041</v>
      </c>
      <c r="B161" s="192">
        <v>0.27529999999999999</v>
      </c>
      <c r="C161" s="193">
        <v>0.59</v>
      </c>
      <c r="D161" s="47"/>
      <c r="E161" s="47"/>
      <c r="F161" s="47"/>
      <c r="G161" s="47"/>
      <c r="H161" s="47"/>
      <c r="I161" s="47"/>
      <c r="J161" s="47"/>
      <c r="K161" s="47"/>
      <c r="L161" s="47"/>
      <c r="M161" s="47"/>
      <c r="N161" s="194">
        <v>0.27979999999999999</v>
      </c>
      <c r="O161" s="194">
        <v>0.52400000000000002</v>
      </c>
      <c r="P161" s="195">
        <v>0.74</v>
      </c>
      <c r="Q161" s="194">
        <v>0.623</v>
      </c>
    </row>
    <row r="162" spans="1:17" s="49" customFormat="1" ht="16.5" customHeight="1" x14ac:dyDescent="0.2">
      <c r="A162" s="191">
        <v>0.2094</v>
      </c>
      <c r="B162" s="192">
        <v>0.27760000000000001</v>
      </c>
      <c r="C162" s="193">
        <v>0.6</v>
      </c>
      <c r="D162" s="47"/>
      <c r="E162" s="47"/>
      <c r="F162" s="47"/>
      <c r="G162" s="47"/>
      <c r="H162" s="47"/>
      <c r="I162" s="47"/>
      <c r="J162" s="47"/>
      <c r="K162" s="47"/>
      <c r="L162" s="47"/>
      <c r="M162" s="47"/>
      <c r="N162" s="194">
        <v>0.28449999999999998</v>
      </c>
      <c r="O162" s="194">
        <v>0.54</v>
      </c>
      <c r="P162" s="195">
        <v>0.75</v>
      </c>
      <c r="Q162" s="194">
        <v>0.63200000000000001</v>
      </c>
    </row>
    <row r="163" spans="1:17" s="49" customFormat="1" ht="16.5" customHeight="1" x14ac:dyDescent="0.2">
      <c r="A163" s="191">
        <v>0.2147</v>
      </c>
      <c r="B163" s="192">
        <v>0.27989999999999998</v>
      </c>
      <c r="C163" s="193">
        <v>0.61</v>
      </c>
      <c r="D163" s="47"/>
      <c r="E163" s="47"/>
      <c r="F163" s="47"/>
      <c r="G163" s="47"/>
      <c r="H163" s="47"/>
      <c r="I163" s="47"/>
      <c r="J163" s="47"/>
      <c r="K163" s="47"/>
      <c r="L163" s="47"/>
      <c r="M163" s="47"/>
      <c r="N163" s="194">
        <v>0.28810000000000002</v>
      </c>
      <c r="O163" s="194">
        <v>0.55430000000000001</v>
      </c>
      <c r="P163" s="195">
        <v>0.76</v>
      </c>
      <c r="Q163" s="194">
        <v>0.64</v>
      </c>
    </row>
    <row r="164" spans="1:17" s="49" customFormat="1" ht="16.5" customHeight="1" x14ac:dyDescent="0.2">
      <c r="A164" s="191">
        <v>0.22</v>
      </c>
      <c r="B164" s="192">
        <v>0.28210000000000002</v>
      </c>
      <c r="C164" s="193">
        <v>0.62</v>
      </c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194">
        <v>0.2928</v>
      </c>
      <c r="O164" s="194">
        <v>0.55989999999999995</v>
      </c>
      <c r="P164" s="195">
        <v>0.77</v>
      </c>
      <c r="Q164" s="194">
        <v>0.64900000000000002</v>
      </c>
    </row>
    <row r="165" spans="1:17" s="49" customFormat="1" ht="16.5" customHeight="1" x14ac:dyDescent="0.2">
      <c r="A165" s="191">
        <v>0.2253</v>
      </c>
      <c r="B165" s="192">
        <v>0.28420000000000001</v>
      </c>
      <c r="C165" s="193">
        <v>0.63</v>
      </c>
      <c r="D165" s="47"/>
      <c r="E165" s="47"/>
      <c r="F165" s="47"/>
      <c r="G165" s="47"/>
      <c r="H165" s="47"/>
      <c r="I165" s="47"/>
      <c r="J165" s="47"/>
      <c r="K165" s="47"/>
      <c r="L165" s="47"/>
      <c r="M165" s="47"/>
      <c r="N165" s="194">
        <v>0.29699999999999999</v>
      </c>
      <c r="O165" s="194">
        <v>0.60509999999999997</v>
      </c>
      <c r="P165" s="195">
        <v>0.78</v>
      </c>
      <c r="Q165" s="194">
        <v>0.65700000000000003</v>
      </c>
    </row>
    <row r="166" spans="1:17" s="49" customFormat="1" ht="16.5" customHeight="1" x14ac:dyDescent="0.2">
      <c r="A166" s="191">
        <v>0.2306</v>
      </c>
      <c r="B166" s="192">
        <v>0.28620000000000001</v>
      </c>
      <c r="C166" s="193">
        <v>0.64</v>
      </c>
      <c r="D166" s="47"/>
      <c r="E166" s="47"/>
      <c r="F166" s="47"/>
      <c r="G166" s="47"/>
      <c r="H166" s="47"/>
      <c r="I166" s="47"/>
      <c r="J166" s="47"/>
      <c r="K166" s="47"/>
      <c r="L166" s="47"/>
      <c r="M166" s="47"/>
      <c r="N166" s="194">
        <v>0.30109999999999998</v>
      </c>
      <c r="O166" s="194">
        <v>0.60199999999999998</v>
      </c>
      <c r="P166" s="195">
        <v>0.79</v>
      </c>
      <c r="Q166" s="194">
        <v>0.66600000000000004</v>
      </c>
    </row>
    <row r="167" spans="1:17" s="49" customFormat="1" ht="16.5" customHeight="1" x14ac:dyDescent="0.2">
      <c r="A167" s="191">
        <v>0.23880000000000001</v>
      </c>
      <c r="B167" s="192">
        <v>0.28820000000000001</v>
      </c>
      <c r="C167" s="193">
        <v>0.65</v>
      </c>
      <c r="D167" s="47"/>
      <c r="E167" s="47"/>
      <c r="F167" s="47"/>
      <c r="G167" s="47"/>
      <c r="H167" s="47"/>
      <c r="I167" s="47"/>
      <c r="J167" s="47"/>
      <c r="K167" s="47"/>
      <c r="L167" s="47"/>
      <c r="M167" s="47"/>
      <c r="N167" s="194">
        <v>0.30470000000000003</v>
      </c>
      <c r="O167" s="194">
        <v>0.61850000000000005</v>
      </c>
      <c r="P167" s="195">
        <v>0.8</v>
      </c>
      <c r="Q167" s="194">
        <v>0.67400000000000004</v>
      </c>
    </row>
    <row r="168" spans="1:17" s="49" customFormat="1" ht="16.5" customHeight="1" x14ac:dyDescent="0.2">
      <c r="A168" s="191">
        <v>0.2409</v>
      </c>
      <c r="B168" s="192">
        <v>0.28989999999999999</v>
      </c>
      <c r="C168" s="193">
        <v>0.66</v>
      </c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194">
        <v>0.30790000000000001</v>
      </c>
      <c r="O168" s="194">
        <v>0.63480000000000003</v>
      </c>
      <c r="P168" s="195">
        <v>0.81</v>
      </c>
      <c r="Q168" s="194">
        <v>0.68100000000000005</v>
      </c>
    </row>
    <row r="169" spans="1:17" s="49" customFormat="1" ht="16.5" customHeight="1" x14ac:dyDescent="0.2">
      <c r="A169" s="191">
        <v>0.246</v>
      </c>
      <c r="B169" s="192">
        <v>0.29170000000000001</v>
      </c>
      <c r="C169" s="193">
        <v>0.67</v>
      </c>
      <c r="D169" s="47"/>
      <c r="E169" s="47"/>
      <c r="F169" s="47"/>
      <c r="G169" s="47"/>
      <c r="H169" s="47"/>
      <c r="I169" s="47"/>
      <c r="J169" s="47"/>
      <c r="K169" s="47"/>
      <c r="L169" s="47"/>
      <c r="M169" s="47"/>
      <c r="N169" s="194">
        <v>0.3115</v>
      </c>
      <c r="O169" s="194">
        <v>0.65259999999999996</v>
      </c>
      <c r="P169" s="195">
        <v>0.82</v>
      </c>
      <c r="Q169" s="194">
        <v>0.68899999999999995</v>
      </c>
    </row>
    <row r="170" spans="1:17" s="49" customFormat="1" ht="16.5" customHeight="1" x14ac:dyDescent="0.2">
      <c r="A170" s="191">
        <v>0.25109999999999999</v>
      </c>
      <c r="B170" s="192">
        <v>0.29330000000000001</v>
      </c>
      <c r="C170" s="193">
        <v>0.68</v>
      </c>
      <c r="D170" s="47"/>
      <c r="E170" s="47"/>
      <c r="F170" s="47"/>
      <c r="G170" s="47"/>
      <c r="H170" s="47"/>
      <c r="I170" s="47"/>
      <c r="J170" s="47"/>
      <c r="K170" s="47"/>
      <c r="L170" s="47"/>
      <c r="M170" s="47"/>
      <c r="N170" s="194">
        <v>0.31509999999999999</v>
      </c>
      <c r="O170" s="194">
        <v>0.6714</v>
      </c>
      <c r="P170" s="195">
        <v>0.83</v>
      </c>
      <c r="Q170" s="194">
        <v>0.69699999999999995</v>
      </c>
    </row>
    <row r="171" spans="1:17" s="49" customFormat="1" ht="16.5" customHeight="1" x14ac:dyDescent="0.2">
      <c r="A171" s="191">
        <v>0.25600000000000001</v>
      </c>
      <c r="B171" s="192">
        <v>0.29480000000000001</v>
      </c>
      <c r="C171" s="193">
        <v>0.69</v>
      </c>
      <c r="D171" s="47"/>
      <c r="E171" s="47"/>
      <c r="F171" s="47"/>
      <c r="G171" s="47"/>
      <c r="H171" s="47"/>
      <c r="I171" s="47"/>
      <c r="J171" s="47"/>
      <c r="K171" s="47"/>
      <c r="L171" s="47"/>
      <c r="M171" s="47"/>
      <c r="N171" s="194">
        <v>0.31830000000000003</v>
      </c>
      <c r="O171" s="194">
        <v>0.68979999999999997</v>
      </c>
      <c r="P171" s="195">
        <v>0.84</v>
      </c>
      <c r="Q171" s="194">
        <v>0.70399999999999996</v>
      </c>
    </row>
    <row r="172" spans="1:17" s="49" customFormat="1" ht="16.5" customHeight="1" x14ac:dyDescent="0.2">
      <c r="A172" s="191">
        <v>0.26100000000000001</v>
      </c>
      <c r="B172" s="192">
        <v>0.29620000000000002</v>
      </c>
      <c r="C172" s="193">
        <v>0.7</v>
      </c>
      <c r="D172" s="47"/>
      <c r="E172" s="47"/>
      <c r="F172" s="47"/>
      <c r="G172" s="47"/>
      <c r="H172" s="47"/>
      <c r="I172" s="47"/>
      <c r="J172" s="47"/>
      <c r="K172" s="47"/>
      <c r="L172" s="47"/>
      <c r="M172" s="47"/>
      <c r="N172" s="194">
        <v>0.32119999999999999</v>
      </c>
      <c r="O172" s="194">
        <v>0.71060000000000001</v>
      </c>
      <c r="P172" s="195">
        <v>0.85</v>
      </c>
      <c r="Q172" s="194">
        <v>0.71199999999999997</v>
      </c>
    </row>
    <row r="173" spans="1:17" s="49" customFormat="1" ht="16.5" customHeight="1" x14ac:dyDescent="0.2">
      <c r="A173" s="191">
        <v>0.26579999999999998</v>
      </c>
      <c r="B173" s="192">
        <v>0.29749999999999999</v>
      </c>
      <c r="C173" s="193">
        <v>0.71</v>
      </c>
      <c r="D173" s="47"/>
      <c r="E173" s="47"/>
      <c r="F173" s="47"/>
      <c r="G173" s="47"/>
      <c r="H173" s="47"/>
      <c r="I173" s="47"/>
      <c r="J173" s="47"/>
      <c r="K173" s="47"/>
      <c r="L173" s="47"/>
      <c r="M173" s="47"/>
      <c r="N173" s="194">
        <v>0.32429999999999998</v>
      </c>
      <c r="O173" s="194">
        <v>0.72699999999999998</v>
      </c>
      <c r="P173" s="195">
        <v>0.86</v>
      </c>
      <c r="Q173" s="194">
        <v>0.71899999999999997</v>
      </c>
    </row>
    <row r="174" spans="1:17" s="49" customFormat="1" ht="16.5" customHeight="1" x14ac:dyDescent="0.2">
      <c r="A174" s="191">
        <v>0.27050000000000002</v>
      </c>
      <c r="B174" s="192">
        <v>0.29880000000000001</v>
      </c>
      <c r="C174" s="193">
        <v>0.72</v>
      </c>
      <c r="D174" s="47"/>
      <c r="E174" s="47"/>
      <c r="F174" s="47"/>
      <c r="G174" s="47"/>
      <c r="H174" s="47"/>
      <c r="I174" s="47"/>
      <c r="J174" s="47"/>
      <c r="K174" s="47"/>
      <c r="L174" s="47"/>
      <c r="M174" s="47"/>
      <c r="N174" s="194">
        <v>0.32629999999999998</v>
      </c>
      <c r="O174" s="194">
        <v>0.75270000000000004</v>
      </c>
      <c r="P174" s="195">
        <v>0.87</v>
      </c>
      <c r="Q174" s="194">
        <v>0.72499999999999998</v>
      </c>
    </row>
    <row r="175" spans="1:17" s="49" customFormat="1" ht="16.5" customHeight="1" x14ac:dyDescent="0.2">
      <c r="A175" s="191">
        <v>0.2752</v>
      </c>
      <c r="B175" s="192">
        <v>0.29980000000000001</v>
      </c>
      <c r="C175" s="193">
        <v>0.73</v>
      </c>
      <c r="D175" s="47"/>
      <c r="E175" s="47"/>
      <c r="F175" s="47"/>
      <c r="G175" s="47"/>
      <c r="H175" s="47"/>
      <c r="I175" s="47"/>
      <c r="J175" s="47"/>
      <c r="K175" s="47"/>
      <c r="L175" s="47"/>
      <c r="M175" s="47"/>
      <c r="N175" s="194">
        <v>0.32669999999999999</v>
      </c>
      <c r="O175" s="194">
        <v>0.77669999999999995</v>
      </c>
      <c r="P175" s="195">
        <v>0.88</v>
      </c>
      <c r="Q175" s="194">
        <v>0.73199999999999998</v>
      </c>
    </row>
    <row r="176" spans="1:17" s="49" customFormat="1" ht="16.5" customHeight="1" x14ac:dyDescent="0.2">
      <c r="A176" s="191">
        <v>0.27979999999999999</v>
      </c>
      <c r="B176" s="192">
        <v>0.30080000000000001</v>
      </c>
      <c r="C176" s="193">
        <v>0.74</v>
      </c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199">
        <v>0.33</v>
      </c>
      <c r="O176" s="199">
        <v>0.80169999999999997</v>
      </c>
      <c r="P176" s="200">
        <v>0.89</v>
      </c>
      <c r="Q176" s="199">
        <v>0.73799999999999999</v>
      </c>
    </row>
    <row r="177" spans="1:17" s="49" customFormat="1" ht="16.5" customHeight="1" x14ac:dyDescent="0.2">
      <c r="A177" s="191">
        <v>0.28420000000000001</v>
      </c>
      <c r="B177" s="192">
        <v>0.30170000000000002</v>
      </c>
      <c r="C177" s="193">
        <v>0.75</v>
      </c>
      <c r="D177" s="47"/>
      <c r="E177" s="47"/>
      <c r="F177" s="47"/>
      <c r="G177" s="47"/>
      <c r="H177" s="47"/>
      <c r="I177" s="47"/>
      <c r="J177" s="47"/>
      <c r="K177" s="47"/>
      <c r="L177" s="47"/>
      <c r="M177" s="47"/>
      <c r="N177" s="47"/>
      <c r="O177" s="47"/>
      <c r="P177" s="48"/>
      <c r="Q177" s="47"/>
    </row>
    <row r="178" spans="1:17" s="49" customFormat="1" ht="16.5" customHeight="1" x14ac:dyDescent="0.2">
      <c r="A178" s="191">
        <v>0.28860000000000002</v>
      </c>
      <c r="B178" s="192">
        <v>0.3024</v>
      </c>
      <c r="C178" s="193">
        <v>0.76</v>
      </c>
      <c r="D178" s="47"/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8"/>
      <c r="Q178" s="47"/>
    </row>
    <row r="179" spans="1:17" s="49" customFormat="1" ht="16.5" customHeight="1" x14ac:dyDescent="0.2">
      <c r="A179" s="191">
        <v>0.2928</v>
      </c>
      <c r="B179" s="192">
        <v>0.30309999999999998</v>
      </c>
      <c r="C179" s="193">
        <v>0.77</v>
      </c>
    </row>
    <row r="180" spans="1:17" s="49" customFormat="1" ht="16.5" customHeight="1" x14ac:dyDescent="0.2">
      <c r="A180" s="191">
        <v>0.2969</v>
      </c>
      <c r="B180" s="192">
        <v>0.30359999999999998</v>
      </c>
      <c r="C180" s="193">
        <v>0.78</v>
      </c>
    </row>
    <row r="181" spans="1:17" s="49" customFormat="1" ht="16.5" customHeight="1" x14ac:dyDescent="0.2">
      <c r="A181" s="191">
        <v>0.3009</v>
      </c>
      <c r="B181" s="192">
        <v>0.30399999999999999</v>
      </c>
      <c r="C181" s="193">
        <v>0.79</v>
      </c>
    </row>
    <row r="182" spans="1:17" s="49" customFormat="1" ht="16.5" customHeight="1" x14ac:dyDescent="0.2">
      <c r="A182" s="191">
        <v>0.30470000000000003</v>
      </c>
      <c r="B182" s="192">
        <v>0.30420000000000003</v>
      </c>
      <c r="C182" s="193">
        <v>0.8</v>
      </c>
    </row>
    <row r="183" spans="1:17" s="49" customFormat="1" ht="16.5" customHeight="1" x14ac:dyDescent="0.2">
      <c r="A183" s="191">
        <v>0.30830000000000002</v>
      </c>
      <c r="B183" s="192">
        <v>0.30430000000000001</v>
      </c>
      <c r="C183" s="193">
        <v>0.81</v>
      </c>
    </row>
    <row r="184" spans="1:17" s="49" customFormat="1" ht="16.5" customHeight="1" x14ac:dyDescent="0.2">
      <c r="A184" s="191">
        <v>0.31180000000000002</v>
      </c>
      <c r="B184" s="192">
        <v>0.30430000000000001</v>
      </c>
      <c r="C184" s="193">
        <v>0.82</v>
      </c>
    </row>
    <row r="185" spans="1:17" s="49" customFormat="1" ht="16.5" customHeight="1" x14ac:dyDescent="0.2">
      <c r="A185" s="191">
        <v>0.31509999999999999</v>
      </c>
      <c r="B185" s="192">
        <v>0.30409999999999998</v>
      </c>
      <c r="C185" s="193">
        <v>0.83</v>
      </c>
    </row>
    <row r="186" spans="1:17" s="49" customFormat="1" ht="16.5" customHeight="1" x14ac:dyDescent="0.2">
      <c r="A186" s="191">
        <v>0.31830000000000003</v>
      </c>
      <c r="B186" s="192">
        <v>0.30380000000000001</v>
      </c>
      <c r="C186" s="193">
        <v>0.84</v>
      </c>
    </row>
    <row r="187" spans="1:17" s="49" customFormat="1" ht="16.5" customHeight="1" x14ac:dyDescent="0.2">
      <c r="A187" s="191">
        <v>0.32119999999999999</v>
      </c>
      <c r="B187" s="192">
        <v>0.30330000000000001</v>
      </c>
      <c r="C187" s="193">
        <v>0.85</v>
      </c>
    </row>
    <row r="188" spans="1:17" s="49" customFormat="1" ht="16.5" customHeight="1" x14ac:dyDescent="0.2">
      <c r="A188" s="191">
        <v>0.32390000000000002</v>
      </c>
      <c r="B188" s="192">
        <v>0.30259999999999998</v>
      </c>
      <c r="C188" s="193">
        <v>0.86</v>
      </c>
    </row>
    <row r="189" spans="1:17" s="49" customFormat="1" ht="16.5" customHeight="1" x14ac:dyDescent="0.2">
      <c r="A189" s="191">
        <v>0.32640000000000002</v>
      </c>
      <c r="B189" s="192">
        <v>0.30180000000000001</v>
      </c>
      <c r="C189" s="193">
        <v>0.87</v>
      </c>
    </row>
    <row r="190" spans="1:17" s="49" customFormat="1" ht="16.5" customHeight="1" x14ac:dyDescent="0.2">
      <c r="A190" s="191">
        <v>0.3286</v>
      </c>
      <c r="B190" s="192">
        <v>0.30070000000000002</v>
      </c>
      <c r="C190" s="193">
        <v>0.88</v>
      </c>
    </row>
    <row r="191" spans="1:17" s="49" customFormat="1" ht="16.5" customHeight="1" x14ac:dyDescent="0.2">
      <c r="A191" s="191">
        <v>0.33050000000000002</v>
      </c>
      <c r="B191" s="192">
        <v>0.29949999999999999</v>
      </c>
      <c r="C191" s="193">
        <v>0.89</v>
      </c>
    </row>
    <row r="192" spans="1:17" s="49" customFormat="1" ht="16.5" customHeight="1" x14ac:dyDescent="0.2">
      <c r="A192" s="191">
        <v>0.3322</v>
      </c>
      <c r="B192" s="192">
        <v>0.29799999999999999</v>
      </c>
      <c r="C192" s="193">
        <v>0.9</v>
      </c>
    </row>
    <row r="193" spans="1:3" s="49" customFormat="1" ht="16.5" customHeight="1" x14ac:dyDescent="0.2">
      <c r="A193" s="191">
        <v>0.33350000000000002</v>
      </c>
      <c r="B193" s="192">
        <v>0.29630000000000001</v>
      </c>
      <c r="C193" s="193">
        <v>0.91</v>
      </c>
    </row>
    <row r="194" spans="1:3" s="49" customFormat="1" ht="16.5" customHeight="1" x14ac:dyDescent="0.2">
      <c r="A194" s="191">
        <v>0.33450000000000002</v>
      </c>
      <c r="B194" s="192">
        <v>0.2944</v>
      </c>
      <c r="C194" s="193">
        <v>0.92</v>
      </c>
    </row>
    <row r="195" spans="1:3" s="49" customFormat="1" ht="16.5" customHeight="1" x14ac:dyDescent="0.2">
      <c r="A195" s="191">
        <v>0.33510000000000001</v>
      </c>
      <c r="B195" s="192">
        <v>0.29210000000000003</v>
      </c>
      <c r="C195" s="193">
        <v>0.93</v>
      </c>
    </row>
    <row r="196" spans="1:3" s="49" customFormat="1" ht="16.5" customHeight="1" x14ac:dyDescent="0.2">
      <c r="A196" s="191">
        <v>0.33529999999999999</v>
      </c>
      <c r="B196" s="192">
        <v>0.28949999999999998</v>
      </c>
      <c r="C196" s="193">
        <v>0.94</v>
      </c>
    </row>
    <row r="197" spans="1:3" s="49" customFormat="1" ht="16.5" customHeight="1" x14ac:dyDescent="0.2">
      <c r="A197" s="191">
        <v>0.33489999999999998</v>
      </c>
      <c r="B197" s="192">
        <v>0.28649999999999998</v>
      </c>
      <c r="C197" s="193">
        <v>0.95</v>
      </c>
    </row>
    <row r="198" spans="1:3" s="49" customFormat="1" ht="16.5" customHeight="1" x14ac:dyDescent="0.2">
      <c r="A198" s="191">
        <v>0.33389999999999997</v>
      </c>
      <c r="B198" s="192">
        <v>0.28289999999999998</v>
      </c>
      <c r="C198" s="193">
        <v>0.96</v>
      </c>
    </row>
    <row r="199" spans="1:3" s="49" customFormat="1" ht="16.5" customHeight="1" x14ac:dyDescent="0.2">
      <c r="A199" s="191">
        <v>0.32219999999999999</v>
      </c>
      <c r="B199" s="192">
        <v>0.2787</v>
      </c>
      <c r="C199" s="193">
        <v>0.97</v>
      </c>
    </row>
    <row r="200" spans="1:3" s="49" customFormat="1" ht="16.5" customHeight="1" x14ac:dyDescent="0.2">
      <c r="A200" s="191">
        <v>0.32940000000000003</v>
      </c>
      <c r="B200" s="192">
        <v>0.27350000000000002</v>
      </c>
      <c r="C200" s="193">
        <v>0.98</v>
      </c>
    </row>
    <row r="201" spans="1:3" s="49" customFormat="1" ht="16.5" customHeight="1" x14ac:dyDescent="0.2">
      <c r="A201" s="191">
        <v>0.32479999999999998</v>
      </c>
      <c r="B201" s="192">
        <v>0.2666</v>
      </c>
      <c r="C201" s="193">
        <v>0.99</v>
      </c>
    </row>
    <row r="202" spans="1:3" s="49" customFormat="1" ht="16.5" customHeight="1" x14ac:dyDescent="0.2">
      <c r="A202" s="191">
        <v>0.31169999999999998</v>
      </c>
      <c r="B202" s="192">
        <v>0.25</v>
      </c>
      <c r="C202" s="193">
        <v>1</v>
      </c>
    </row>
  </sheetData>
  <mergeCells count="90">
    <mergeCell ref="DB11:DB12"/>
    <mergeCell ref="AT10:DB10"/>
    <mergeCell ref="AE11:AE12"/>
    <mergeCell ref="AF11:AF12"/>
    <mergeCell ref="Y11:Y12"/>
    <mergeCell ref="CY11:CY12"/>
    <mergeCell ref="CA11:CF11"/>
    <mergeCell ref="CG11:CH11"/>
    <mergeCell ref="CX11:CX12"/>
    <mergeCell ref="AD11:AD12"/>
    <mergeCell ref="DA11:DA12"/>
    <mergeCell ref="CZ11:CZ12"/>
    <mergeCell ref="CV11:CV12"/>
    <mergeCell ref="CW11:CW12"/>
    <mergeCell ref="BD11:BD12"/>
    <mergeCell ref="BE11:BE12"/>
    <mergeCell ref="AQ11:AR11"/>
    <mergeCell ref="B11:B12"/>
    <mergeCell ref="AB11:AB12"/>
    <mergeCell ref="AC11:AC12"/>
    <mergeCell ref="Z11:Z12"/>
    <mergeCell ref="AA11:AA12"/>
    <mergeCell ref="C11:C12"/>
    <mergeCell ref="D11:E11"/>
    <mergeCell ref="F11:F12"/>
    <mergeCell ref="G11:G12"/>
    <mergeCell ref="M11:M12"/>
    <mergeCell ref="T11:T12"/>
    <mergeCell ref="U11:U12"/>
    <mergeCell ref="V11:V12"/>
    <mergeCell ref="R11:R12"/>
    <mergeCell ref="S11:S12"/>
    <mergeCell ref="Z19:AC19"/>
    <mergeCell ref="Z20:AC20"/>
    <mergeCell ref="Z21:AC21"/>
    <mergeCell ref="AG11:AG12"/>
    <mergeCell ref="AH11:AI11"/>
    <mergeCell ref="BB38:BD38"/>
    <mergeCell ref="BB39:BD39"/>
    <mergeCell ref="AU48:AV48"/>
    <mergeCell ref="AT29:AU30"/>
    <mergeCell ref="AS11:AS12"/>
    <mergeCell ref="AV23:BA23"/>
    <mergeCell ref="BB23:BD23"/>
    <mergeCell ref="AT25:AU25"/>
    <mergeCell ref="AT26:AU26"/>
    <mergeCell ref="AT28:BE28"/>
    <mergeCell ref="CU11:CU12"/>
    <mergeCell ref="CI11:CM11"/>
    <mergeCell ref="CN11:CT11"/>
    <mergeCell ref="AU11:AU12"/>
    <mergeCell ref="BH11:BI11"/>
    <mergeCell ref="AW11:AZ11"/>
    <mergeCell ref="BV11:BZ11"/>
    <mergeCell ref="BA11:BB11"/>
    <mergeCell ref="BC11:BC12"/>
    <mergeCell ref="BF11:BG11"/>
    <mergeCell ref="BJ11:BU11"/>
    <mergeCell ref="A101:C101"/>
    <mergeCell ref="BB37:BD37"/>
    <mergeCell ref="BB35:BD35"/>
    <mergeCell ref="BB36:BD36"/>
    <mergeCell ref="AT11:AT13"/>
    <mergeCell ref="W11:W12"/>
    <mergeCell ref="AM11:AN11"/>
    <mergeCell ref="BB33:BD33"/>
    <mergeCell ref="BB34:BD34"/>
    <mergeCell ref="BB52:BD52"/>
    <mergeCell ref="BB53:BD53"/>
    <mergeCell ref="A94:A95"/>
    <mergeCell ref="B94:C94"/>
    <mergeCell ref="BB47:BD47"/>
    <mergeCell ref="BB43:BD43"/>
    <mergeCell ref="BB46:BD46"/>
    <mergeCell ref="B4:E4"/>
    <mergeCell ref="B5:E5"/>
    <mergeCell ref="G5:I5"/>
    <mergeCell ref="B10:AR10"/>
    <mergeCell ref="H11:H12"/>
    <mergeCell ref="I11:I12"/>
    <mergeCell ref="J11:J12"/>
    <mergeCell ref="K11:K12"/>
    <mergeCell ref="L11:L12"/>
    <mergeCell ref="X11:X12"/>
    <mergeCell ref="N11:N12"/>
    <mergeCell ref="O11:O12"/>
    <mergeCell ref="P11:P12"/>
    <mergeCell ref="Q11:Q12"/>
    <mergeCell ref="AJ11:AL11"/>
    <mergeCell ref="AO11:AP11"/>
  </mergeCells>
  <phoneticPr fontId="92" type="noConversion"/>
  <conditionalFormatting sqref="P14:P16">
    <cfRule type="cellIs" dxfId="12" priority="5" operator="greaterThan">
      <formula>0.05</formula>
    </cfRule>
    <cfRule type="cellIs" dxfId="11" priority="6" operator="lessThan">
      <formula>0.001</formula>
    </cfRule>
  </conditionalFormatting>
  <conditionalFormatting sqref="Y14:Y16">
    <cfRule type="cellIs" dxfId="10" priority="3" operator="lessThan">
      <formula>1</formula>
    </cfRule>
    <cfRule type="cellIs" dxfId="9" priority="4" operator="greaterThan">
      <formula>5</formula>
    </cfRule>
  </conditionalFormatting>
  <conditionalFormatting sqref="AG14:AG16">
    <cfRule type="cellIs" dxfId="8" priority="2" operator="lessThan">
      <formula>K14</formula>
    </cfRule>
    <cfRule type="cellIs" dxfId="7" priority="7" operator="lessThan">
      <formula>$K14</formula>
    </cfRule>
  </conditionalFormatting>
  <conditionalFormatting sqref="AQ14:AR16">
    <cfRule type="cellIs" dxfId="6" priority="1" operator="lessThan">
      <formula>0.5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41" fitToHeight="0" orientation="landscape" r:id="rId1"/>
  <headerFooter>
    <oddHeader>&amp;L&amp;G&amp;R&amp;G</oddHeader>
  </headerFooter>
  <drawing r:id="rId2"/>
  <legacyDrawing r:id="rId3"/>
  <legacyDrawingHF r:id="rId4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641E4-0537-4277-8EA4-13A3156C8A58}">
  <sheetPr>
    <tabColor theme="5" tint="0.39997558519241921"/>
    <pageSetUpPr fitToPage="1"/>
  </sheetPr>
  <dimension ref="A1:DG205"/>
  <sheetViews>
    <sheetView showGridLines="0" view="pageBreakPreview" topLeftCell="AY8" zoomScaleNormal="70" zoomScaleSheetLayoutView="100" zoomScalePageLayoutView="70" workbookViewId="0">
      <selection activeCell="CG35" sqref="CG35"/>
    </sheetView>
  </sheetViews>
  <sheetFormatPr defaultColWidth="9.33203125" defaultRowHeight="16.5" customHeight="1" outlineLevelCol="2" x14ac:dyDescent="0.2"/>
  <cols>
    <col min="1" max="1" width="10.6640625" style="855" hidden="1" customWidth="1" outlineLevel="1"/>
    <col min="2" max="2" width="10.6640625" style="988" hidden="1" customWidth="1" outlineLevel="1"/>
    <col min="3" max="3" width="9.83203125" style="855" hidden="1" customWidth="1" outlineLevel="1"/>
    <col min="4" max="4" width="9.33203125" style="855" hidden="1" customWidth="1" outlineLevel="1"/>
    <col min="5" max="5" width="6.33203125" style="855" hidden="1" customWidth="1" outlineLevel="1"/>
    <col min="6" max="6" width="15.6640625" style="855" hidden="1" customWidth="1" outlineLevel="1"/>
    <col min="7" max="7" width="11.5" style="855" hidden="1" customWidth="1" outlineLevel="1"/>
    <col min="8" max="8" width="11.83203125" style="855" hidden="1" customWidth="1" outlineLevel="2"/>
    <col min="9" max="9" width="10.33203125" style="855" hidden="1" customWidth="1" outlineLevel="1"/>
    <col min="10" max="10" width="11" style="855" hidden="1" customWidth="1" outlineLevel="1"/>
    <col min="11" max="11" width="9.6640625" style="855" hidden="1" customWidth="1" outlineLevel="1"/>
    <col min="12" max="12" width="10.33203125" style="855" hidden="1" customWidth="1" outlineLevel="1"/>
    <col min="13" max="13" width="10.33203125" style="855" hidden="1" customWidth="1" outlineLevel="2"/>
    <col min="14" max="14" width="11.33203125" style="855" hidden="1" customWidth="1" outlineLevel="2"/>
    <col min="15" max="15" width="8.6640625" style="855" hidden="1" customWidth="1" outlineLevel="2"/>
    <col min="16" max="16" width="10.83203125" style="858" hidden="1" customWidth="1" outlineLevel="1"/>
    <col min="17" max="17" width="10.1640625" style="855" hidden="1" customWidth="1" outlineLevel="2"/>
    <col min="18" max="18" width="9.33203125" style="855" hidden="1" customWidth="1" outlineLevel="2"/>
    <col min="19" max="19" width="10" style="855" hidden="1" customWidth="1" outlineLevel="2"/>
    <col min="20" max="20" width="10.83203125" style="859" hidden="1" customWidth="1" outlineLevel="1"/>
    <col min="21" max="21" width="9" style="859" hidden="1" customWidth="1" outlineLevel="1"/>
    <col min="22" max="22" width="8.5" style="859" hidden="1" customWidth="1" outlineLevel="1"/>
    <col min="23" max="23" width="8.6640625" style="860" hidden="1" customWidth="1" outlineLevel="1"/>
    <col min="24" max="24" width="13.6640625" style="861" hidden="1" customWidth="1" outlineLevel="2"/>
    <col min="25" max="25" width="9" style="859" hidden="1" customWidth="1" outlineLevel="1" collapsed="1"/>
    <col min="26" max="26" width="9.5" style="862" hidden="1" customWidth="1" outlineLevel="1"/>
    <col min="27" max="27" width="9.1640625" style="855" hidden="1" customWidth="1" outlineLevel="2"/>
    <col min="28" max="28" width="8.5" style="855" hidden="1" customWidth="1" outlineLevel="2"/>
    <col min="29" max="29" width="9.6640625" style="858" hidden="1" customWidth="1" outlineLevel="2"/>
    <col min="30" max="30" width="8.6640625" style="855" hidden="1" customWidth="1" outlineLevel="2"/>
    <col min="31" max="31" width="7.33203125" style="855" hidden="1" customWidth="1" outlineLevel="2"/>
    <col min="32" max="32" width="10.83203125" style="855" hidden="1" customWidth="1" outlineLevel="2"/>
    <col min="33" max="33" width="11.6640625" style="855" hidden="1" customWidth="1" outlineLevel="2"/>
    <col min="34" max="34" width="8.83203125" style="855" hidden="1" customWidth="1" outlineLevel="2"/>
    <col min="35" max="35" width="8.5" style="855" hidden="1" customWidth="1" outlineLevel="1"/>
    <col min="36" max="36" width="8.33203125" style="859" hidden="1" customWidth="1" outlineLevel="1"/>
    <col min="37" max="37" width="8.83203125" style="855" hidden="1" customWidth="1" outlineLevel="1"/>
    <col min="38" max="38" width="7.5" style="855" hidden="1" customWidth="1" outlineLevel="1"/>
    <col min="39" max="39" width="9.6640625" style="859" hidden="1" customWidth="1" outlineLevel="1"/>
    <col min="40" max="40" width="8.33203125" style="859" hidden="1" customWidth="1" outlineLevel="1"/>
    <col min="41" max="41" width="10" style="855" hidden="1" customWidth="1" outlineLevel="1"/>
    <col min="42" max="42" width="9.6640625" style="855" hidden="1" customWidth="1" outlineLevel="1"/>
    <col min="43" max="43" width="8.83203125" style="855" hidden="1" customWidth="1" outlineLevel="1"/>
    <col min="44" max="44" width="8" style="855" hidden="1" customWidth="1" outlineLevel="1"/>
    <col min="45" max="45" width="14.5" style="855" customWidth="1" collapsed="1"/>
    <col min="46" max="47" width="11.6640625" style="855" customWidth="1"/>
    <col min="48" max="48" width="11.33203125" style="855" customWidth="1"/>
    <col min="49" max="50" width="7.33203125" style="855" customWidth="1"/>
    <col min="51" max="51" width="7.5" style="855" customWidth="1"/>
    <col min="52" max="52" width="6.83203125" style="855" customWidth="1"/>
    <col min="53" max="61" width="10.83203125" style="855" customWidth="1"/>
    <col min="62" max="62" width="10.83203125" style="855" hidden="1" customWidth="1"/>
    <col min="63" max="63" width="10.83203125" style="855" customWidth="1"/>
    <col min="64" max="66" width="10.83203125" style="855" hidden="1" customWidth="1"/>
    <col min="67" max="67" width="10.83203125" style="855" customWidth="1"/>
    <col min="68" max="69" width="10.83203125" style="855" hidden="1" customWidth="1"/>
    <col min="70" max="70" width="10.83203125" style="855" customWidth="1"/>
    <col min="71" max="73" width="10.83203125" style="855" hidden="1" customWidth="1"/>
    <col min="74" max="78" width="10.83203125" style="855" customWidth="1"/>
    <col min="79" max="81" width="10.83203125" style="855" hidden="1" customWidth="1"/>
    <col min="82" max="82" width="10.83203125" style="855" customWidth="1"/>
    <col min="83" max="83" width="10.83203125" style="855" hidden="1" customWidth="1"/>
    <col min="84" max="84" width="10.83203125" style="855" customWidth="1"/>
    <col min="85" max="85" width="12.83203125" style="855" customWidth="1"/>
    <col min="86" max="86" width="6" style="855" hidden="1" customWidth="1"/>
    <col min="87" max="89" width="10.83203125" style="855" customWidth="1"/>
    <col min="90" max="90" width="10.83203125" style="863" customWidth="1"/>
    <col min="91" max="91" width="10.83203125" style="855" customWidth="1"/>
    <col min="92" max="92" width="10.83203125" style="855" hidden="1" customWidth="1"/>
    <col min="93" max="93" width="10.83203125" style="855" customWidth="1"/>
    <col min="94" max="96" width="10.83203125" style="855" hidden="1" customWidth="1"/>
    <col min="97" max="97" width="10.83203125" style="855" customWidth="1"/>
    <col min="98" max="99" width="10.83203125" style="855" hidden="1" customWidth="1"/>
    <col min="100" max="100" width="10.83203125" style="855" customWidth="1"/>
    <col min="101" max="103" width="10.83203125" style="855" hidden="1" customWidth="1"/>
    <col min="104" max="106" width="10.83203125" style="855" customWidth="1"/>
    <col min="107" max="107" width="10.83203125" style="855" hidden="1" customWidth="1"/>
    <col min="108" max="108" width="10.83203125" style="855" customWidth="1"/>
    <col min="109" max="111" width="10.83203125" style="855" hidden="1" customWidth="1"/>
    <col min="112" max="112" width="10.83203125" style="855" customWidth="1"/>
    <col min="113" max="16384" width="9.33203125" style="855"/>
  </cols>
  <sheetData>
    <row r="1" spans="1:111" ht="16.5" customHeight="1" x14ac:dyDescent="0.2">
      <c r="B1" s="856" t="s">
        <v>180</v>
      </c>
      <c r="C1" s="857" t="s">
        <v>617</v>
      </c>
      <c r="D1" s="857"/>
    </row>
    <row r="2" spans="1:111" ht="16.5" customHeight="1" x14ac:dyDescent="0.25">
      <c r="B2" s="856" t="s">
        <v>45</v>
      </c>
      <c r="C2" s="864" t="s">
        <v>618</v>
      </c>
    </row>
    <row r="3" spans="1:111" s="865" customFormat="1" ht="16.5" customHeight="1" x14ac:dyDescent="0.2">
      <c r="B3" s="866"/>
      <c r="G3" s="867" t="s">
        <v>46</v>
      </c>
      <c r="H3" s="868"/>
      <c r="I3" s="869"/>
      <c r="J3" s="868"/>
      <c r="K3" s="870">
        <f>C8</f>
        <v>10</v>
      </c>
      <c r="L3" s="871"/>
      <c r="P3" s="872"/>
      <c r="T3" s="873"/>
      <c r="U3" s="873"/>
      <c r="V3" s="873"/>
      <c r="W3" s="874"/>
      <c r="X3" s="875"/>
      <c r="Y3" s="873"/>
      <c r="Z3" s="876"/>
      <c r="AC3" s="872"/>
      <c r="AJ3" s="873"/>
      <c r="AM3" s="873"/>
      <c r="AN3" s="873"/>
      <c r="CL3" s="877"/>
    </row>
    <row r="4" spans="1:111" s="878" customFormat="1" ht="16.5" customHeight="1" thickBot="1" x14ac:dyDescent="0.25">
      <c r="B4" s="1129" t="s">
        <v>213</v>
      </c>
      <c r="C4" s="1129"/>
      <c r="D4" s="1129"/>
      <c r="E4" s="1129"/>
      <c r="F4" s="865"/>
      <c r="G4" s="879" t="s">
        <v>181</v>
      </c>
      <c r="H4" s="880"/>
      <c r="I4" s="880"/>
      <c r="J4" s="880"/>
      <c r="K4" s="881" t="s">
        <v>207</v>
      </c>
      <c r="L4" s="882"/>
      <c r="M4" s="865"/>
      <c r="N4" s="883"/>
      <c r="P4" s="884"/>
      <c r="Q4" s="883"/>
      <c r="R4" s="883"/>
      <c r="S4" s="883"/>
      <c r="T4" s="885"/>
      <c r="U4" s="885"/>
      <c r="V4" s="885"/>
      <c r="W4" s="886"/>
      <c r="X4" s="887"/>
      <c r="Y4" s="885"/>
      <c r="Z4" s="888"/>
      <c r="AC4" s="884"/>
      <c r="AJ4" s="885"/>
      <c r="AM4" s="885"/>
      <c r="AN4" s="885"/>
      <c r="CL4" s="889"/>
    </row>
    <row r="5" spans="1:111" s="878" customFormat="1" ht="52.5" customHeight="1" thickBot="1" x14ac:dyDescent="0.25">
      <c r="B5" s="1130"/>
      <c r="C5" s="1131"/>
      <c r="D5" s="1131"/>
      <c r="E5" s="1132"/>
      <c r="F5" s="865"/>
      <c r="G5" s="1133" t="s">
        <v>208</v>
      </c>
      <c r="H5" s="1134"/>
      <c r="I5" s="1134"/>
      <c r="J5" s="890"/>
      <c r="K5" s="881" t="s">
        <v>209</v>
      </c>
      <c r="L5" s="882"/>
      <c r="M5" s="873"/>
      <c r="P5" s="884"/>
      <c r="T5" s="885"/>
      <c r="U5" s="885"/>
      <c r="V5" s="885"/>
      <c r="W5" s="886"/>
      <c r="X5" s="887"/>
      <c r="Y5" s="885"/>
      <c r="Z5" s="888"/>
      <c r="AC5" s="884"/>
      <c r="AI5" s="891"/>
      <c r="AJ5" s="885"/>
      <c r="AM5" s="885"/>
      <c r="AN5" s="885"/>
      <c r="CL5" s="889"/>
    </row>
    <row r="6" spans="1:111" s="878" customFormat="1" ht="16.5" customHeight="1" x14ac:dyDescent="0.2">
      <c r="B6" s="639" t="s">
        <v>47</v>
      </c>
      <c r="C6" s="72">
        <v>1873.91</v>
      </c>
      <c r="D6" s="640" t="s">
        <v>48</v>
      </c>
      <c r="E6" s="74" t="s">
        <v>49</v>
      </c>
      <c r="F6" s="892"/>
      <c r="G6" s="879" t="s">
        <v>182</v>
      </c>
      <c r="H6" s="880"/>
      <c r="I6" s="880"/>
      <c r="J6" s="880"/>
      <c r="K6" s="893">
        <f>F14</f>
        <v>0.6</v>
      </c>
      <c r="L6" s="894"/>
      <c r="M6" s="873"/>
      <c r="P6" s="895"/>
      <c r="T6" s="885"/>
      <c r="U6" s="885"/>
      <c r="V6" s="885"/>
      <c r="W6" s="886"/>
      <c r="X6" s="887"/>
      <c r="Y6" s="885"/>
      <c r="Z6" s="888"/>
      <c r="AC6" s="884"/>
      <c r="AI6" s="878">
        <v>516.42200000000003</v>
      </c>
      <c r="AJ6" s="885">
        <v>515.94500000000005</v>
      </c>
      <c r="AM6" s="885"/>
      <c r="AN6" s="885"/>
      <c r="CL6" s="889"/>
    </row>
    <row r="7" spans="1:111" s="878" customFormat="1" ht="16.5" customHeight="1" x14ac:dyDescent="0.2">
      <c r="B7" s="641" t="s">
        <v>50</v>
      </c>
      <c r="C7" s="78">
        <v>0.192</v>
      </c>
      <c r="D7" s="642" t="s">
        <v>51</v>
      </c>
      <c r="E7" s="80">
        <v>13</v>
      </c>
      <c r="F7" s="892"/>
      <c r="G7" s="879" t="s">
        <v>183</v>
      </c>
      <c r="H7" s="880"/>
      <c r="I7" s="880"/>
      <c r="J7" s="880"/>
      <c r="K7" s="881" t="s">
        <v>210</v>
      </c>
      <c r="L7" s="894"/>
      <c r="M7" s="896"/>
      <c r="P7" s="884"/>
      <c r="T7" s="885"/>
      <c r="U7" s="885"/>
      <c r="V7" s="885"/>
      <c r="W7" s="886"/>
      <c r="X7" s="887"/>
      <c r="Y7" s="885"/>
      <c r="Z7" s="888"/>
      <c r="AC7" s="884"/>
      <c r="AJ7" s="885"/>
      <c r="AM7" s="885"/>
      <c r="AN7" s="885"/>
      <c r="CL7" s="889"/>
    </row>
    <row r="8" spans="1:111" s="878" customFormat="1" ht="16.5" customHeight="1" thickBot="1" x14ac:dyDescent="0.25">
      <c r="B8" s="643" t="s">
        <v>52</v>
      </c>
      <c r="C8" s="83">
        <v>10</v>
      </c>
      <c r="D8" s="644" t="s">
        <v>53</v>
      </c>
      <c r="E8" s="85">
        <v>0.82699999999999996</v>
      </c>
      <c r="F8" s="892"/>
      <c r="G8" s="897" t="s">
        <v>211</v>
      </c>
      <c r="H8" s="898"/>
      <c r="I8" s="898"/>
      <c r="J8" s="898"/>
      <c r="K8" s="899" t="s">
        <v>212</v>
      </c>
      <c r="L8" s="900"/>
      <c r="M8" s="873"/>
      <c r="P8" s="884"/>
      <c r="T8" s="885"/>
      <c r="U8" s="885"/>
      <c r="V8" s="885"/>
      <c r="W8" s="886"/>
      <c r="X8" s="887"/>
      <c r="Y8" s="885"/>
      <c r="Z8" s="888"/>
      <c r="AC8" s="884"/>
      <c r="AJ8" s="885"/>
      <c r="AM8" s="885"/>
      <c r="AN8" s="885"/>
      <c r="CL8" s="889"/>
    </row>
    <row r="9" spans="1:111" s="901" customFormat="1" ht="16.5" customHeight="1" thickBot="1" x14ac:dyDescent="0.25">
      <c r="B9" s="855"/>
      <c r="C9" s="855"/>
      <c r="D9" s="902"/>
      <c r="E9" s="903"/>
      <c r="F9" s="855"/>
      <c r="G9" s="855"/>
      <c r="H9" s="855"/>
      <c r="I9" s="855"/>
      <c r="J9" s="904"/>
      <c r="P9" s="905"/>
      <c r="T9" s="906"/>
      <c r="U9" s="906"/>
      <c r="V9" s="906"/>
      <c r="W9" s="907"/>
      <c r="X9" s="908"/>
      <c r="Y9" s="906"/>
      <c r="Z9" s="909"/>
      <c r="AC9" s="905"/>
      <c r="AJ9" s="906"/>
      <c r="AM9" s="906"/>
      <c r="AN9" s="906"/>
      <c r="CL9" s="910"/>
    </row>
    <row r="10" spans="1:111" s="911" customFormat="1" ht="34.5" customHeight="1" thickBot="1" x14ac:dyDescent="0.25">
      <c r="B10" s="1135" t="s">
        <v>619</v>
      </c>
      <c r="C10" s="1136"/>
      <c r="D10" s="1136"/>
      <c r="E10" s="1136"/>
      <c r="F10" s="1136"/>
      <c r="G10" s="1136"/>
      <c r="H10" s="1136"/>
      <c r="I10" s="1136"/>
      <c r="J10" s="1136"/>
      <c r="K10" s="1136"/>
      <c r="L10" s="1136"/>
      <c r="M10" s="1136"/>
      <c r="N10" s="1136"/>
      <c r="O10" s="1136"/>
      <c r="P10" s="1136"/>
      <c r="Q10" s="1136"/>
      <c r="R10" s="1136"/>
      <c r="S10" s="1136"/>
      <c r="T10" s="1136"/>
      <c r="U10" s="1136"/>
      <c r="V10" s="1136"/>
      <c r="W10" s="1136"/>
      <c r="X10" s="912"/>
      <c r="Y10" s="1135" t="s">
        <v>619</v>
      </c>
      <c r="Z10" s="1136"/>
      <c r="AA10" s="1136"/>
      <c r="AB10" s="1136"/>
      <c r="AC10" s="1136"/>
      <c r="AD10" s="1136"/>
      <c r="AE10" s="1136"/>
      <c r="AF10" s="1136"/>
      <c r="AG10" s="1136"/>
      <c r="AH10" s="1136"/>
      <c r="AI10" s="1136"/>
      <c r="AJ10" s="1136"/>
      <c r="AK10" s="1136"/>
      <c r="AL10" s="1136"/>
      <c r="AM10" s="1136"/>
      <c r="AN10" s="1136"/>
      <c r="AO10" s="1136"/>
      <c r="AP10" s="1136"/>
      <c r="AQ10" s="1136"/>
      <c r="AR10" s="1137"/>
      <c r="AT10" s="1123" t="s">
        <v>620</v>
      </c>
      <c r="AU10" s="1124"/>
      <c r="AV10" s="1124"/>
      <c r="AW10" s="1124"/>
      <c r="AX10" s="1124"/>
      <c r="AY10" s="1124"/>
      <c r="AZ10" s="1124"/>
      <c r="BA10" s="1124"/>
      <c r="BB10" s="1124"/>
      <c r="BC10" s="1124"/>
      <c r="BD10" s="1124"/>
      <c r="BE10" s="1124"/>
      <c r="BF10" s="1124"/>
      <c r="BG10" s="1124"/>
      <c r="BH10" s="1124"/>
      <c r="BI10" s="1124"/>
      <c r="BJ10" s="1124"/>
      <c r="BK10" s="1124"/>
      <c r="BL10" s="1124"/>
      <c r="BM10" s="1124"/>
      <c r="BN10" s="1124"/>
      <c r="BO10" s="1124"/>
      <c r="BP10" s="1124"/>
      <c r="BQ10" s="1124"/>
      <c r="BR10" s="1124"/>
      <c r="BS10" s="1124"/>
      <c r="BT10" s="1124"/>
      <c r="BU10" s="1124"/>
      <c r="BV10" s="1124"/>
      <c r="BW10" s="1124"/>
      <c r="BX10" s="1124"/>
      <c r="BY10" s="1124"/>
      <c r="BZ10" s="1124"/>
      <c r="CA10" s="1124"/>
      <c r="CB10" s="1124"/>
      <c r="CC10" s="1124"/>
      <c r="CD10" s="1124"/>
      <c r="CE10" s="1124"/>
      <c r="CF10" s="1124"/>
      <c r="CG10" s="1124"/>
      <c r="CH10" s="1124"/>
      <c r="CI10" s="1124"/>
      <c r="CJ10" s="1124"/>
      <c r="CK10" s="1124"/>
      <c r="CL10" s="1124"/>
      <c r="CM10" s="1124"/>
      <c r="CN10" s="1124"/>
      <c r="CO10" s="1124"/>
      <c r="CP10" s="1124"/>
      <c r="CQ10" s="1124"/>
      <c r="CR10" s="1124"/>
      <c r="CS10" s="1124"/>
      <c r="CT10" s="1124"/>
      <c r="CU10" s="1124"/>
      <c r="CV10" s="1124"/>
      <c r="CW10" s="1124"/>
      <c r="CX10" s="1124"/>
      <c r="CY10" s="1124"/>
      <c r="CZ10" s="1124"/>
      <c r="DA10" s="1124"/>
      <c r="DB10" s="1124"/>
      <c r="DC10" s="1124"/>
      <c r="DD10" s="1124"/>
      <c r="DE10" s="1124"/>
      <c r="DF10" s="1124"/>
      <c r="DG10" s="1125"/>
    </row>
    <row r="11" spans="1:111" s="913" customFormat="1" ht="39.75" customHeight="1" x14ac:dyDescent="0.2">
      <c r="B11" s="1126" t="s">
        <v>54</v>
      </c>
      <c r="C11" s="1128" t="s">
        <v>184</v>
      </c>
      <c r="D11" s="1110" t="s">
        <v>300</v>
      </c>
      <c r="E11" s="1112"/>
      <c r="F11" s="1110" t="s">
        <v>301</v>
      </c>
      <c r="G11" s="1110" t="s">
        <v>302</v>
      </c>
      <c r="H11" s="1110" t="s">
        <v>302</v>
      </c>
      <c r="I11" s="1110" t="s">
        <v>303</v>
      </c>
      <c r="J11" s="1110" t="s">
        <v>304</v>
      </c>
      <c r="K11" s="1110" t="s">
        <v>185</v>
      </c>
      <c r="L11" s="1106" t="s">
        <v>186</v>
      </c>
      <c r="M11" s="1110" t="s">
        <v>187</v>
      </c>
      <c r="N11" s="1110" t="s">
        <v>305</v>
      </c>
      <c r="O11" s="1110" t="s">
        <v>188</v>
      </c>
      <c r="P11" s="1113" t="s">
        <v>306</v>
      </c>
      <c r="Q11" s="1110" t="s">
        <v>307</v>
      </c>
      <c r="R11" s="1110" t="s">
        <v>308</v>
      </c>
      <c r="S11" s="1110" t="s">
        <v>309</v>
      </c>
      <c r="T11" s="1110" t="s">
        <v>154</v>
      </c>
      <c r="U11" s="1106" t="s">
        <v>189</v>
      </c>
      <c r="V11" s="1106" t="s">
        <v>190</v>
      </c>
      <c r="W11" s="1106" t="s">
        <v>191</v>
      </c>
      <c r="X11" s="1108" t="s">
        <v>621</v>
      </c>
      <c r="Y11" s="1106" t="s">
        <v>155</v>
      </c>
      <c r="Z11" s="1102" t="s">
        <v>192</v>
      </c>
      <c r="AA11" s="1110" t="s">
        <v>55</v>
      </c>
      <c r="AB11" s="1110" t="s">
        <v>56</v>
      </c>
      <c r="AC11" s="1113" t="s">
        <v>310</v>
      </c>
      <c r="AD11" s="1106" t="s">
        <v>193</v>
      </c>
      <c r="AE11" s="1110" t="s">
        <v>58</v>
      </c>
      <c r="AF11" s="1110" t="s">
        <v>622</v>
      </c>
      <c r="AG11" s="1110" t="s">
        <v>623</v>
      </c>
      <c r="AH11" s="1110" t="s">
        <v>311</v>
      </c>
      <c r="AI11" s="1115" t="s">
        <v>312</v>
      </c>
      <c r="AJ11" s="1116"/>
      <c r="AK11" s="1117" t="s">
        <v>313</v>
      </c>
      <c r="AL11" s="1118"/>
      <c r="AM11" s="1119" t="s">
        <v>314</v>
      </c>
      <c r="AN11" s="1120"/>
      <c r="AO11" s="1121" t="s">
        <v>315</v>
      </c>
      <c r="AP11" s="1122"/>
      <c r="AQ11" s="1110" t="s">
        <v>316</v>
      </c>
      <c r="AR11" s="1111"/>
      <c r="AS11" s="1095"/>
      <c r="AT11" s="1097" t="s">
        <v>59</v>
      </c>
      <c r="AU11" s="1099" t="s">
        <v>60</v>
      </c>
      <c r="AV11" s="919"/>
      <c r="AW11" s="1087" t="s">
        <v>61</v>
      </c>
      <c r="AX11" s="1087"/>
      <c r="AY11" s="1087"/>
      <c r="AZ11" s="1087"/>
      <c r="BA11" s="1101" t="s">
        <v>62</v>
      </c>
      <c r="BB11" s="1101"/>
      <c r="BC11" s="1088" t="s">
        <v>194</v>
      </c>
      <c r="BD11" s="1088" t="s">
        <v>63</v>
      </c>
      <c r="BE11" s="1088" t="s">
        <v>64</v>
      </c>
      <c r="BF11" s="1087" t="s">
        <v>65</v>
      </c>
      <c r="BG11" s="1087"/>
      <c r="BH11" s="1087" t="s">
        <v>66</v>
      </c>
      <c r="BI11" s="1087"/>
      <c r="BJ11" s="1087" t="s">
        <v>67</v>
      </c>
      <c r="BK11" s="1087"/>
      <c r="BL11" s="1087"/>
      <c r="BM11" s="1087"/>
      <c r="BN11" s="1087"/>
      <c r="BO11" s="1087"/>
      <c r="BP11" s="1087"/>
      <c r="BQ11" s="1087"/>
      <c r="BR11" s="1087"/>
      <c r="BS11" s="1087"/>
      <c r="BT11" s="1087"/>
      <c r="BU11" s="1087"/>
      <c r="BV11" s="1087" t="s">
        <v>68</v>
      </c>
      <c r="BW11" s="1087"/>
      <c r="BX11" s="1087"/>
      <c r="BY11" s="1087"/>
      <c r="BZ11" s="1087"/>
      <c r="CA11" s="1087" t="s">
        <v>69</v>
      </c>
      <c r="CB11" s="1087"/>
      <c r="CC11" s="1087"/>
      <c r="CD11" s="1087"/>
      <c r="CE11" s="1087"/>
      <c r="CF11" s="1087"/>
      <c r="CG11" s="1087" t="s">
        <v>70</v>
      </c>
      <c r="CH11" s="1087"/>
      <c r="CI11" s="1087" t="s">
        <v>195</v>
      </c>
      <c r="CJ11" s="1087"/>
      <c r="CK11" s="1087"/>
      <c r="CL11" s="1087"/>
      <c r="CM11" s="1087"/>
      <c r="CN11" s="1087" t="s">
        <v>71</v>
      </c>
      <c r="CO11" s="1087"/>
      <c r="CP11" s="1087"/>
      <c r="CQ11" s="1087"/>
      <c r="CR11" s="1087"/>
      <c r="CS11" s="1087"/>
      <c r="CT11" s="1087"/>
      <c r="CU11" s="1087"/>
      <c r="CV11" s="1087"/>
      <c r="CW11" s="1087"/>
      <c r="CX11" s="1087"/>
      <c r="CY11" s="1087"/>
      <c r="CZ11" s="1099" t="s">
        <v>72</v>
      </c>
      <c r="DA11" s="1099" t="s">
        <v>73</v>
      </c>
      <c r="DB11" s="1099" t="s">
        <v>74</v>
      </c>
      <c r="DC11" s="1099" t="s">
        <v>624</v>
      </c>
      <c r="DD11" s="1099" t="s">
        <v>75</v>
      </c>
      <c r="DE11" s="1099" t="s">
        <v>76</v>
      </c>
      <c r="DF11" s="1099" t="s">
        <v>77</v>
      </c>
      <c r="DG11" s="1104" t="s">
        <v>78</v>
      </c>
    </row>
    <row r="12" spans="1:111" s="907" customFormat="1" ht="72.75" customHeight="1" thickBot="1" x14ac:dyDescent="0.25">
      <c r="B12" s="1127"/>
      <c r="C12" s="1112"/>
      <c r="D12" s="914" t="s">
        <v>79</v>
      </c>
      <c r="E12" s="914" t="s">
        <v>80</v>
      </c>
      <c r="F12" s="1112"/>
      <c r="G12" s="1112"/>
      <c r="H12" s="1110"/>
      <c r="I12" s="1112"/>
      <c r="J12" s="1112"/>
      <c r="K12" s="1112"/>
      <c r="L12" s="1107"/>
      <c r="M12" s="1112"/>
      <c r="N12" s="1112"/>
      <c r="O12" s="1112"/>
      <c r="P12" s="1114"/>
      <c r="Q12" s="1112"/>
      <c r="R12" s="1112"/>
      <c r="S12" s="1112"/>
      <c r="T12" s="1112"/>
      <c r="U12" s="1107"/>
      <c r="V12" s="1107"/>
      <c r="W12" s="1107"/>
      <c r="X12" s="1109"/>
      <c r="Y12" s="1107"/>
      <c r="Z12" s="1103"/>
      <c r="AA12" s="1112"/>
      <c r="AB12" s="1112"/>
      <c r="AC12" s="1114"/>
      <c r="AD12" s="1107"/>
      <c r="AE12" s="1112"/>
      <c r="AF12" s="1112"/>
      <c r="AG12" s="1112"/>
      <c r="AH12" s="1112"/>
      <c r="AI12" s="916" t="s">
        <v>317</v>
      </c>
      <c r="AJ12" s="916" t="s">
        <v>318</v>
      </c>
      <c r="AK12" s="916" t="s">
        <v>317</v>
      </c>
      <c r="AL12" s="916" t="s">
        <v>318</v>
      </c>
      <c r="AM12" s="917" t="s">
        <v>317</v>
      </c>
      <c r="AN12" s="917" t="s">
        <v>318</v>
      </c>
      <c r="AO12" s="918" t="s">
        <v>317</v>
      </c>
      <c r="AP12" s="918" t="s">
        <v>318</v>
      </c>
      <c r="AQ12" s="915" t="s">
        <v>317</v>
      </c>
      <c r="AR12" s="920" t="s">
        <v>318</v>
      </c>
      <c r="AS12" s="1096"/>
      <c r="AT12" s="1098"/>
      <c r="AU12" s="1100"/>
      <c r="AV12" s="922" t="s">
        <v>196</v>
      </c>
      <c r="AW12" s="922" t="s">
        <v>81</v>
      </c>
      <c r="AX12" s="921" t="s">
        <v>197</v>
      </c>
      <c r="AY12" s="921" t="s">
        <v>82</v>
      </c>
      <c r="AZ12" s="921" t="s">
        <v>83</v>
      </c>
      <c r="BA12" s="921" t="s">
        <v>84</v>
      </c>
      <c r="BB12" s="921" t="s">
        <v>85</v>
      </c>
      <c r="BC12" s="1089"/>
      <c r="BD12" s="1089"/>
      <c r="BE12" s="1089"/>
      <c r="BF12" s="922" t="s">
        <v>86</v>
      </c>
      <c r="BG12" s="921" t="s">
        <v>87</v>
      </c>
      <c r="BH12" s="921" t="s">
        <v>88</v>
      </c>
      <c r="BI12" s="921" t="s">
        <v>89</v>
      </c>
      <c r="BJ12" s="921" t="s">
        <v>90</v>
      </c>
      <c r="BK12" s="921" t="s">
        <v>91</v>
      </c>
      <c r="BL12" s="921" t="s">
        <v>92</v>
      </c>
      <c r="BM12" s="921" t="s">
        <v>93</v>
      </c>
      <c r="BN12" s="921" t="s">
        <v>94</v>
      </c>
      <c r="BO12" s="921" t="s">
        <v>95</v>
      </c>
      <c r="BP12" s="921" t="s">
        <v>96</v>
      </c>
      <c r="BQ12" s="921" t="s">
        <v>97</v>
      </c>
      <c r="BR12" s="921" t="s">
        <v>98</v>
      </c>
      <c r="BS12" s="921" t="s">
        <v>99</v>
      </c>
      <c r="BT12" s="921" t="s">
        <v>100</v>
      </c>
      <c r="BU12" s="921" t="s">
        <v>101</v>
      </c>
      <c r="BV12" s="921" t="s">
        <v>102</v>
      </c>
      <c r="BW12" s="921" t="s">
        <v>103</v>
      </c>
      <c r="BX12" s="921" t="s">
        <v>104</v>
      </c>
      <c r="BY12" s="921" t="s">
        <v>105</v>
      </c>
      <c r="BZ12" s="921" t="s">
        <v>106</v>
      </c>
      <c r="CA12" s="921" t="s">
        <v>107</v>
      </c>
      <c r="CB12" s="921" t="s">
        <v>92</v>
      </c>
      <c r="CC12" s="921" t="s">
        <v>108</v>
      </c>
      <c r="CD12" s="921" t="s">
        <v>95</v>
      </c>
      <c r="CE12" s="921" t="s">
        <v>109</v>
      </c>
      <c r="CF12" s="921" t="s">
        <v>98</v>
      </c>
      <c r="CG12" s="921" t="s">
        <v>110</v>
      </c>
      <c r="CH12" s="921" t="s">
        <v>111</v>
      </c>
      <c r="CI12" s="921" t="s">
        <v>10</v>
      </c>
      <c r="CJ12" s="921" t="s">
        <v>112</v>
      </c>
      <c r="CK12" s="921" t="s">
        <v>113</v>
      </c>
      <c r="CL12" s="923" t="s">
        <v>114</v>
      </c>
      <c r="CM12" s="921" t="s">
        <v>115</v>
      </c>
      <c r="CN12" s="921" t="s">
        <v>90</v>
      </c>
      <c r="CO12" s="921" t="s">
        <v>91</v>
      </c>
      <c r="CP12" s="921" t="s">
        <v>92</v>
      </c>
      <c r="CQ12" s="921" t="s">
        <v>93</v>
      </c>
      <c r="CR12" s="921" t="s">
        <v>94</v>
      </c>
      <c r="CS12" s="921" t="s">
        <v>95</v>
      </c>
      <c r="CT12" s="921" t="s">
        <v>96</v>
      </c>
      <c r="CU12" s="921" t="s">
        <v>97</v>
      </c>
      <c r="CV12" s="921" t="s">
        <v>98</v>
      </c>
      <c r="CW12" s="921" t="s">
        <v>99</v>
      </c>
      <c r="CX12" s="921" t="s">
        <v>100</v>
      </c>
      <c r="CY12" s="921" t="s">
        <v>101</v>
      </c>
      <c r="CZ12" s="1100"/>
      <c r="DA12" s="1100"/>
      <c r="DB12" s="1100"/>
      <c r="DC12" s="1100"/>
      <c r="DD12" s="1100"/>
      <c r="DE12" s="1100"/>
      <c r="DF12" s="1100"/>
      <c r="DG12" s="1105"/>
    </row>
    <row r="13" spans="1:111" s="907" customFormat="1" ht="16.5" customHeight="1" thickBot="1" x14ac:dyDescent="0.25">
      <c r="B13" s="924"/>
      <c r="C13" s="925"/>
      <c r="D13" s="926"/>
      <c r="E13" s="926"/>
      <c r="F13" s="925"/>
      <c r="G13" s="925"/>
      <c r="H13" s="927"/>
      <c r="I13" s="925"/>
      <c r="J13" s="925"/>
      <c r="K13" s="925"/>
      <c r="L13" s="925"/>
      <c r="M13" s="925"/>
      <c r="N13" s="925"/>
      <c r="O13" s="925"/>
      <c r="P13" s="928"/>
      <c r="Q13" s="925"/>
      <c r="R13" s="925"/>
      <c r="S13" s="925"/>
      <c r="T13" s="925"/>
      <c r="U13" s="1064"/>
      <c r="V13" s="925"/>
      <c r="W13" s="1065"/>
      <c r="X13" s="927"/>
      <c r="Y13" s="925"/>
      <c r="Z13" s="929"/>
      <c r="AA13" s="925"/>
      <c r="AB13" s="925"/>
      <c r="AC13" s="928"/>
      <c r="AD13" s="925"/>
      <c r="AE13" s="925"/>
      <c r="AF13" s="925"/>
      <c r="AG13" s="925"/>
      <c r="AH13" s="925"/>
      <c r="AI13" s="930"/>
      <c r="AJ13" s="930"/>
      <c r="AK13" s="930"/>
      <c r="AL13" s="930"/>
      <c r="AM13" s="931"/>
      <c r="AN13" s="932"/>
      <c r="AO13" s="925"/>
      <c r="AP13" s="925"/>
      <c r="AQ13" s="927"/>
      <c r="AR13" s="933"/>
      <c r="AS13" s="913"/>
      <c r="AT13" s="645" t="s">
        <v>59</v>
      </c>
      <c r="AU13" s="934" t="s">
        <v>3</v>
      </c>
      <c r="AV13" s="935" t="s">
        <v>41</v>
      </c>
      <c r="AW13" s="935" t="s">
        <v>41</v>
      </c>
      <c r="AX13" s="934" t="s">
        <v>116</v>
      </c>
      <c r="AY13" s="934" t="s">
        <v>116</v>
      </c>
      <c r="AZ13" s="936" t="s">
        <v>40</v>
      </c>
      <c r="BA13" s="934" t="s">
        <v>3</v>
      </c>
      <c r="BB13" s="934" t="s">
        <v>3</v>
      </c>
      <c r="BC13" s="934" t="s">
        <v>3</v>
      </c>
      <c r="BD13" s="935" t="s">
        <v>40</v>
      </c>
      <c r="BE13" s="935" t="s">
        <v>40</v>
      </c>
      <c r="BF13" s="935" t="s">
        <v>3</v>
      </c>
      <c r="BG13" s="934" t="s">
        <v>3</v>
      </c>
      <c r="BH13" s="934" t="s">
        <v>3</v>
      </c>
      <c r="BI13" s="934" t="s">
        <v>3</v>
      </c>
      <c r="BJ13" s="934" t="s">
        <v>2</v>
      </c>
      <c r="BK13" s="934" t="s">
        <v>2</v>
      </c>
      <c r="BL13" s="934" t="s">
        <v>2</v>
      </c>
      <c r="BM13" s="934" t="s">
        <v>2</v>
      </c>
      <c r="BN13" s="934" t="s">
        <v>2</v>
      </c>
      <c r="BO13" s="934" t="s">
        <v>2</v>
      </c>
      <c r="BP13" s="934" t="s">
        <v>2</v>
      </c>
      <c r="BQ13" s="934" t="s">
        <v>2</v>
      </c>
      <c r="BR13" s="934" t="s">
        <v>2</v>
      </c>
      <c r="BS13" s="934" t="s">
        <v>2</v>
      </c>
      <c r="BT13" s="934" t="s">
        <v>2</v>
      </c>
      <c r="BU13" s="934" t="s">
        <v>2</v>
      </c>
      <c r="BV13" s="934" t="s">
        <v>2</v>
      </c>
      <c r="BW13" s="934" t="s">
        <v>117</v>
      </c>
      <c r="BX13" s="934" t="s">
        <v>117</v>
      </c>
      <c r="BY13" s="934" t="s">
        <v>2</v>
      </c>
      <c r="BZ13" s="934" t="s">
        <v>2</v>
      </c>
      <c r="CA13" s="934" t="s">
        <v>1</v>
      </c>
      <c r="CB13" s="934" t="s">
        <v>1</v>
      </c>
      <c r="CC13" s="934" t="s">
        <v>1</v>
      </c>
      <c r="CD13" s="934" t="s">
        <v>1</v>
      </c>
      <c r="CE13" s="934" t="s">
        <v>1</v>
      </c>
      <c r="CF13" s="934" t="s">
        <v>1</v>
      </c>
      <c r="CG13" s="934" t="s">
        <v>1</v>
      </c>
      <c r="CH13" s="1056" t="s">
        <v>1</v>
      </c>
      <c r="CI13" s="1059" t="s">
        <v>40</v>
      </c>
      <c r="CJ13" s="1057" t="s">
        <v>2</v>
      </c>
      <c r="CK13" s="934" t="s">
        <v>2</v>
      </c>
      <c r="CL13" s="937" t="s">
        <v>117</v>
      </c>
      <c r="CM13" s="934" t="s">
        <v>2</v>
      </c>
      <c r="CN13" s="934" t="s">
        <v>2</v>
      </c>
      <c r="CO13" s="934" t="s">
        <v>2</v>
      </c>
      <c r="CP13" s="934" t="s">
        <v>2</v>
      </c>
      <c r="CQ13" s="934" t="s">
        <v>2</v>
      </c>
      <c r="CR13" s="934" t="s">
        <v>2</v>
      </c>
      <c r="CS13" s="934" t="s">
        <v>2</v>
      </c>
      <c r="CT13" s="934" t="s">
        <v>2</v>
      </c>
      <c r="CU13" s="934" t="s">
        <v>2</v>
      </c>
      <c r="CV13" s="934" t="s">
        <v>2</v>
      </c>
      <c r="CW13" s="934" t="s">
        <v>2</v>
      </c>
      <c r="CX13" s="934" t="s">
        <v>2</v>
      </c>
      <c r="CY13" s="934" t="s">
        <v>2</v>
      </c>
      <c r="CZ13" s="934" t="s">
        <v>118</v>
      </c>
      <c r="DA13" s="934" t="s">
        <v>3</v>
      </c>
      <c r="DB13" s="934" t="s">
        <v>3</v>
      </c>
      <c r="DC13" s="934" t="s">
        <v>3</v>
      </c>
      <c r="DD13" s="934" t="s">
        <v>3</v>
      </c>
      <c r="DE13" s="934" t="s">
        <v>3</v>
      </c>
      <c r="DF13" s="934" t="s">
        <v>3</v>
      </c>
      <c r="DG13" s="938" t="s">
        <v>3</v>
      </c>
    </row>
    <row r="14" spans="1:111" ht="16.5" customHeight="1" x14ac:dyDescent="0.2">
      <c r="A14" s="1090"/>
      <c r="B14" s="939" t="s">
        <v>625</v>
      </c>
      <c r="C14" s="373">
        <v>47</v>
      </c>
      <c r="D14" s="940">
        <v>0.97</v>
      </c>
      <c r="E14" s="940">
        <v>0.97</v>
      </c>
      <c r="F14" s="941">
        <v>0.6</v>
      </c>
      <c r="G14" s="941">
        <f t="shared" ref="G14:G19" si="0">IF(E14&lt;1,1,IF(H14&lt;0.5,0.5,H14))</f>
        <v>1</v>
      </c>
      <c r="H14" s="941">
        <f t="shared" ref="H14:H19" si="1">$E14^-0.15</f>
        <v>1.0045793343738871</v>
      </c>
      <c r="I14" s="941">
        <f>0.0725*F14*((J14*M14)^(0.333333333333333))</f>
        <v>0.49390749712668608</v>
      </c>
      <c r="J14" s="940">
        <f t="shared" ref="J14:J19" si="2">$C$6*($C$8^$C$7)/(M14+$E$7)^$E$8</f>
        <v>259.45173427303899</v>
      </c>
      <c r="K14" s="941">
        <f>2.78*G14*E14*I14*J14/1000</f>
        <v>0.34555622955715176</v>
      </c>
      <c r="L14" s="941">
        <v>0</v>
      </c>
      <c r="M14" s="941">
        <f>10.57215256*(C14/1000)^0.5552*P14^-0.207</f>
        <v>5.6417327083763924</v>
      </c>
      <c r="N14" s="941">
        <f t="shared" ref="N14:N19" si="3">C14/(Z14*60)</f>
        <v>0.49082565136023076</v>
      </c>
      <c r="O14" s="941">
        <f t="shared" ref="O14:O19" si="4">AM14-AN14</f>
        <v>0.26799999999980173</v>
      </c>
      <c r="P14" s="942">
        <f t="shared" ref="P14:P19" si="5">O14/C14</f>
        <v>5.7021276595702495E-3</v>
      </c>
      <c r="Q14" s="941">
        <f t="shared" ref="Q14:Q19" si="6">2.78*G14*J14*D14*I14/1000</f>
        <v>0.34555622955715182</v>
      </c>
      <c r="R14" s="941">
        <f t="shared" ref="R14:R19" si="7">AI14-AJ14</f>
        <v>0.16799999999989268</v>
      </c>
      <c r="S14" s="118">
        <f t="shared" ref="S14:S19" si="8">R14/C14</f>
        <v>3.5744680851040995E-3</v>
      </c>
      <c r="T14" s="943">
        <f>1.55*(K14*0.015/(P14)^(1/2))^(3/8)</f>
        <v>0.5676145471835734</v>
      </c>
      <c r="U14" s="944">
        <v>0</v>
      </c>
      <c r="V14" s="944">
        <v>0</v>
      </c>
      <c r="W14" s="945">
        <v>1</v>
      </c>
      <c r="X14" s="946"/>
      <c r="Y14" s="947">
        <v>0.6</v>
      </c>
      <c r="Z14" s="948">
        <f t="shared" ref="Z14:Z19" si="9">((AE14^(2/3))*(P14^0.5))/0.015</f>
        <v>1.595950275138377</v>
      </c>
      <c r="AA14" s="941">
        <f t="shared" ref="AA14:AA19" si="10">IF(W14=1,(K14*0.015)/(((Y14)^(8/3))*(P14^0.5)),IF(W14=2,(K14*0.015*0.5)/(((Y14)^(8/3))*(P14^0.5)),IF(W14=3,((K14*0.015)/3)/(((Y14)^(8/3))*(P14^0.5)),"ERRO")))</f>
        <v>0.26803294817592477</v>
      </c>
      <c r="AB14" s="941">
        <f t="shared" ref="AB14:AB19" si="11">VLOOKUP(AA14,$A$106:$C$205,2,TRUE)</f>
        <v>0.29749999999999999</v>
      </c>
      <c r="AC14" s="942">
        <f t="shared" ref="AC14:AC19" si="12">VLOOKUP(AA14,$A$106:$C$205,3,TRUE)</f>
        <v>0.71</v>
      </c>
      <c r="AD14" s="941">
        <f t="shared" ref="AD14:AD19" si="13">AC14*Y14</f>
        <v>0.42599999999999999</v>
      </c>
      <c r="AE14" s="941">
        <f t="shared" ref="AE14:AE19" si="14">AB14*Y14</f>
        <v>0.17849999999999999</v>
      </c>
      <c r="AF14" s="941">
        <f t="shared" ref="AF14:AF19" si="15">((1/0.015)*((0.2895*Y14)^(2/3))*(0.7662*(Y14^2)*(SQRT(P14))))*W14</f>
        <v>0.43228656303938034</v>
      </c>
      <c r="AG14" s="941">
        <f t="shared" ref="AG14:AG19" si="16">((1/0.015)*((0.2895*V14)^(2/3))*(0.7662*(V14^2)*(SQRT(P14))))*U14</f>
        <v>0</v>
      </c>
      <c r="AH14" s="948">
        <f t="shared" ref="AH14:AH19" si="17">AF14+AG14</f>
        <v>0.43228656303938034</v>
      </c>
      <c r="AI14" s="949">
        <v>516.13699999999994</v>
      </c>
      <c r="AJ14" s="949">
        <v>515.96900000000005</v>
      </c>
      <c r="AK14" s="940">
        <v>1.7</v>
      </c>
      <c r="AL14" s="940">
        <v>1.8</v>
      </c>
      <c r="AM14" s="950">
        <f>AI14-AK14</f>
        <v>514.4369999999999</v>
      </c>
      <c r="AN14" s="950">
        <f t="shared" ref="AM14:AN19" si="18">AJ14-AL14</f>
        <v>514.1690000000001</v>
      </c>
      <c r="AO14" s="941">
        <f t="shared" ref="AO14:AO19" si="19">AM14+AD14</f>
        <v>514.86299999999994</v>
      </c>
      <c r="AP14" s="941">
        <f t="shared" ref="AP14:AP19" si="20">AN14+AD14</f>
        <v>514.59500000000014</v>
      </c>
      <c r="AQ14" s="940">
        <f t="shared" ref="AQ14:AQ19" si="21">AI14-Y14*1.105-AM14</f>
        <v>1.0370000000000346</v>
      </c>
      <c r="AR14" s="951">
        <f t="shared" ref="AR14:AR19" si="22">AJ14-Y14*1.105-AN14</f>
        <v>1.1369999999999436</v>
      </c>
      <c r="AS14" s="952"/>
      <c r="AT14" s="953" t="str">
        <f t="shared" ref="AT14:AU16" si="23">B14</f>
        <v>TR-01</v>
      </c>
      <c r="AU14" s="954">
        <f t="shared" si="23"/>
        <v>47</v>
      </c>
      <c r="AV14" s="955">
        <f>U14</f>
        <v>0</v>
      </c>
      <c r="AW14" s="955">
        <f>W14</f>
        <v>1</v>
      </c>
      <c r="AX14" s="955">
        <f>V14</f>
        <v>0</v>
      </c>
      <c r="AY14" s="955">
        <f>Y14*1000</f>
        <v>600</v>
      </c>
      <c r="AZ14" s="956" t="s">
        <v>222</v>
      </c>
      <c r="BA14" s="957">
        <f t="shared" ref="BA14:BB16" si="24">AK14</f>
        <v>1.7</v>
      </c>
      <c r="BB14" s="957">
        <f t="shared" si="24"/>
        <v>1.8</v>
      </c>
      <c r="BC14" s="957">
        <v>0.3</v>
      </c>
      <c r="BD14" s="958">
        <v>4</v>
      </c>
      <c r="BE14" s="958" t="str">
        <f t="shared" ref="BE14:BE19" si="25">IF(BF14&gt;1.25,"Com","Sem")</f>
        <v>Com</v>
      </c>
      <c r="BF14" s="957">
        <f t="shared" ref="BF14:BF20" si="26">AVERAGE(BA14:BB14)</f>
        <v>1.75</v>
      </c>
      <c r="BG14" s="957">
        <f t="shared" ref="BG14:BG20" si="27">BF14+BC14+0.21*AY14/1000</f>
        <v>2.1759999999999997</v>
      </c>
      <c r="BH14" s="957">
        <f t="shared" ref="BH14:BH20" si="28">IF(AW14=1,2*AY14/1000,IF(AW14=2,((1.21*2*(AY14/1000))+0.4),IF(AW14=3,((3*1.21*(AY14/1000))+0.6),0)))</f>
        <v>1.2</v>
      </c>
      <c r="BI14" s="957">
        <f t="shared" ref="BI14:BI20" si="29">IF(BD14=0,BH14,BH14+2*(1/BD14)*BG14)</f>
        <v>2.2879999999999998</v>
      </c>
      <c r="BJ14" s="957" t="str">
        <f t="shared" ref="BJ14:BJ20" si="30">IF(AND(BG14&lt;=1.5,BI14&lt;=0.8),(BI14+BH14)*BG14/2*AU14,"")</f>
        <v/>
      </c>
      <c r="BK14" s="957" t="str">
        <f t="shared" ref="BK14:BK20" si="31">IF(AND(BG14&lt;=1.5,BI14&gt;0.8,BI14&lt;=1.5),(BI14+BH14)*BG14/2*AU14,"")</f>
        <v/>
      </c>
      <c r="BL14" s="957" t="str">
        <f t="shared" ref="BL14:BL20" si="32">IF(AND(BG14&lt;=1.5,BI14&gt;1.5),(BI14+BH14)*BG14/2*AU14,"")</f>
        <v/>
      </c>
      <c r="BM14" s="957" t="str">
        <f t="shared" ref="BM14:BM20" si="33">IF(AND(BG14&gt;1.5,BG14&lt;=3,BI14&lt;=0.8),(BI14+BH14)*BG14/2*AU14,"")</f>
        <v/>
      </c>
      <c r="BN14" s="957" t="str">
        <f t="shared" ref="BN14:BN20" si="34">IF(AND(BG14&gt;1.5,BG14&lt;=3,BI14&gt;0.8,BI14&lt;=1.5),(BI14+BH14)*BG14/2*AU14,"")</f>
        <v/>
      </c>
      <c r="BO14" s="957">
        <f t="shared" ref="BO14:BO20" si="35">IF(AND(BG14&gt;1.5,BG14&lt;=3,BI14&gt;1.5),(BI14+BH14)*BG14/2*AU14,"")</f>
        <v>178.36236799999998</v>
      </c>
      <c r="BP14" s="957" t="str">
        <f t="shared" ref="BP14:BP20" si="36">IF(AND(BG14&gt;3,BG14&lt;=4.5,BI14&lt;=0.8),(BI14+BH14)*BG14/2*AU14,"")</f>
        <v/>
      </c>
      <c r="BQ14" s="957" t="str">
        <f t="shared" ref="BQ14:BQ20" si="37">IF(AND(BG14&gt;3,BG14&lt;=4.5,BI14&gt;0.8,BI14&lt;=1.5),(BI14+BH14)*BG14/2*AU14,"")</f>
        <v/>
      </c>
      <c r="BR14" s="957" t="str">
        <f t="shared" ref="BR14:BR20" si="38">IF(AND(BG14&gt;3,BG14&lt;=4.5,BI14&gt;1.5),(BI14+BH14)*BG14/2*AU14,"")</f>
        <v/>
      </c>
      <c r="BS14" s="957" t="str">
        <f t="shared" ref="BS14:BS20" si="39">IF(AND(BG14&gt;4.5,BI14&lt;=0.8),(BI14+BH14)*BG14/2*AU14,"")</f>
        <v/>
      </c>
      <c r="BT14" s="957" t="str">
        <f t="shared" ref="BT14:BT20" si="40">IF(AND(BG14&gt;4.5,BI14&gt;0.8,BI14&lt;=1.5),(BI14+BH14)*BG14/2*AU14,"")</f>
        <v/>
      </c>
      <c r="BU14" s="957" t="str">
        <f t="shared" ref="BU14:BU20" si="41">IF(AND(BG14&gt;4.5,BI14&gt;1.5),(BI14+BH14)*BG14/2*AU14,"")</f>
        <v/>
      </c>
      <c r="BV14" s="957">
        <f t="shared" ref="BV14:BV20" si="42">PI()*(AY14/1000*1.21)^2/4*AU14</f>
        <v>19.456332551431053</v>
      </c>
      <c r="BW14" s="646">
        <v>0</v>
      </c>
      <c r="BX14" s="646">
        <v>0.3</v>
      </c>
      <c r="BY14" s="957">
        <f t="shared" ref="BY14:BY20" si="43">BW14*SUM(BJ14:BU14)</f>
        <v>0</v>
      </c>
      <c r="BZ14" s="957">
        <f t="shared" ref="BZ14:BZ19" si="44">MAX(BY14,BV14)*(1+BX14)</f>
        <v>25.293232316860369</v>
      </c>
      <c r="CA14" s="957" t="str">
        <f t="shared" ref="CA14:CA20" si="45">IF(BE14="Sem","",IF(AND(BG14&lt;=1.5,BI14&lt;=1.5),2*BG14*AU14,""))</f>
        <v/>
      </c>
      <c r="CB14" s="957" t="str">
        <f t="shared" ref="CB14:CB20" si="46">IF(BE14="Sem","",IF(AND(BG14&lt;=1.5,BI14&gt;1.5),2*BG14*AU14,""))</f>
        <v/>
      </c>
      <c r="CC14" s="957" t="str">
        <f t="shared" ref="CC14:CC20" si="47">IF(BE14="Sem","",IF(AND(BG14&gt;1.5,BG14&lt;=3,BI14&lt;=1.5),2*BG14*AU14,""))</f>
        <v/>
      </c>
      <c r="CD14" s="957">
        <f t="shared" ref="CD14:CD20" si="48">IF(BE14="Sem","",IF(AND(BG14&gt;1.5,BG14&lt;=3,BI14&gt;1.5),2*BG14*AU14,""))</f>
        <v>204.54399999999998</v>
      </c>
      <c r="CE14" s="957" t="str">
        <f t="shared" ref="CE14:CE20" si="49">IF(BE14="Sem","",IF(AND(BG14&gt;3,BI14&lt;=1.5),2*BG14*AU14,""))</f>
        <v/>
      </c>
      <c r="CF14" s="957" t="str">
        <f t="shared" ref="CF14:CF20" si="50">IF(BE14="Sem","",IF(AND(BG14&gt;3,BI14&gt;1.5),2*BG14*AU14,""))</f>
        <v/>
      </c>
      <c r="CG14" s="957" t="str">
        <f t="shared" ref="CG14:CG20" si="51">IF(BC14&lt;&gt;0,"",IF(BH14&lt;1.5,BH14*AU14,""))</f>
        <v/>
      </c>
      <c r="CH14" s="957" t="str">
        <f t="shared" ref="CH14:CH20" si="52">IF(BC14&lt;&gt;0,"",IF(BH14&gt;=1.5,BH14*AU14,""))</f>
        <v/>
      </c>
      <c r="CI14" s="1058" t="s">
        <v>785</v>
      </c>
      <c r="CJ14" s="957">
        <f t="shared" ref="CJ14:CJ20" si="53">IF(BC14=0,"",IF(BH14&lt;1.5,BC14*BH14*AU14,""))</f>
        <v>16.919999999999998</v>
      </c>
      <c r="CK14" s="957" t="str">
        <f t="shared" ref="CK14:CK19" si="54">IF(BC14=0,"",IF(BH14&gt;=1.5,BC14*BH14*AU14,""))</f>
        <v/>
      </c>
      <c r="CL14" s="960">
        <v>0.3</v>
      </c>
      <c r="CM14" s="957">
        <f t="shared" ref="CM14" si="55">SUM(CJ14:CK14)*(1+CL14)</f>
        <v>21.995999999999999</v>
      </c>
      <c r="CN14" s="957" t="str">
        <f t="shared" ref="CN14:CN20" si="56">IF(AND(BG14&lt;=1.5,BI14&lt;=0.8),SUM(BJ14:BU14)-BV14,"")</f>
        <v/>
      </c>
      <c r="CO14" s="957" t="str">
        <f t="shared" ref="CO14:CO20" si="57">IF(AND(BG14&lt;=1.5,BI14&gt;0.8,BI14&lt;=1.5),SUM(BJ14:BU14)-BV14,"")</f>
        <v/>
      </c>
      <c r="CP14" s="957" t="str">
        <f t="shared" ref="CP14:CP20" si="58">IF(AND(BG14&lt;=1.5,BI14&gt;1.5),SUM(BJ14:BU14)-BV14,"")</f>
        <v/>
      </c>
      <c r="CQ14" s="957" t="str">
        <f t="shared" ref="CQ14:CQ20" si="59">IF(AND(BG14&gt;1.5,BG14&lt;=3,BI14&lt;=0.8),SUM(BJ14:BU14)-BV14,"")</f>
        <v/>
      </c>
      <c r="CR14" s="957" t="str">
        <f t="shared" ref="CR14:CR20" si="60">IF(AND(BG14&gt;1.5,BG14&lt;=3,BI14&gt;0.8,BI14&lt;=1.5),SUM(BJ14:BU14)-BV14,"")</f>
        <v/>
      </c>
      <c r="CS14" s="957">
        <f t="shared" ref="CS14:CS20" si="61">IF(AND(BG14&gt;1.5,BG14&lt;=3,BI14&gt;1.5),SUM(BJ14:BU14)-BV14,"")</f>
        <v>158.90603544856893</v>
      </c>
      <c r="CT14" s="957" t="str">
        <f t="shared" ref="CT14:CT20" si="62">IF(AND(BG14&gt;3,BG14&lt;=4.5,BI14&lt;=0.8),SUM(BJ14:BU14)-BV14,"")</f>
        <v/>
      </c>
      <c r="CU14" s="957" t="str">
        <f t="shared" ref="CU14:CU20" si="63">IF(AND(BG14&gt;3,BG14&lt;=4.5,BI14&gt;0.8,BI14&lt;=1.5),SUM(BJ14:BU14)-BV14,"")</f>
        <v/>
      </c>
      <c r="CV14" s="957" t="str">
        <f t="shared" ref="CV14:CV20" si="64">IF(AND(BG14&gt;3,BG14&lt;=4.5,BI14&gt;1.5),SUM(BJ14:BU14)-BV14,"")</f>
        <v/>
      </c>
      <c r="CW14" s="957" t="str">
        <f t="shared" ref="CW14:CW20" si="65">IF(AND(BG14&gt;4.5,BI14&lt;=0.8),SUM(BJ14:BU14)-BV14,"")</f>
        <v/>
      </c>
      <c r="CX14" s="957" t="str">
        <f t="shared" ref="CX14:CX20" si="66">IF(AND(BG14&gt;4.5,BI14&gt;0.8,BI14&lt;=1.5),SUM(BJ14:BU14)-BV14,"")</f>
        <v/>
      </c>
      <c r="CY14" s="957" t="str">
        <f t="shared" ref="CY14:CY20" si="67">IF(AND(BG14&gt;4.5,BI14&gt;1.5),SUM(BJ14:BU14)-BV14,"")</f>
        <v/>
      </c>
      <c r="CZ14" s="961">
        <f>IFERROR(IF(AZ14="PA-1",HLOOKUP(AY14,$AV$27:$BF$28,2,FALSE)*AU14*AW14,AZ$28*AU14),0)</f>
        <v>14.711</v>
      </c>
      <c r="DA14" s="957">
        <f t="shared" ref="DA14:DA20" si="68">IF(AY14=400,AU14*AW14,0)</f>
        <v>0</v>
      </c>
      <c r="DB14" s="959">
        <f>IF($AY14=600,$AU14,0)</f>
        <v>47</v>
      </c>
      <c r="DC14" s="957">
        <f t="shared" ref="DC14:DC20" si="69">IF(AND($AY14=600,$AZ14="PEAD"),$AU14*AW14,0)</f>
        <v>0</v>
      </c>
      <c r="DD14" s="957">
        <f t="shared" ref="DD14:DD20" si="70">IF($AY14=800,$AU14*AW14,0)</f>
        <v>0</v>
      </c>
      <c r="DE14" s="957">
        <f t="shared" ref="DE14:DE20" si="71">IF($AY14=1000,$AU14*AW14,0)</f>
        <v>0</v>
      </c>
      <c r="DF14" s="962">
        <f t="shared" ref="DF14:DF20" si="72">IF($AY14=1200,$AU14*AW14,0)</f>
        <v>0</v>
      </c>
      <c r="DG14" s="963">
        <f t="shared" ref="DG14:DG20" si="73">IF($AY14=1500,$AU14*AW14,0)</f>
        <v>0</v>
      </c>
    </row>
    <row r="15" spans="1:111" ht="16.5" customHeight="1" x14ac:dyDescent="0.2">
      <c r="A15" s="1090"/>
      <c r="B15" s="939" t="s">
        <v>626</v>
      </c>
      <c r="C15" s="373">
        <v>118</v>
      </c>
      <c r="D15" s="940">
        <v>0.97</v>
      </c>
      <c r="E15" s="940">
        <f>E14+D15</f>
        <v>1.94</v>
      </c>
      <c r="F15" s="941">
        <v>0.6</v>
      </c>
      <c r="G15" s="941">
        <f t="shared" si="0"/>
        <v>0.90537758983374583</v>
      </c>
      <c r="H15" s="941">
        <f t="shared" si="1"/>
        <v>0.90537758983374583</v>
      </c>
      <c r="I15" s="941">
        <f t="shared" ref="I15:I19" si="74">0.0725*F15*((J15*M15)^(0.333333333333333))</f>
        <v>0.50420903849108678</v>
      </c>
      <c r="J15" s="940">
        <f t="shared" si="2"/>
        <v>253.93491527885632</v>
      </c>
      <c r="K15" s="941">
        <f t="shared" ref="K15:K19" si="75">2.78*G15*E15*I15*J15/1000</f>
        <v>0.6251860978351691</v>
      </c>
      <c r="L15" s="941">
        <v>0</v>
      </c>
      <c r="M15" s="941">
        <f>+M14+N14</f>
        <v>6.1325583597366231</v>
      </c>
      <c r="N15" s="941">
        <f t="shared" si="3"/>
        <v>0.56437525076691142</v>
      </c>
      <c r="O15" s="941">
        <f t="shared" si="4"/>
        <v>3.5180000000000291</v>
      </c>
      <c r="P15" s="942">
        <f t="shared" si="5"/>
        <v>2.9813559322034146E-2</v>
      </c>
      <c r="Q15" s="941">
        <f t="shared" si="6"/>
        <v>0.31259304891758455</v>
      </c>
      <c r="R15" s="941">
        <f t="shared" si="7"/>
        <v>3.4180000000000064</v>
      </c>
      <c r="S15" s="118">
        <f t="shared" si="8"/>
        <v>2.8966101694915307E-2</v>
      </c>
      <c r="T15" s="943">
        <f t="shared" ref="T15:T19" si="76">1.55*(K15*0.015/(P15)^(1/2))^(3/8)</f>
        <v>0.51989641131712494</v>
      </c>
      <c r="U15" s="944">
        <v>0</v>
      </c>
      <c r="V15" s="944">
        <v>0</v>
      </c>
      <c r="W15" s="945">
        <v>1</v>
      </c>
      <c r="X15" s="946"/>
      <c r="Y15" s="947">
        <v>0.6</v>
      </c>
      <c r="Z15" s="948">
        <f t="shared" si="9"/>
        <v>3.4846791456468487</v>
      </c>
      <c r="AA15" s="941">
        <f t="shared" si="10"/>
        <v>0.21207541372254576</v>
      </c>
      <c r="AB15" s="941">
        <f t="shared" si="11"/>
        <v>0.27760000000000001</v>
      </c>
      <c r="AC15" s="942">
        <f t="shared" si="12"/>
        <v>0.6</v>
      </c>
      <c r="AD15" s="941">
        <f t="shared" si="13"/>
        <v>0.36</v>
      </c>
      <c r="AE15" s="941">
        <f t="shared" si="14"/>
        <v>0.16656000000000001</v>
      </c>
      <c r="AF15" s="941">
        <f t="shared" si="15"/>
        <v>0.98846246450625197</v>
      </c>
      <c r="AG15" s="941">
        <f t="shared" si="16"/>
        <v>0</v>
      </c>
      <c r="AH15" s="948">
        <f t="shared" si="17"/>
        <v>0.98846246450625197</v>
      </c>
      <c r="AI15" s="949">
        <f>AJ14</f>
        <v>515.96900000000005</v>
      </c>
      <c r="AJ15" s="949">
        <v>512.55100000000004</v>
      </c>
      <c r="AK15" s="940">
        <f>AL14</f>
        <v>1.8</v>
      </c>
      <c r="AL15" s="940">
        <v>1.9</v>
      </c>
      <c r="AM15" s="950">
        <f t="shared" si="18"/>
        <v>514.1690000000001</v>
      </c>
      <c r="AN15" s="950">
        <f t="shared" si="18"/>
        <v>510.65100000000007</v>
      </c>
      <c r="AO15" s="941">
        <f t="shared" si="19"/>
        <v>514.52900000000011</v>
      </c>
      <c r="AP15" s="941">
        <f t="shared" si="20"/>
        <v>511.01100000000008</v>
      </c>
      <c r="AQ15" s="940">
        <f t="shared" si="21"/>
        <v>1.1369999999999436</v>
      </c>
      <c r="AR15" s="951">
        <f t="shared" si="22"/>
        <v>1.2369999999999663</v>
      </c>
      <c r="AS15" s="952"/>
      <c r="AT15" s="964" t="str">
        <f t="shared" si="23"/>
        <v>TR-02</v>
      </c>
      <c r="AU15" s="965">
        <f t="shared" si="23"/>
        <v>118</v>
      </c>
      <c r="AV15" s="966">
        <f>U15</f>
        <v>0</v>
      </c>
      <c r="AW15" s="966">
        <f>W15</f>
        <v>1</v>
      </c>
      <c r="AX15" s="966">
        <f>V15</f>
        <v>0</v>
      </c>
      <c r="AY15" s="966">
        <f>Y15*1000</f>
        <v>600</v>
      </c>
      <c r="AZ15" s="967" t="s">
        <v>222</v>
      </c>
      <c r="BA15" s="961">
        <f t="shared" si="24"/>
        <v>1.8</v>
      </c>
      <c r="BB15" s="961">
        <f t="shared" si="24"/>
        <v>1.9</v>
      </c>
      <c r="BC15" s="961">
        <v>0.3</v>
      </c>
      <c r="BD15" s="968">
        <v>4</v>
      </c>
      <c r="BE15" s="968" t="str">
        <f t="shared" si="25"/>
        <v>Com</v>
      </c>
      <c r="BF15" s="961">
        <f t="shared" si="26"/>
        <v>1.85</v>
      </c>
      <c r="BG15" s="961">
        <f t="shared" si="27"/>
        <v>2.2759999999999998</v>
      </c>
      <c r="BH15" s="961">
        <f t="shared" si="28"/>
        <v>1.2</v>
      </c>
      <c r="BI15" s="961">
        <f t="shared" si="29"/>
        <v>2.3380000000000001</v>
      </c>
      <c r="BJ15" s="961" t="str">
        <f t="shared" si="30"/>
        <v/>
      </c>
      <c r="BK15" s="961" t="str">
        <f t="shared" si="31"/>
        <v/>
      </c>
      <c r="BL15" s="961" t="str">
        <f t="shared" si="32"/>
        <v/>
      </c>
      <c r="BM15" s="961" t="str">
        <f t="shared" si="33"/>
        <v/>
      </c>
      <c r="BN15" s="961" t="str">
        <f t="shared" si="34"/>
        <v/>
      </c>
      <c r="BO15" s="961">
        <f t="shared" si="35"/>
        <v>475.09679199999999</v>
      </c>
      <c r="BP15" s="961" t="str">
        <f t="shared" si="36"/>
        <v/>
      </c>
      <c r="BQ15" s="961" t="str">
        <f t="shared" si="37"/>
        <v/>
      </c>
      <c r="BR15" s="961" t="str">
        <f t="shared" si="38"/>
        <v/>
      </c>
      <c r="BS15" s="961" t="str">
        <f t="shared" si="39"/>
        <v/>
      </c>
      <c r="BT15" s="961" t="str">
        <f t="shared" si="40"/>
        <v/>
      </c>
      <c r="BU15" s="961" t="str">
        <f t="shared" si="41"/>
        <v/>
      </c>
      <c r="BV15" s="961">
        <f t="shared" si="42"/>
        <v>48.847813639763068</v>
      </c>
      <c r="BW15" s="111">
        <v>0</v>
      </c>
      <c r="BX15" s="111">
        <v>0.3</v>
      </c>
      <c r="BY15" s="961">
        <f t="shared" si="43"/>
        <v>0</v>
      </c>
      <c r="BZ15" s="961">
        <f t="shared" si="44"/>
        <v>63.502157731691987</v>
      </c>
      <c r="CA15" s="961" t="str">
        <f t="shared" si="45"/>
        <v/>
      </c>
      <c r="CB15" s="961" t="str">
        <f t="shared" si="46"/>
        <v/>
      </c>
      <c r="CC15" s="961" t="str">
        <f t="shared" si="47"/>
        <v/>
      </c>
      <c r="CD15" s="961">
        <f t="shared" si="48"/>
        <v>537.13599999999997</v>
      </c>
      <c r="CE15" s="961" t="str">
        <f t="shared" si="49"/>
        <v/>
      </c>
      <c r="CF15" s="961" t="str">
        <f t="shared" si="50"/>
        <v/>
      </c>
      <c r="CG15" s="961" t="str">
        <f t="shared" si="51"/>
        <v/>
      </c>
      <c r="CH15" s="961" t="str">
        <f t="shared" si="52"/>
        <v/>
      </c>
      <c r="CI15" s="959" t="s">
        <v>785</v>
      </c>
      <c r="CJ15" s="961">
        <f t="shared" si="53"/>
        <v>42.48</v>
      </c>
      <c r="CK15" s="961" t="str">
        <f t="shared" si="54"/>
        <v/>
      </c>
      <c r="CL15" s="969">
        <v>0.3</v>
      </c>
      <c r="CM15" s="961">
        <f t="shared" ref="CM15:CM19" si="77">SUM(CJ15:CK15)*(1+CL15)</f>
        <v>55.223999999999997</v>
      </c>
      <c r="CN15" s="961" t="str">
        <f t="shared" si="56"/>
        <v/>
      </c>
      <c r="CO15" s="961" t="str">
        <f t="shared" si="57"/>
        <v/>
      </c>
      <c r="CP15" s="961" t="str">
        <f t="shared" si="58"/>
        <v/>
      </c>
      <c r="CQ15" s="961" t="str">
        <f t="shared" si="59"/>
        <v/>
      </c>
      <c r="CR15" s="961" t="str">
        <f t="shared" si="60"/>
        <v/>
      </c>
      <c r="CS15" s="961">
        <f t="shared" si="61"/>
        <v>426.24897836023695</v>
      </c>
      <c r="CT15" s="961" t="str">
        <f t="shared" si="62"/>
        <v/>
      </c>
      <c r="CU15" s="961" t="str">
        <f t="shared" si="63"/>
        <v/>
      </c>
      <c r="CV15" s="961" t="str">
        <f t="shared" si="64"/>
        <v/>
      </c>
      <c r="CW15" s="961" t="str">
        <f t="shared" si="65"/>
        <v/>
      </c>
      <c r="CX15" s="961" t="str">
        <f t="shared" si="66"/>
        <v/>
      </c>
      <c r="CY15" s="961" t="str">
        <f t="shared" si="67"/>
        <v/>
      </c>
      <c r="CZ15" s="961">
        <f>IFERROR(IF(AZ15="PA-1",HLOOKUP(AY15,$AV$27:$BF$28,2,FALSE)*AU15*AW15,AZ$28*AU15),0)</f>
        <v>36.933999999999997</v>
      </c>
      <c r="DA15" s="961">
        <f t="shared" si="68"/>
        <v>0</v>
      </c>
      <c r="DB15" s="959">
        <f t="shared" ref="DB15:DB20" si="78">IF($AY15=600,$AU15,0)</f>
        <v>118</v>
      </c>
      <c r="DC15" s="961">
        <f t="shared" si="69"/>
        <v>0</v>
      </c>
      <c r="DD15" s="961">
        <f t="shared" si="70"/>
        <v>0</v>
      </c>
      <c r="DE15" s="961">
        <f t="shared" si="71"/>
        <v>0</v>
      </c>
      <c r="DF15" s="970">
        <f t="shared" si="72"/>
        <v>0</v>
      </c>
      <c r="DG15" s="963">
        <f t="shared" si="73"/>
        <v>0</v>
      </c>
    </row>
    <row r="16" spans="1:111" ht="16.5" customHeight="1" x14ac:dyDescent="0.2">
      <c r="A16" s="1090"/>
      <c r="B16" s="939" t="s">
        <v>627</v>
      </c>
      <c r="C16" s="373">
        <v>58</v>
      </c>
      <c r="D16" s="940">
        <v>0.3</v>
      </c>
      <c r="E16" s="940">
        <f>E15+D16</f>
        <v>2.2399999999999998</v>
      </c>
      <c r="F16" s="941">
        <v>0.6</v>
      </c>
      <c r="G16" s="941">
        <f t="shared" si="0"/>
        <v>0.88605931835396934</v>
      </c>
      <c r="H16" s="941">
        <f t="shared" si="1"/>
        <v>0.88605931835396934</v>
      </c>
      <c r="I16" s="941">
        <f t="shared" si="74"/>
        <v>0.5150803054201557</v>
      </c>
      <c r="J16" s="940">
        <f t="shared" si="2"/>
        <v>247.90259284960442</v>
      </c>
      <c r="K16" s="941">
        <f t="shared" si="75"/>
        <v>0.70454968518667083</v>
      </c>
      <c r="L16" s="941">
        <v>0</v>
      </c>
      <c r="M16" s="941">
        <f t="shared" ref="M16:M17" si="79">+M15+N15</f>
        <v>6.6969336105035344</v>
      </c>
      <c r="N16" s="941">
        <f t="shared" si="3"/>
        <v>0.2406166241248949</v>
      </c>
      <c r="O16" s="941">
        <f t="shared" si="4"/>
        <v>2.3240000000000691</v>
      </c>
      <c r="P16" s="942">
        <f t="shared" si="5"/>
        <v>4.0068965517242573E-2</v>
      </c>
      <c r="Q16" s="941">
        <f t="shared" si="6"/>
        <v>9.4359332837500573E-2</v>
      </c>
      <c r="R16" s="941">
        <f t="shared" si="7"/>
        <v>2.424000000000035</v>
      </c>
      <c r="S16" s="118">
        <f t="shared" si="8"/>
        <v>4.1793103448276463E-2</v>
      </c>
      <c r="T16" s="943">
        <f t="shared" si="76"/>
        <v>0.51440627222058788</v>
      </c>
      <c r="U16" s="944">
        <v>0</v>
      </c>
      <c r="V16" s="944">
        <v>0</v>
      </c>
      <c r="W16" s="945">
        <v>1</v>
      </c>
      <c r="X16" s="946"/>
      <c r="Y16" s="947">
        <v>0.6</v>
      </c>
      <c r="Z16" s="948">
        <f t="shared" si="9"/>
        <v>4.0174558602605401</v>
      </c>
      <c r="AA16" s="941">
        <f t="shared" si="10"/>
        <v>0.20615576536089963</v>
      </c>
      <c r="AB16" s="941">
        <f t="shared" si="11"/>
        <v>0.27529999999999999</v>
      </c>
      <c r="AC16" s="942">
        <f t="shared" si="12"/>
        <v>0.59</v>
      </c>
      <c r="AD16" s="941">
        <f t="shared" si="13"/>
        <v>0.35399999999999998</v>
      </c>
      <c r="AE16" s="941">
        <f t="shared" si="14"/>
        <v>0.16517999999999999</v>
      </c>
      <c r="AF16" s="941">
        <f t="shared" si="15"/>
        <v>1.1459280056573384</v>
      </c>
      <c r="AG16" s="941">
        <f t="shared" si="16"/>
        <v>0</v>
      </c>
      <c r="AH16" s="948">
        <f t="shared" si="17"/>
        <v>1.1459280056573384</v>
      </c>
      <c r="AI16" s="949">
        <f>AJ15</f>
        <v>512.55100000000004</v>
      </c>
      <c r="AJ16" s="949">
        <v>510.12700000000001</v>
      </c>
      <c r="AK16" s="940">
        <f>AL15</f>
        <v>1.9</v>
      </c>
      <c r="AL16" s="940">
        <v>1.8</v>
      </c>
      <c r="AM16" s="950">
        <f t="shared" si="18"/>
        <v>510.65100000000007</v>
      </c>
      <c r="AN16" s="950">
        <f t="shared" si="18"/>
        <v>508.327</v>
      </c>
      <c r="AO16" s="941">
        <f t="shared" si="19"/>
        <v>511.00500000000005</v>
      </c>
      <c r="AP16" s="941">
        <f t="shared" si="20"/>
        <v>508.68099999999998</v>
      </c>
      <c r="AQ16" s="940">
        <f t="shared" si="21"/>
        <v>1.2369999999999663</v>
      </c>
      <c r="AR16" s="951">
        <f t="shared" si="22"/>
        <v>1.1370000000000005</v>
      </c>
      <c r="AS16" s="952"/>
      <c r="AT16" s="964" t="str">
        <f t="shared" si="23"/>
        <v>TR-03</v>
      </c>
      <c r="AU16" s="965">
        <f t="shared" si="23"/>
        <v>58</v>
      </c>
      <c r="AV16" s="966">
        <f>U16</f>
        <v>0</v>
      </c>
      <c r="AW16" s="966">
        <f>W16</f>
        <v>1</v>
      </c>
      <c r="AX16" s="966">
        <f>V16</f>
        <v>0</v>
      </c>
      <c r="AY16" s="966">
        <f>Y16*1000</f>
        <v>600</v>
      </c>
      <c r="AZ16" s="967" t="s">
        <v>222</v>
      </c>
      <c r="BA16" s="961">
        <f t="shared" si="24"/>
        <v>1.9</v>
      </c>
      <c r="BB16" s="961">
        <f t="shared" si="24"/>
        <v>1.8</v>
      </c>
      <c r="BC16" s="961">
        <v>0.3</v>
      </c>
      <c r="BD16" s="968">
        <v>4</v>
      </c>
      <c r="BE16" s="968" t="str">
        <f t="shared" si="25"/>
        <v>Com</v>
      </c>
      <c r="BF16" s="961">
        <f t="shared" si="26"/>
        <v>1.85</v>
      </c>
      <c r="BG16" s="961">
        <f t="shared" si="27"/>
        <v>2.2759999999999998</v>
      </c>
      <c r="BH16" s="961">
        <f t="shared" si="28"/>
        <v>1.2</v>
      </c>
      <c r="BI16" s="961">
        <f t="shared" si="29"/>
        <v>2.3380000000000001</v>
      </c>
      <c r="BJ16" s="961" t="str">
        <f t="shared" si="30"/>
        <v/>
      </c>
      <c r="BK16" s="961" t="str">
        <f t="shared" si="31"/>
        <v/>
      </c>
      <c r="BL16" s="961" t="str">
        <f t="shared" si="32"/>
        <v/>
      </c>
      <c r="BM16" s="961" t="str">
        <f t="shared" si="33"/>
        <v/>
      </c>
      <c r="BN16" s="961" t="str">
        <f t="shared" si="34"/>
        <v/>
      </c>
      <c r="BO16" s="961">
        <f t="shared" si="35"/>
        <v>233.52215200000001</v>
      </c>
      <c r="BP16" s="961" t="str">
        <f t="shared" si="36"/>
        <v/>
      </c>
      <c r="BQ16" s="961" t="str">
        <f t="shared" si="37"/>
        <v/>
      </c>
      <c r="BR16" s="961" t="str">
        <f t="shared" si="38"/>
        <v/>
      </c>
      <c r="BS16" s="961" t="str">
        <f t="shared" si="39"/>
        <v/>
      </c>
      <c r="BT16" s="961" t="str">
        <f t="shared" si="40"/>
        <v/>
      </c>
      <c r="BU16" s="961" t="str">
        <f t="shared" si="41"/>
        <v/>
      </c>
      <c r="BV16" s="961">
        <f t="shared" si="42"/>
        <v>24.009942297510658</v>
      </c>
      <c r="BW16" s="111">
        <v>0</v>
      </c>
      <c r="BX16" s="111">
        <v>0.3</v>
      </c>
      <c r="BY16" s="961">
        <f t="shared" si="43"/>
        <v>0</v>
      </c>
      <c r="BZ16" s="961">
        <f t="shared" si="44"/>
        <v>31.212924986763856</v>
      </c>
      <c r="CA16" s="961" t="str">
        <f t="shared" si="45"/>
        <v/>
      </c>
      <c r="CB16" s="961" t="str">
        <f t="shared" si="46"/>
        <v/>
      </c>
      <c r="CC16" s="961" t="str">
        <f t="shared" si="47"/>
        <v/>
      </c>
      <c r="CD16" s="961">
        <f t="shared" si="48"/>
        <v>264.01599999999996</v>
      </c>
      <c r="CE16" s="961" t="str">
        <f t="shared" si="49"/>
        <v/>
      </c>
      <c r="CF16" s="961" t="str">
        <f t="shared" si="50"/>
        <v/>
      </c>
      <c r="CG16" s="961" t="str">
        <f t="shared" si="51"/>
        <v/>
      </c>
      <c r="CH16" s="961" t="str">
        <f t="shared" si="52"/>
        <v/>
      </c>
      <c r="CI16" s="959" t="s">
        <v>785</v>
      </c>
      <c r="CJ16" s="961">
        <f t="shared" si="53"/>
        <v>20.88</v>
      </c>
      <c r="CK16" s="961" t="str">
        <f t="shared" si="54"/>
        <v/>
      </c>
      <c r="CL16" s="969">
        <v>0.3</v>
      </c>
      <c r="CM16" s="961">
        <f t="shared" si="77"/>
        <v>27.143999999999998</v>
      </c>
      <c r="CN16" s="961" t="str">
        <f t="shared" si="56"/>
        <v/>
      </c>
      <c r="CO16" s="961" t="str">
        <f t="shared" si="57"/>
        <v/>
      </c>
      <c r="CP16" s="961" t="str">
        <f t="shared" si="58"/>
        <v/>
      </c>
      <c r="CQ16" s="961" t="str">
        <f t="shared" si="59"/>
        <v/>
      </c>
      <c r="CR16" s="961" t="str">
        <f t="shared" si="60"/>
        <v/>
      </c>
      <c r="CS16" s="961">
        <f t="shared" si="61"/>
        <v>209.51220970248934</v>
      </c>
      <c r="CT16" s="961" t="str">
        <f t="shared" si="62"/>
        <v/>
      </c>
      <c r="CU16" s="961" t="str">
        <f t="shared" si="63"/>
        <v/>
      </c>
      <c r="CV16" s="961" t="str">
        <f t="shared" si="64"/>
        <v/>
      </c>
      <c r="CW16" s="961" t="str">
        <f t="shared" si="65"/>
        <v/>
      </c>
      <c r="CX16" s="961" t="str">
        <f t="shared" si="66"/>
        <v/>
      </c>
      <c r="CY16" s="961" t="str">
        <f t="shared" si="67"/>
        <v/>
      </c>
      <c r="CZ16" s="961">
        <f>IFERROR(IF(AZ16="PA-1",HLOOKUP(AY16,$AV$27:$BF$28,2,FALSE)*AU16*AW16,AZ$28*AU16),0)</f>
        <v>18.154</v>
      </c>
      <c r="DA16" s="961">
        <f t="shared" si="68"/>
        <v>0</v>
      </c>
      <c r="DB16" s="959">
        <f t="shared" si="78"/>
        <v>58</v>
      </c>
      <c r="DC16" s="961">
        <f t="shared" si="69"/>
        <v>0</v>
      </c>
      <c r="DD16" s="961">
        <f t="shared" si="70"/>
        <v>0</v>
      </c>
      <c r="DE16" s="961">
        <f t="shared" si="71"/>
        <v>0</v>
      </c>
      <c r="DF16" s="970">
        <f t="shared" si="72"/>
        <v>0</v>
      </c>
      <c r="DG16" s="963">
        <f t="shared" si="73"/>
        <v>0</v>
      </c>
    </row>
    <row r="17" spans="1:111" ht="16.5" hidden="1" customHeight="1" x14ac:dyDescent="0.2">
      <c r="A17" s="1090"/>
      <c r="B17" s="939" t="s">
        <v>628</v>
      </c>
      <c r="C17" s="373">
        <v>57</v>
      </c>
      <c r="D17" s="940">
        <v>0.28999999999999998</v>
      </c>
      <c r="E17" s="940">
        <f>E16+D17</f>
        <v>2.5299999999999998</v>
      </c>
      <c r="F17" s="941">
        <v>1.6</v>
      </c>
      <c r="G17" s="941">
        <f t="shared" si="0"/>
        <v>0.87002537994284523</v>
      </c>
      <c r="H17" s="941">
        <f t="shared" si="1"/>
        <v>0.87002537994284523</v>
      </c>
      <c r="I17" s="941">
        <f t="shared" si="74"/>
        <v>1.3851604656969394</v>
      </c>
      <c r="J17" s="940">
        <f t="shared" si="2"/>
        <v>245.42576569923551</v>
      </c>
      <c r="K17" s="941">
        <f t="shared" si="75"/>
        <v>2.0802593431565017</v>
      </c>
      <c r="L17" s="941">
        <v>1</v>
      </c>
      <c r="M17" s="941">
        <f t="shared" si="79"/>
        <v>6.9375502346284295</v>
      </c>
      <c r="N17" s="941">
        <f t="shared" si="3"/>
        <v>0.20480342902956675</v>
      </c>
      <c r="O17" s="941">
        <f t="shared" si="4"/>
        <v>1.8169999999999504</v>
      </c>
      <c r="P17" s="942">
        <f t="shared" si="5"/>
        <v>3.1877192982455269E-2</v>
      </c>
      <c r="Q17" s="941">
        <f t="shared" si="6"/>
        <v>0.23844869941319591</v>
      </c>
      <c r="R17" s="941">
        <f t="shared" si="7"/>
        <v>0.71699999999998454</v>
      </c>
      <c r="S17" s="118">
        <f t="shared" si="8"/>
        <v>1.2578947368420782E-2</v>
      </c>
      <c r="T17" s="943">
        <f t="shared" si="76"/>
        <v>0.80585603442880727</v>
      </c>
      <c r="U17" s="944">
        <v>0</v>
      </c>
      <c r="V17" s="944">
        <v>0</v>
      </c>
      <c r="W17" s="945">
        <v>1</v>
      </c>
      <c r="X17" s="946"/>
      <c r="Y17" s="947">
        <v>0.8</v>
      </c>
      <c r="Z17" s="948">
        <f t="shared" si="9"/>
        <v>4.6385942095864605</v>
      </c>
      <c r="AA17" s="941">
        <f t="shared" si="10"/>
        <v>0.31688042060166244</v>
      </c>
      <c r="AB17" s="941">
        <f t="shared" si="11"/>
        <v>0.30409999999999998</v>
      </c>
      <c r="AC17" s="942">
        <f t="shared" si="12"/>
        <v>0.83</v>
      </c>
      <c r="AD17" s="941">
        <f t="shared" si="13"/>
        <v>0.66400000000000003</v>
      </c>
      <c r="AE17" s="941">
        <f t="shared" si="14"/>
        <v>0.24328</v>
      </c>
      <c r="AF17" s="941">
        <f t="shared" si="15"/>
        <v>2.201219079203768</v>
      </c>
      <c r="AG17" s="941">
        <f t="shared" si="16"/>
        <v>0</v>
      </c>
      <c r="AH17" s="948">
        <f t="shared" si="17"/>
        <v>2.201219079203768</v>
      </c>
      <c r="AI17" s="949">
        <f>AJ16</f>
        <v>510.12700000000001</v>
      </c>
      <c r="AJ17" s="949">
        <v>509.41</v>
      </c>
      <c r="AK17" s="940">
        <v>1.8</v>
      </c>
      <c r="AL17" s="940">
        <v>2.9</v>
      </c>
      <c r="AM17" s="950">
        <f t="shared" si="18"/>
        <v>508.327</v>
      </c>
      <c r="AN17" s="950">
        <f t="shared" si="18"/>
        <v>506.51000000000005</v>
      </c>
      <c r="AO17" s="941">
        <f t="shared" si="19"/>
        <v>508.99099999999999</v>
      </c>
      <c r="AP17" s="941">
        <f t="shared" si="20"/>
        <v>507.17400000000004</v>
      </c>
      <c r="AQ17" s="940">
        <f t="shared" si="21"/>
        <v>0.91599999999999682</v>
      </c>
      <c r="AR17" s="951">
        <f t="shared" si="22"/>
        <v>2.0159999999999627</v>
      </c>
      <c r="AS17" s="952"/>
      <c r="AT17" s="964"/>
      <c r="AU17" s="965"/>
      <c r="AV17" s="966"/>
      <c r="AW17" s="966"/>
      <c r="AX17" s="966"/>
      <c r="AY17" s="966"/>
      <c r="AZ17" s="967"/>
      <c r="BA17" s="961"/>
      <c r="BB17" s="961"/>
      <c r="BC17" s="961"/>
      <c r="BD17" s="968"/>
      <c r="BE17" s="968"/>
      <c r="BF17" s="961"/>
      <c r="BG17" s="961"/>
      <c r="BH17" s="961"/>
      <c r="BI17" s="961"/>
      <c r="BJ17" s="961"/>
      <c r="BK17" s="961"/>
      <c r="BL17" s="961"/>
      <c r="BM17" s="961"/>
      <c r="BN17" s="961"/>
      <c r="BO17" s="961"/>
      <c r="BP17" s="961"/>
      <c r="BQ17" s="961"/>
      <c r="BR17" s="961"/>
      <c r="BS17" s="961"/>
      <c r="BT17" s="961"/>
      <c r="BU17" s="961"/>
      <c r="BV17" s="961"/>
      <c r="BW17" s="111"/>
      <c r="BX17" s="111"/>
      <c r="BY17" s="961"/>
      <c r="BZ17" s="961"/>
      <c r="CA17" s="961"/>
      <c r="CB17" s="961"/>
      <c r="CC17" s="961"/>
      <c r="CD17" s="961"/>
      <c r="CE17" s="961"/>
      <c r="CF17" s="961"/>
      <c r="CG17" s="961"/>
      <c r="CH17" s="961"/>
      <c r="CI17" s="959" t="s">
        <v>785</v>
      </c>
      <c r="CJ17" s="961"/>
      <c r="CK17" s="961"/>
      <c r="CL17" s="969"/>
      <c r="CM17" s="961"/>
      <c r="CN17" s="961"/>
      <c r="CO17" s="961"/>
      <c r="CP17" s="961"/>
      <c r="CQ17" s="961"/>
      <c r="CR17" s="961"/>
      <c r="CS17" s="961"/>
      <c r="CT17" s="961"/>
      <c r="CU17" s="961"/>
      <c r="CV17" s="961"/>
      <c r="CW17" s="961"/>
      <c r="CX17" s="961"/>
      <c r="CY17" s="961"/>
      <c r="CZ17" s="961"/>
      <c r="DA17" s="961"/>
      <c r="DB17" s="959"/>
      <c r="DC17" s="961"/>
      <c r="DD17" s="961"/>
      <c r="DE17" s="961"/>
      <c r="DF17" s="970"/>
      <c r="DG17" s="963"/>
    </row>
    <row r="18" spans="1:111" ht="16.5" customHeight="1" x14ac:dyDescent="0.2">
      <c r="A18" s="1090"/>
      <c r="B18" s="939" t="s">
        <v>628</v>
      </c>
      <c r="C18" s="373">
        <v>16</v>
      </c>
      <c r="D18" s="940">
        <v>0.19</v>
      </c>
      <c r="E18" s="940">
        <f>E16+D18</f>
        <v>2.4299999999999997</v>
      </c>
      <c r="F18" s="941">
        <v>0.6</v>
      </c>
      <c r="G18" s="941">
        <f t="shared" si="0"/>
        <v>0.87530429391799125</v>
      </c>
      <c r="H18" s="941">
        <f t="shared" si="1"/>
        <v>0.87530429391799125</v>
      </c>
      <c r="I18" s="941">
        <f t="shared" si="74"/>
        <v>0.51943517463635236</v>
      </c>
      <c r="J18" s="940">
        <f t="shared" si="2"/>
        <v>245.42576569923551</v>
      </c>
      <c r="K18" s="941">
        <f t="shared" si="75"/>
        <v>0.75380955576388986</v>
      </c>
      <c r="L18" s="941">
        <v>0</v>
      </c>
      <c r="M18" s="941">
        <f>+M16+N16</f>
        <v>6.9375502346284295</v>
      </c>
      <c r="N18" s="941">
        <f t="shared" si="3"/>
        <v>0.12005279922157849</v>
      </c>
      <c r="O18" s="941">
        <f t="shared" si="4"/>
        <v>0.12800000000004275</v>
      </c>
      <c r="P18" s="942">
        <f t="shared" si="5"/>
        <v>8.0000000000026716E-3</v>
      </c>
      <c r="Q18" s="941">
        <f t="shared" si="6"/>
        <v>5.8939841808699212E-2</v>
      </c>
      <c r="R18" s="941">
        <f t="shared" si="7"/>
        <v>-0.17199999999996862</v>
      </c>
      <c r="S18" s="118">
        <f t="shared" si="8"/>
        <v>-1.0749999999998039E-2</v>
      </c>
      <c r="T18" s="943">
        <f t="shared" si="76"/>
        <v>0.71369008316130522</v>
      </c>
      <c r="U18" s="944">
        <v>0</v>
      </c>
      <c r="V18" s="944">
        <v>0</v>
      </c>
      <c r="W18" s="945">
        <v>1</v>
      </c>
      <c r="X18" s="946"/>
      <c r="Y18" s="947">
        <v>0.8</v>
      </c>
      <c r="Z18" s="948">
        <f t="shared" si="9"/>
        <v>2.2212448888799883</v>
      </c>
      <c r="AA18" s="941">
        <f t="shared" si="10"/>
        <v>0.2292105511540195</v>
      </c>
      <c r="AB18" s="941">
        <f t="shared" si="11"/>
        <v>0.28420000000000001</v>
      </c>
      <c r="AC18" s="942">
        <f t="shared" si="12"/>
        <v>0.63</v>
      </c>
      <c r="AD18" s="941">
        <f t="shared" si="13"/>
        <v>0.504</v>
      </c>
      <c r="AE18" s="941">
        <f t="shared" si="14"/>
        <v>0.22736000000000001</v>
      </c>
      <c r="AF18" s="941">
        <f t="shared" si="15"/>
        <v>1.1027275530462597</v>
      </c>
      <c r="AG18" s="941">
        <f t="shared" si="16"/>
        <v>0</v>
      </c>
      <c r="AH18" s="948">
        <f t="shared" si="17"/>
        <v>1.1027275530462597</v>
      </c>
      <c r="AI18" s="949">
        <f>AJ17</f>
        <v>509.41</v>
      </c>
      <c r="AJ18" s="949">
        <v>509.58199999999999</v>
      </c>
      <c r="AK18" s="940">
        <v>2.9</v>
      </c>
      <c r="AL18" s="940">
        <v>3.2</v>
      </c>
      <c r="AM18" s="950">
        <f t="shared" si="18"/>
        <v>506.51000000000005</v>
      </c>
      <c r="AN18" s="950">
        <f t="shared" si="18"/>
        <v>506.38200000000001</v>
      </c>
      <c r="AO18" s="941">
        <f t="shared" si="19"/>
        <v>507.01400000000007</v>
      </c>
      <c r="AP18" s="941">
        <f t="shared" si="20"/>
        <v>506.88600000000002</v>
      </c>
      <c r="AQ18" s="940">
        <f t="shared" si="21"/>
        <v>2.0159999999999627</v>
      </c>
      <c r="AR18" s="951">
        <f t="shared" si="22"/>
        <v>2.3159999999999741</v>
      </c>
      <c r="AS18" s="952"/>
      <c r="AT18" s="964" t="str">
        <f>B18</f>
        <v>TR-04</v>
      </c>
      <c r="AU18" s="965">
        <f>C18</f>
        <v>16</v>
      </c>
      <c r="AV18" s="966">
        <f>U18</f>
        <v>0</v>
      </c>
      <c r="AW18" s="966">
        <f>W18</f>
        <v>1</v>
      </c>
      <c r="AX18" s="966">
        <f>V18</f>
        <v>0</v>
      </c>
      <c r="AY18" s="966">
        <f>Y18*1000</f>
        <v>800</v>
      </c>
      <c r="AZ18" s="967" t="s">
        <v>222</v>
      </c>
      <c r="BA18" s="961">
        <f>AK18</f>
        <v>2.9</v>
      </c>
      <c r="BB18" s="961">
        <f>AL18</f>
        <v>3.2</v>
      </c>
      <c r="BC18" s="961">
        <v>0.3</v>
      </c>
      <c r="BD18" s="968">
        <v>4</v>
      </c>
      <c r="BE18" s="968" t="str">
        <f t="shared" si="25"/>
        <v>Com</v>
      </c>
      <c r="BF18" s="961">
        <f t="shared" si="26"/>
        <v>3.05</v>
      </c>
      <c r="BG18" s="961">
        <f t="shared" si="27"/>
        <v>3.5179999999999998</v>
      </c>
      <c r="BH18" s="961">
        <f t="shared" si="28"/>
        <v>1.6</v>
      </c>
      <c r="BI18" s="961">
        <f t="shared" si="29"/>
        <v>3.359</v>
      </c>
      <c r="BJ18" s="961" t="str">
        <f t="shared" si="30"/>
        <v/>
      </c>
      <c r="BK18" s="961" t="str">
        <f t="shared" si="31"/>
        <v/>
      </c>
      <c r="BL18" s="961" t="str">
        <f t="shared" si="32"/>
        <v/>
      </c>
      <c r="BM18" s="961" t="str">
        <f t="shared" si="33"/>
        <v/>
      </c>
      <c r="BN18" s="961" t="str">
        <f t="shared" si="34"/>
        <v/>
      </c>
      <c r="BO18" s="961" t="str">
        <f t="shared" si="35"/>
        <v/>
      </c>
      <c r="BP18" s="961" t="str">
        <f t="shared" si="36"/>
        <v/>
      </c>
      <c r="BQ18" s="961" t="str">
        <f t="shared" si="37"/>
        <v/>
      </c>
      <c r="BR18" s="961">
        <f t="shared" si="38"/>
        <v>139.56609599999999</v>
      </c>
      <c r="BS18" s="961" t="str">
        <f t="shared" si="39"/>
        <v/>
      </c>
      <c r="BT18" s="961" t="str">
        <f t="shared" si="40"/>
        <v/>
      </c>
      <c r="BU18" s="961" t="str">
        <f t="shared" si="41"/>
        <v/>
      </c>
      <c r="BV18" s="961">
        <f t="shared" si="42"/>
        <v>11.774990858549289</v>
      </c>
      <c r="BW18" s="111">
        <v>0</v>
      </c>
      <c r="BX18" s="111">
        <v>0.3</v>
      </c>
      <c r="BY18" s="961">
        <f t="shared" si="43"/>
        <v>0</v>
      </c>
      <c r="BZ18" s="961">
        <f t="shared" si="44"/>
        <v>15.307488116114076</v>
      </c>
      <c r="CA18" s="961" t="str">
        <f t="shared" si="45"/>
        <v/>
      </c>
      <c r="CB18" s="961" t="str">
        <f t="shared" si="46"/>
        <v/>
      </c>
      <c r="CC18" s="961" t="str">
        <f t="shared" si="47"/>
        <v/>
      </c>
      <c r="CD18" s="961" t="str">
        <f t="shared" si="48"/>
        <v/>
      </c>
      <c r="CE18" s="961" t="str">
        <f t="shared" si="49"/>
        <v/>
      </c>
      <c r="CF18" s="961">
        <f t="shared" si="50"/>
        <v>112.57599999999999</v>
      </c>
      <c r="CG18" s="961" t="str">
        <f t="shared" si="51"/>
        <v/>
      </c>
      <c r="CH18" s="961" t="str">
        <f t="shared" si="52"/>
        <v/>
      </c>
      <c r="CI18" s="959" t="s">
        <v>785</v>
      </c>
      <c r="CJ18" s="961" t="str">
        <f t="shared" si="53"/>
        <v/>
      </c>
      <c r="CK18" s="961">
        <f t="shared" si="54"/>
        <v>7.68</v>
      </c>
      <c r="CL18" s="969">
        <v>0.3</v>
      </c>
      <c r="CM18" s="961">
        <f t="shared" si="77"/>
        <v>9.984</v>
      </c>
      <c r="CN18" s="961" t="str">
        <f t="shared" si="56"/>
        <v/>
      </c>
      <c r="CO18" s="961" t="str">
        <f t="shared" si="57"/>
        <v/>
      </c>
      <c r="CP18" s="961" t="str">
        <f t="shared" si="58"/>
        <v/>
      </c>
      <c r="CQ18" s="961" t="str">
        <f t="shared" si="59"/>
        <v/>
      </c>
      <c r="CR18" s="961" t="str">
        <f t="shared" si="60"/>
        <v/>
      </c>
      <c r="CS18" s="961" t="str">
        <f t="shared" si="61"/>
        <v/>
      </c>
      <c r="CT18" s="961" t="str">
        <f t="shared" si="62"/>
        <v/>
      </c>
      <c r="CU18" s="961" t="str">
        <f t="shared" si="63"/>
        <v/>
      </c>
      <c r="CV18" s="961">
        <f t="shared" si="64"/>
        <v>127.7911051414507</v>
      </c>
      <c r="CW18" s="961" t="str">
        <f t="shared" si="65"/>
        <v/>
      </c>
      <c r="CX18" s="961" t="str">
        <f t="shared" si="66"/>
        <v/>
      </c>
      <c r="CY18" s="961" t="str">
        <f t="shared" si="67"/>
        <v/>
      </c>
      <c r="CZ18" s="961">
        <f>IFERROR(IF(AZ18="PA-1",HLOOKUP(AY18,$AV$27:$BF$28,2,FALSE)*AU18*AW18,AZ$28*AU18),0)</f>
        <v>6.88</v>
      </c>
      <c r="DA18" s="961">
        <f t="shared" si="68"/>
        <v>0</v>
      </c>
      <c r="DB18" s="959">
        <f t="shared" si="78"/>
        <v>0</v>
      </c>
      <c r="DC18" s="961">
        <f t="shared" si="69"/>
        <v>0</v>
      </c>
      <c r="DD18" s="961">
        <f t="shared" si="70"/>
        <v>16</v>
      </c>
      <c r="DE18" s="961">
        <f t="shared" si="71"/>
        <v>0</v>
      </c>
      <c r="DF18" s="970">
        <f t="shared" si="72"/>
        <v>0</v>
      </c>
      <c r="DG18" s="963">
        <f t="shared" si="73"/>
        <v>0</v>
      </c>
    </row>
    <row r="19" spans="1:111" ht="16.5" customHeight="1" thickBot="1" x14ac:dyDescent="0.25">
      <c r="A19" s="1090"/>
      <c r="B19" s="1066" t="s">
        <v>629</v>
      </c>
      <c r="C19" s="374">
        <v>124</v>
      </c>
      <c r="D19" s="1067">
        <v>0.67</v>
      </c>
      <c r="E19" s="1067">
        <f>E18</f>
        <v>2.4299999999999997</v>
      </c>
      <c r="F19" s="1068">
        <v>0.6</v>
      </c>
      <c r="G19" s="1068">
        <f t="shared" si="0"/>
        <v>0.87530429391799125</v>
      </c>
      <c r="H19" s="1068">
        <f t="shared" si="1"/>
        <v>0.87530429391799125</v>
      </c>
      <c r="I19" s="1068">
        <f t="shared" si="74"/>
        <v>0.52155044764439418</v>
      </c>
      <c r="J19" s="1067">
        <f t="shared" si="2"/>
        <v>244.21029570236857</v>
      </c>
      <c r="K19" s="1068">
        <f t="shared" si="75"/>
        <v>0.7531308201273218</v>
      </c>
      <c r="L19" s="1068">
        <v>0</v>
      </c>
      <c r="M19" s="1068">
        <f>+M18+N18</f>
        <v>7.0576030338500075</v>
      </c>
      <c r="N19" s="1068">
        <f t="shared" si="3"/>
        <v>0.89997473099579561</v>
      </c>
      <c r="O19" s="1068">
        <f t="shared" si="4"/>
        <v>1.0819999999999936</v>
      </c>
      <c r="P19" s="1069">
        <f t="shared" si="5"/>
        <v>8.7258064516128522E-3</v>
      </c>
      <c r="Q19" s="1068">
        <f t="shared" si="6"/>
        <v>0.20765335369765667</v>
      </c>
      <c r="R19" s="1068">
        <f t="shared" si="7"/>
        <v>1.0819999999999936</v>
      </c>
      <c r="S19" s="123">
        <f t="shared" si="8"/>
        <v>8.7258064516128522E-3</v>
      </c>
      <c r="T19" s="1070">
        <f t="shared" si="76"/>
        <v>0.70192592431799605</v>
      </c>
      <c r="U19" s="1071">
        <v>0</v>
      </c>
      <c r="V19" s="1071">
        <v>0</v>
      </c>
      <c r="W19" s="1072">
        <v>1</v>
      </c>
      <c r="X19" s="1073"/>
      <c r="Y19" s="1074">
        <v>0.8</v>
      </c>
      <c r="Z19" s="1075">
        <f t="shared" si="9"/>
        <v>2.2963607704629228</v>
      </c>
      <c r="AA19" s="1068">
        <f t="shared" si="10"/>
        <v>0.21927321942039457</v>
      </c>
      <c r="AB19" s="1068">
        <f t="shared" si="11"/>
        <v>0.27989999999999998</v>
      </c>
      <c r="AC19" s="1069">
        <f t="shared" si="12"/>
        <v>0.61</v>
      </c>
      <c r="AD19" s="1068">
        <f t="shared" si="13"/>
        <v>0.48799999999999999</v>
      </c>
      <c r="AE19" s="1068">
        <f t="shared" si="14"/>
        <v>0.22392000000000001</v>
      </c>
      <c r="AF19" s="1068">
        <f t="shared" si="15"/>
        <v>1.1516646073408889</v>
      </c>
      <c r="AG19" s="1068">
        <f t="shared" si="16"/>
        <v>0</v>
      </c>
      <c r="AH19" s="1075">
        <f t="shared" si="17"/>
        <v>1.1516646073408889</v>
      </c>
      <c r="AI19" s="1076">
        <f>AJ18</f>
        <v>509.58199999999999</v>
      </c>
      <c r="AJ19" s="1076">
        <v>508.5</v>
      </c>
      <c r="AK19" s="1067">
        <f>AL18</f>
        <v>3.2</v>
      </c>
      <c r="AL19" s="1067">
        <v>3.2</v>
      </c>
      <c r="AM19" s="1077">
        <f t="shared" si="18"/>
        <v>506.38200000000001</v>
      </c>
      <c r="AN19" s="1077">
        <f t="shared" si="18"/>
        <v>505.3</v>
      </c>
      <c r="AO19" s="1068">
        <f t="shared" si="19"/>
        <v>506.87</v>
      </c>
      <c r="AP19" s="1068">
        <f t="shared" si="20"/>
        <v>505.78800000000001</v>
      </c>
      <c r="AQ19" s="1067">
        <f t="shared" si="21"/>
        <v>2.3159999999999741</v>
      </c>
      <c r="AR19" s="1078">
        <f t="shared" si="22"/>
        <v>2.3159999999999741</v>
      </c>
      <c r="AS19" s="952"/>
      <c r="AT19" s="964" t="str">
        <f>B19</f>
        <v>TR-05</v>
      </c>
      <c r="AU19" s="965">
        <f>C19</f>
        <v>124</v>
      </c>
      <c r="AV19" s="966">
        <f>U19</f>
        <v>0</v>
      </c>
      <c r="AW19" s="966">
        <f>W19</f>
        <v>1</v>
      </c>
      <c r="AX19" s="966">
        <f>V19</f>
        <v>0</v>
      </c>
      <c r="AY19" s="966">
        <f>Y19*1000</f>
        <v>800</v>
      </c>
      <c r="AZ19" s="967" t="s">
        <v>222</v>
      </c>
      <c r="BA19" s="961">
        <f>AK19</f>
        <v>3.2</v>
      </c>
      <c r="BB19" s="961">
        <f>AL19</f>
        <v>3.2</v>
      </c>
      <c r="BC19" s="961">
        <v>0.3</v>
      </c>
      <c r="BD19" s="968">
        <v>4</v>
      </c>
      <c r="BE19" s="968" t="str">
        <f t="shared" si="25"/>
        <v>Com</v>
      </c>
      <c r="BF19" s="961">
        <f t="shared" si="26"/>
        <v>3.2</v>
      </c>
      <c r="BG19" s="961">
        <f t="shared" si="27"/>
        <v>3.6680000000000001</v>
      </c>
      <c r="BH19" s="961">
        <f t="shared" si="28"/>
        <v>1.6</v>
      </c>
      <c r="BI19" s="961">
        <f t="shared" si="29"/>
        <v>3.4340000000000002</v>
      </c>
      <c r="BJ19" s="961" t="str">
        <f t="shared" si="30"/>
        <v/>
      </c>
      <c r="BK19" s="961" t="str">
        <f t="shared" si="31"/>
        <v/>
      </c>
      <c r="BL19" s="961" t="str">
        <f t="shared" si="32"/>
        <v/>
      </c>
      <c r="BM19" s="961" t="str">
        <f t="shared" si="33"/>
        <v/>
      </c>
      <c r="BN19" s="961" t="str">
        <f t="shared" si="34"/>
        <v/>
      </c>
      <c r="BO19" s="961" t="str">
        <f t="shared" si="35"/>
        <v/>
      </c>
      <c r="BP19" s="961" t="str">
        <f t="shared" si="36"/>
        <v/>
      </c>
      <c r="BQ19" s="961" t="str">
        <f t="shared" si="37"/>
        <v/>
      </c>
      <c r="BR19" s="961">
        <f t="shared" si="38"/>
        <v>1144.8121440000002</v>
      </c>
      <c r="BS19" s="961" t="str">
        <f t="shared" si="39"/>
        <v/>
      </c>
      <c r="BT19" s="961" t="str">
        <f t="shared" si="40"/>
        <v/>
      </c>
      <c r="BU19" s="961" t="str">
        <f t="shared" si="41"/>
        <v/>
      </c>
      <c r="BV19" s="961">
        <f t="shared" si="42"/>
        <v>91.256179153756989</v>
      </c>
      <c r="BW19" s="111">
        <v>0</v>
      </c>
      <c r="BX19" s="111">
        <v>0.3</v>
      </c>
      <c r="BY19" s="961">
        <f t="shared" si="43"/>
        <v>0</v>
      </c>
      <c r="BZ19" s="961">
        <f t="shared" si="44"/>
        <v>118.63303289988409</v>
      </c>
      <c r="CA19" s="961" t="str">
        <f t="shared" si="45"/>
        <v/>
      </c>
      <c r="CB19" s="961" t="str">
        <f t="shared" si="46"/>
        <v/>
      </c>
      <c r="CC19" s="961" t="str">
        <f t="shared" si="47"/>
        <v/>
      </c>
      <c r="CD19" s="961" t="str">
        <f t="shared" si="48"/>
        <v/>
      </c>
      <c r="CE19" s="961" t="str">
        <f t="shared" si="49"/>
        <v/>
      </c>
      <c r="CF19" s="961">
        <f t="shared" si="50"/>
        <v>909.66399999999999</v>
      </c>
      <c r="CG19" s="961" t="str">
        <f t="shared" si="51"/>
        <v/>
      </c>
      <c r="CH19" s="961" t="str">
        <f t="shared" si="52"/>
        <v/>
      </c>
      <c r="CI19" s="959" t="s">
        <v>785</v>
      </c>
      <c r="CJ19" s="961" t="str">
        <f t="shared" si="53"/>
        <v/>
      </c>
      <c r="CK19" s="961">
        <f t="shared" si="54"/>
        <v>59.519999999999996</v>
      </c>
      <c r="CL19" s="969">
        <v>0.3</v>
      </c>
      <c r="CM19" s="961">
        <f t="shared" si="77"/>
        <v>77.375999999999991</v>
      </c>
      <c r="CN19" s="961" t="str">
        <f t="shared" si="56"/>
        <v/>
      </c>
      <c r="CO19" s="961" t="str">
        <f t="shared" si="57"/>
        <v/>
      </c>
      <c r="CP19" s="961" t="str">
        <f t="shared" si="58"/>
        <v/>
      </c>
      <c r="CQ19" s="961" t="str">
        <f t="shared" si="59"/>
        <v/>
      </c>
      <c r="CR19" s="961" t="str">
        <f t="shared" si="60"/>
        <v/>
      </c>
      <c r="CS19" s="961" t="str">
        <f t="shared" si="61"/>
        <v/>
      </c>
      <c r="CT19" s="961" t="str">
        <f t="shared" si="62"/>
        <v/>
      </c>
      <c r="CU19" s="961" t="str">
        <f t="shared" si="63"/>
        <v/>
      </c>
      <c r="CV19" s="961">
        <f t="shared" si="64"/>
        <v>1053.5559648462431</v>
      </c>
      <c r="CW19" s="961" t="str">
        <f t="shared" si="65"/>
        <v/>
      </c>
      <c r="CX19" s="961" t="str">
        <f t="shared" si="66"/>
        <v/>
      </c>
      <c r="CY19" s="961" t="str">
        <f t="shared" si="67"/>
        <v/>
      </c>
      <c r="CZ19" s="961">
        <f>IFERROR(IF(AZ19="PA-1",HLOOKUP(AY19,$AV$27:$BF$28,2,FALSE)*AU19*AW19,AZ$28*AU19),0)</f>
        <v>53.32</v>
      </c>
      <c r="DA19" s="961">
        <f t="shared" si="68"/>
        <v>0</v>
      </c>
      <c r="DB19" s="959">
        <f t="shared" si="78"/>
        <v>0</v>
      </c>
      <c r="DC19" s="961">
        <f t="shared" si="69"/>
        <v>0</v>
      </c>
      <c r="DD19" s="961">
        <f t="shared" si="70"/>
        <v>124</v>
      </c>
      <c r="DE19" s="961">
        <f t="shared" si="71"/>
        <v>0</v>
      </c>
      <c r="DF19" s="970">
        <f t="shared" si="72"/>
        <v>0</v>
      </c>
      <c r="DG19" s="963">
        <f t="shared" si="73"/>
        <v>0</v>
      </c>
    </row>
    <row r="20" spans="1:111" s="865" customFormat="1" ht="30" customHeight="1" thickBot="1" x14ac:dyDescent="0.25">
      <c r="D20" s="971"/>
      <c r="AS20" s="971"/>
      <c r="AT20" s="972" t="s">
        <v>630</v>
      </c>
      <c r="AU20" s="961">
        <v>252.8</v>
      </c>
      <c r="AV20" s="966">
        <f>U20</f>
        <v>0</v>
      </c>
      <c r="AW20" s="966">
        <v>1</v>
      </c>
      <c r="AX20" s="966">
        <f>V20</f>
        <v>0</v>
      </c>
      <c r="AY20" s="973">
        <v>400</v>
      </c>
      <c r="AZ20" s="974" t="s">
        <v>119</v>
      </c>
      <c r="BA20" s="975">
        <v>1</v>
      </c>
      <c r="BB20" s="975">
        <v>1.5</v>
      </c>
      <c r="BC20" s="975">
        <v>0</v>
      </c>
      <c r="BD20" s="976">
        <v>4</v>
      </c>
      <c r="BE20" s="976" t="str">
        <f>IF(BF20&gt;1.25,"Com","Sem")</f>
        <v>Sem</v>
      </c>
      <c r="BF20" s="961">
        <f t="shared" si="26"/>
        <v>1.25</v>
      </c>
      <c r="BG20" s="961">
        <f t="shared" si="27"/>
        <v>1.3340000000000001</v>
      </c>
      <c r="BH20" s="961">
        <f t="shared" si="28"/>
        <v>0.8</v>
      </c>
      <c r="BI20" s="961">
        <f t="shared" si="29"/>
        <v>1.4670000000000001</v>
      </c>
      <c r="BJ20" s="961" t="str">
        <f t="shared" si="30"/>
        <v/>
      </c>
      <c r="BK20" s="961">
        <f t="shared" si="31"/>
        <v>382.25609920000005</v>
      </c>
      <c r="BL20" s="961" t="str">
        <f t="shared" si="32"/>
        <v/>
      </c>
      <c r="BM20" s="961" t="str">
        <f t="shared" si="33"/>
        <v/>
      </c>
      <c r="BN20" s="961" t="str">
        <f t="shared" si="34"/>
        <v/>
      </c>
      <c r="BO20" s="961" t="str">
        <f t="shared" si="35"/>
        <v/>
      </c>
      <c r="BP20" s="961" t="str">
        <f t="shared" si="36"/>
        <v/>
      </c>
      <c r="BQ20" s="961" t="str">
        <f t="shared" si="37"/>
        <v/>
      </c>
      <c r="BR20" s="961" t="str">
        <f t="shared" si="38"/>
        <v/>
      </c>
      <c r="BS20" s="961" t="str">
        <f t="shared" si="39"/>
        <v/>
      </c>
      <c r="BT20" s="961" t="str">
        <f t="shared" si="40"/>
        <v/>
      </c>
      <c r="BU20" s="961" t="str">
        <f t="shared" si="41"/>
        <v/>
      </c>
      <c r="BV20" s="961">
        <f t="shared" si="42"/>
        <v>46.511213891269698</v>
      </c>
      <c r="BW20" s="111">
        <v>0</v>
      </c>
      <c r="BX20" s="111">
        <v>0.3</v>
      </c>
      <c r="BY20" s="961">
        <f t="shared" si="43"/>
        <v>0</v>
      </c>
      <c r="BZ20" s="961">
        <f>MAX(BY20,BV20)*(1+BX20)</f>
        <v>60.464578058650609</v>
      </c>
      <c r="CA20" s="961" t="str">
        <f t="shared" si="45"/>
        <v/>
      </c>
      <c r="CB20" s="961" t="str">
        <f t="shared" si="46"/>
        <v/>
      </c>
      <c r="CC20" s="961" t="str">
        <f t="shared" si="47"/>
        <v/>
      </c>
      <c r="CD20" s="961" t="str">
        <f t="shared" si="48"/>
        <v/>
      </c>
      <c r="CE20" s="961" t="str">
        <f t="shared" si="49"/>
        <v/>
      </c>
      <c r="CF20" s="961" t="str">
        <f t="shared" si="50"/>
        <v/>
      </c>
      <c r="CG20" s="961">
        <f t="shared" si="51"/>
        <v>202.24</v>
      </c>
      <c r="CH20" s="961" t="str">
        <f t="shared" si="52"/>
        <v/>
      </c>
      <c r="CI20" s="959" t="s">
        <v>40</v>
      </c>
      <c r="CJ20" s="961" t="str">
        <f t="shared" si="53"/>
        <v/>
      </c>
      <c r="CK20" s="961" t="str">
        <f>IF(BC20=0,"",IF(BH20&gt;=1.5,BC20*BH20*AU20,""))</f>
        <v/>
      </c>
      <c r="CL20" s="969">
        <v>0</v>
      </c>
      <c r="CM20" s="961">
        <f t="shared" ref="CM20" si="80">SUM(CJ20:CK20)*(1+CL20)</f>
        <v>0</v>
      </c>
      <c r="CN20" s="961" t="str">
        <f t="shared" si="56"/>
        <v/>
      </c>
      <c r="CO20" s="961">
        <f t="shared" si="57"/>
        <v>335.74488530873037</v>
      </c>
      <c r="CP20" s="961" t="str">
        <f t="shared" si="58"/>
        <v/>
      </c>
      <c r="CQ20" s="961" t="str">
        <f t="shared" si="59"/>
        <v/>
      </c>
      <c r="CR20" s="961" t="str">
        <f t="shared" si="60"/>
        <v/>
      </c>
      <c r="CS20" s="961" t="str">
        <f t="shared" si="61"/>
        <v/>
      </c>
      <c r="CT20" s="961" t="str">
        <f t="shared" si="62"/>
        <v/>
      </c>
      <c r="CU20" s="961" t="str">
        <f t="shared" si="63"/>
        <v/>
      </c>
      <c r="CV20" s="961" t="str">
        <f t="shared" si="64"/>
        <v/>
      </c>
      <c r="CW20" s="961" t="str">
        <f t="shared" si="65"/>
        <v/>
      </c>
      <c r="CX20" s="961" t="str">
        <f t="shared" si="66"/>
        <v/>
      </c>
      <c r="CY20" s="961" t="str">
        <f t="shared" si="67"/>
        <v/>
      </c>
      <c r="CZ20" s="1062">
        <f>IF(AZ20="PA-1",HLOOKUP(AY20,$AV$27:$BF$28,2,FALSE)*AU20*AW20,AZ$28*AU20)</f>
        <v>4.595904</v>
      </c>
      <c r="DA20" s="961">
        <f t="shared" si="68"/>
        <v>252.8</v>
      </c>
      <c r="DB20" s="959">
        <f t="shared" si="78"/>
        <v>0</v>
      </c>
      <c r="DC20" s="961">
        <f t="shared" si="69"/>
        <v>0</v>
      </c>
      <c r="DD20" s="961">
        <f t="shared" si="70"/>
        <v>0</v>
      </c>
      <c r="DE20" s="961">
        <f t="shared" si="71"/>
        <v>0</v>
      </c>
      <c r="DF20" s="970">
        <f t="shared" si="72"/>
        <v>0</v>
      </c>
      <c r="DG20" s="963">
        <f t="shared" si="73"/>
        <v>0</v>
      </c>
    </row>
    <row r="21" spans="1:111" s="865" customFormat="1" ht="13.5" thickBot="1" x14ac:dyDescent="0.25">
      <c r="B21" s="977"/>
      <c r="C21" s="978"/>
      <c r="D21" s="978"/>
      <c r="E21" s="978"/>
      <c r="F21" s="978"/>
      <c r="G21" s="979"/>
      <c r="H21" s="978"/>
      <c r="I21" s="978"/>
      <c r="J21" s="978"/>
      <c r="K21" s="978"/>
      <c r="L21" s="978"/>
      <c r="M21" s="978"/>
      <c r="N21" s="978"/>
      <c r="O21" s="978"/>
      <c r="P21" s="980"/>
      <c r="Q21" s="978"/>
      <c r="R21" s="978"/>
      <c r="S21" s="978"/>
      <c r="T21" s="978"/>
      <c r="U21" s="981"/>
      <c r="V21" s="978"/>
      <c r="W21" s="978"/>
      <c r="X21" s="978"/>
      <c r="Y21" s="982"/>
      <c r="Z21" s="978"/>
      <c r="AA21" s="978"/>
      <c r="AB21" s="978"/>
      <c r="AC21" s="980"/>
      <c r="AD21" s="978"/>
      <c r="AE21" s="978"/>
      <c r="AF21" s="978"/>
      <c r="AG21" s="978"/>
      <c r="AH21" s="978"/>
      <c r="AI21" s="866"/>
      <c r="AJ21" s="866"/>
      <c r="AK21" s="866"/>
      <c r="AL21" s="866"/>
      <c r="AM21" s="866"/>
      <c r="AN21" s="866"/>
      <c r="AO21" s="978"/>
      <c r="AP21" s="978"/>
      <c r="AQ21" s="971"/>
      <c r="AR21" s="971"/>
      <c r="AS21" s="971"/>
      <c r="AT21" s="983" t="s">
        <v>34</v>
      </c>
      <c r="AU21" s="984">
        <f>SUM(AU14:AU20)</f>
        <v>615.79999999999995</v>
      </c>
      <c r="AV21" s="985" t="s">
        <v>40</v>
      </c>
      <c r="AW21" s="985" t="s">
        <v>40</v>
      </c>
      <c r="AX21" s="985" t="s">
        <v>40</v>
      </c>
      <c r="AY21" s="985" t="s">
        <v>40</v>
      </c>
      <c r="AZ21" s="985" t="s">
        <v>40</v>
      </c>
      <c r="BA21" s="985" t="s">
        <v>40</v>
      </c>
      <c r="BB21" s="985" t="s">
        <v>40</v>
      </c>
      <c r="BC21" s="985" t="s">
        <v>40</v>
      </c>
      <c r="BD21" s="985" t="s">
        <v>40</v>
      </c>
      <c r="BE21" s="985" t="s">
        <v>40</v>
      </c>
      <c r="BF21" s="985" t="s">
        <v>40</v>
      </c>
      <c r="BG21" s="985" t="s">
        <v>40</v>
      </c>
      <c r="BH21" s="985" t="s">
        <v>40</v>
      </c>
      <c r="BI21" s="985" t="s">
        <v>40</v>
      </c>
      <c r="BJ21" s="984">
        <f t="shared" ref="BJ21:BV21" si="81">SUM(BJ14:BJ20)</f>
        <v>0</v>
      </c>
      <c r="BK21" s="984">
        <f t="shared" si="81"/>
        <v>382.25609920000005</v>
      </c>
      <c r="BL21" s="984">
        <f t="shared" si="81"/>
        <v>0</v>
      </c>
      <c r="BM21" s="984">
        <f t="shared" si="81"/>
        <v>0</v>
      </c>
      <c r="BN21" s="984">
        <f t="shared" si="81"/>
        <v>0</v>
      </c>
      <c r="BO21" s="984">
        <f t="shared" si="81"/>
        <v>886.981312</v>
      </c>
      <c r="BP21" s="984">
        <f t="shared" si="81"/>
        <v>0</v>
      </c>
      <c r="BQ21" s="984">
        <f t="shared" si="81"/>
        <v>0</v>
      </c>
      <c r="BR21" s="984">
        <f t="shared" si="81"/>
        <v>1284.3782400000002</v>
      </c>
      <c r="BS21" s="984">
        <f t="shared" si="81"/>
        <v>0</v>
      </c>
      <c r="BT21" s="984">
        <f t="shared" si="81"/>
        <v>0</v>
      </c>
      <c r="BU21" s="984">
        <f t="shared" si="81"/>
        <v>0</v>
      </c>
      <c r="BV21" s="984">
        <f t="shared" si="81"/>
        <v>241.85647239228078</v>
      </c>
      <c r="BW21" s="984" t="s">
        <v>40</v>
      </c>
      <c r="BX21" s="984" t="s">
        <v>40</v>
      </c>
      <c r="BY21" s="984">
        <f t="shared" ref="BY21:CH21" si="82">SUM(BY14:BY20)</f>
        <v>0</v>
      </c>
      <c r="BZ21" s="984">
        <f t="shared" si="82"/>
        <v>314.413414109965</v>
      </c>
      <c r="CA21" s="984">
        <f t="shared" si="82"/>
        <v>0</v>
      </c>
      <c r="CB21" s="984">
        <f t="shared" si="82"/>
        <v>0</v>
      </c>
      <c r="CC21" s="984">
        <f t="shared" si="82"/>
        <v>0</v>
      </c>
      <c r="CD21" s="984">
        <f t="shared" si="82"/>
        <v>1005.6959999999999</v>
      </c>
      <c r="CE21" s="984">
        <f t="shared" si="82"/>
        <v>0</v>
      </c>
      <c r="CF21" s="984">
        <f t="shared" si="82"/>
        <v>1022.24</v>
      </c>
      <c r="CG21" s="984">
        <f t="shared" si="82"/>
        <v>202.24</v>
      </c>
      <c r="CH21" s="984">
        <f t="shared" si="82"/>
        <v>0</v>
      </c>
      <c r="CI21" s="984" t="s">
        <v>40</v>
      </c>
      <c r="CJ21" s="984">
        <f>SUM(CJ14:CJ20)</f>
        <v>80.279999999999987</v>
      </c>
      <c r="CK21" s="984">
        <f>SUM(CK14:CK20)</f>
        <v>67.199999999999989</v>
      </c>
      <c r="CL21" s="984" t="s">
        <v>40</v>
      </c>
      <c r="CM21" s="984">
        <f t="shared" ref="CM21:DG21" si="83">SUM(CM14:CM20)</f>
        <v>191.72399999999999</v>
      </c>
      <c r="CN21" s="984">
        <f t="shared" si="83"/>
        <v>0</v>
      </c>
      <c r="CO21" s="984">
        <f t="shared" si="83"/>
        <v>335.74488530873037</v>
      </c>
      <c r="CP21" s="984">
        <f t="shared" si="83"/>
        <v>0</v>
      </c>
      <c r="CQ21" s="984">
        <f t="shared" si="83"/>
        <v>0</v>
      </c>
      <c r="CR21" s="984">
        <f t="shared" si="83"/>
        <v>0</v>
      </c>
      <c r="CS21" s="984">
        <f t="shared" si="83"/>
        <v>794.66722351129522</v>
      </c>
      <c r="CT21" s="984">
        <f t="shared" si="83"/>
        <v>0</v>
      </c>
      <c r="CU21" s="984">
        <f t="shared" si="83"/>
        <v>0</v>
      </c>
      <c r="CV21" s="984">
        <f t="shared" si="83"/>
        <v>1181.3470699876939</v>
      </c>
      <c r="CW21" s="984">
        <f t="shared" si="83"/>
        <v>0</v>
      </c>
      <c r="CX21" s="984">
        <f t="shared" si="83"/>
        <v>0</v>
      </c>
      <c r="CY21" s="1060">
        <f t="shared" si="83"/>
        <v>0</v>
      </c>
      <c r="CZ21" s="1063">
        <f t="shared" si="83"/>
        <v>134.59490399999999</v>
      </c>
      <c r="DA21" s="1061">
        <f t="shared" si="83"/>
        <v>252.8</v>
      </c>
      <c r="DB21" s="984">
        <f t="shared" si="83"/>
        <v>223</v>
      </c>
      <c r="DC21" s="984">
        <f t="shared" si="83"/>
        <v>0</v>
      </c>
      <c r="DD21" s="984">
        <f t="shared" si="83"/>
        <v>140</v>
      </c>
      <c r="DE21" s="984">
        <f t="shared" si="83"/>
        <v>0</v>
      </c>
      <c r="DF21" s="986">
        <f t="shared" si="83"/>
        <v>0</v>
      </c>
      <c r="DG21" s="987">
        <f t="shared" si="83"/>
        <v>0</v>
      </c>
    </row>
    <row r="22" spans="1:111" ht="16.5" customHeight="1" thickBot="1" x14ac:dyDescent="0.25">
      <c r="H22" s="952"/>
      <c r="BK22" s="865"/>
      <c r="BL22" s="865"/>
      <c r="BM22" s="865"/>
      <c r="BN22" s="865"/>
      <c r="BO22" s="865"/>
      <c r="BP22" s="865"/>
      <c r="BQ22" s="865"/>
      <c r="BR22" s="865"/>
      <c r="BS22" s="865"/>
      <c r="BT22" s="865"/>
      <c r="BU22" s="865"/>
      <c r="BV22" s="865"/>
      <c r="BW22" s="865"/>
      <c r="BX22" s="865"/>
      <c r="BY22" s="865"/>
      <c r="BZ22" s="865"/>
      <c r="CA22" s="865"/>
      <c r="CB22" s="865"/>
      <c r="CC22" s="865"/>
      <c r="CD22" s="865"/>
      <c r="CE22" s="865"/>
      <c r="CF22" s="865"/>
      <c r="CG22" s="865"/>
      <c r="CH22" s="865"/>
      <c r="CI22" s="865"/>
      <c r="CJ22" s="865"/>
      <c r="CK22" s="865"/>
      <c r="CL22" s="1055"/>
      <c r="CM22" s="865"/>
      <c r="CN22" s="865"/>
      <c r="CO22" s="865"/>
      <c r="CP22" s="865"/>
      <c r="CQ22" s="865"/>
      <c r="CR22" s="865"/>
      <c r="CS22" s="865"/>
      <c r="CT22" s="865"/>
      <c r="CU22" s="865"/>
      <c r="CV22" s="865"/>
      <c r="CW22" s="865"/>
      <c r="CX22" s="865"/>
      <c r="CY22" s="865"/>
      <c r="CZ22" s="865"/>
      <c r="DA22" s="865"/>
      <c r="DB22" s="865"/>
      <c r="DC22" s="865"/>
      <c r="DD22" s="865"/>
    </row>
    <row r="23" spans="1:111" ht="16.5" hidden="1" customHeight="1" thickBot="1" x14ac:dyDescent="0.25">
      <c r="AL23" s="989"/>
      <c r="AT23" s="990" t="s">
        <v>157</v>
      </c>
      <c r="AU23" s="991"/>
      <c r="AV23" s="991"/>
      <c r="AW23" s="991"/>
      <c r="AX23" s="991"/>
      <c r="AY23" s="991"/>
      <c r="AZ23" s="991"/>
      <c r="BA23" s="992"/>
      <c r="BB23" s="992"/>
      <c r="BC23" s="992"/>
      <c r="BD23" s="992"/>
      <c r="BE23" s="992"/>
      <c r="BF23" s="992"/>
      <c r="BG23" s="992"/>
      <c r="BH23" s="992"/>
      <c r="BI23" s="992"/>
      <c r="BN23" s="992"/>
      <c r="BO23" s="992"/>
      <c r="BP23" s="992"/>
      <c r="BQ23" s="992"/>
      <c r="BR23" s="992"/>
      <c r="BS23" s="992"/>
      <c r="BT23" s="992"/>
      <c r="BU23" s="992"/>
      <c r="BV23" s="992"/>
      <c r="BW23" s="992"/>
      <c r="BX23" s="992"/>
      <c r="BY23" s="992"/>
      <c r="BZ23" s="992"/>
      <c r="CA23" s="992"/>
      <c r="CB23" s="992"/>
      <c r="CC23" s="992"/>
      <c r="CD23" s="992"/>
      <c r="CE23" s="992"/>
      <c r="CF23" s="992"/>
      <c r="CG23" s="992"/>
      <c r="CH23" s="992"/>
      <c r="CI23" s="992"/>
      <c r="CJ23" s="992"/>
      <c r="CK23" s="992"/>
      <c r="CL23" s="993"/>
      <c r="CM23" s="992"/>
      <c r="CN23" s="992"/>
      <c r="CO23" s="992"/>
      <c r="CP23" s="992"/>
      <c r="CQ23" s="992"/>
      <c r="CR23" s="992"/>
      <c r="CS23" s="992"/>
      <c r="CT23" s="992"/>
      <c r="CU23" s="992"/>
      <c r="CV23" s="992"/>
      <c r="CW23" s="992"/>
      <c r="CX23" s="992"/>
      <c r="CY23" s="992"/>
      <c r="CZ23" s="992"/>
    </row>
    <row r="24" spans="1:111" s="994" customFormat="1" ht="16.5" hidden="1" customHeight="1" x14ac:dyDescent="0.2">
      <c r="B24" s="995"/>
      <c r="P24" s="996"/>
      <c r="T24" s="997"/>
      <c r="U24" s="997"/>
      <c r="V24" s="997"/>
      <c r="W24" s="998"/>
      <c r="X24" s="999"/>
      <c r="Y24" s="997"/>
      <c r="Z24" s="1000"/>
      <c r="AC24" s="996"/>
      <c r="AJ24" s="997"/>
      <c r="AL24" s="989"/>
      <c r="AM24" s="997"/>
      <c r="AN24" s="997"/>
      <c r="AT24" s="990" t="s">
        <v>631</v>
      </c>
      <c r="AU24" s="991"/>
      <c r="AV24" s="991"/>
      <c r="AW24" s="991"/>
      <c r="AX24" s="991"/>
      <c r="AY24" s="991"/>
      <c r="AZ24" s="991"/>
      <c r="BA24" s="992"/>
      <c r="BB24" s="992"/>
      <c r="BC24" s="992"/>
      <c r="BD24" s="992"/>
      <c r="BE24" s="992"/>
      <c r="BF24" s="992"/>
      <c r="BG24" s="992"/>
      <c r="BH24" s="992"/>
      <c r="BI24" s="992"/>
      <c r="BN24" s="992"/>
      <c r="BO24" s="992"/>
      <c r="BP24" s="992"/>
      <c r="BQ24" s="992"/>
      <c r="BR24" s="992"/>
      <c r="BS24" s="992"/>
      <c r="BT24" s="992"/>
      <c r="BU24" s="992"/>
      <c r="BV24" s="992"/>
      <c r="BW24" s="992"/>
      <c r="BX24" s="992"/>
      <c r="BY24" s="992"/>
      <c r="BZ24" s="992"/>
      <c r="CA24" s="992"/>
      <c r="CB24" s="992"/>
      <c r="CC24" s="992"/>
      <c r="CD24" s="992"/>
      <c r="CE24" s="992"/>
      <c r="CF24" s="992"/>
      <c r="CG24" s="992"/>
      <c r="CH24" s="992"/>
      <c r="CI24" s="992"/>
      <c r="CJ24" s="992"/>
      <c r="CK24" s="992"/>
      <c r="CL24" s="993"/>
      <c r="CM24" s="992"/>
      <c r="CN24" s="992"/>
      <c r="CO24" s="992"/>
      <c r="CP24" s="992"/>
      <c r="CQ24" s="992"/>
      <c r="CR24" s="992"/>
      <c r="CS24" s="992"/>
      <c r="CT24" s="992"/>
      <c r="CU24" s="992"/>
      <c r="CV24" s="992"/>
      <c r="CW24" s="992"/>
      <c r="CX24" s="992"/>
      <c r="CY24" s="992"/>
      <c r="CZ24" s="992"/>
    </row>
    <row r="25" spans="1:111" ht="16.5" hidden="1" customHeight="1" x14ac:dyDescent="0.2">
      <c r="AT25" s="990"/>
      <c r="AU25" s="991"/>
      <c r="AV25" s="991"/>
      <c r="AW25" s="991"/>
      <c r="AX25" s="991"/>
      <c r="AY25" s="991"/>
      <c r="AZ25" s="991"/>
      <c r="BA25" s="992"/>
      <c r="BB25" s="992"/>
      <c r="BC25" s="992"/>
      <c r="BD25" s="992"/>
      <c r="BE25" s="992"/>
      <c r="BF25" s="992"/>
      <c r="BG25" s="992"/>
      <c r="BH25" s="992"/>
      <c r="BI25" s="992"/>
      <c r="BN25" s="992"/>
      <c r="BO25" s="992"/>
      <c r="BP25" s="992"/>
      <c r="BQ25" s="992"/>
      <c r="BR25" s="992"/>
      <c r="BS25" s="992"/>
      <c r="BT25" s="992"/>
      <c r="BU25" s="992"/>
      <c r="BV25" s="992"/>
      <c r="BW25" s="992"/>
      <c r="BX25" s="992"/>
      <c r="BY25" s="992"/>
      <c r="BZ25" s="992"/>
      <c r="CA25" s="992"/>
      <c r="CB25" s="992"/>
      <c r="CC25" s="992"/>
      <c r="CD25" s="992"/>
      <c r="CE25" s="992"/>
      <c r="CF25" s="992"/>
      <c r="CG25" s="992"/>
      <c r="CH25" s="992"/>
      <c r="CI25" s="992"/>
      <c r="CJ25" s="992"/>
      <c r="CK25" s="992"/>
      <c r="CL25" s="993"/>
      <c r="CM25" s="992"/>
      <c r="CN25" s="992"/>
      <c r="CO25" s="992"/>
      <c r="CP25" s="992"/>
      <c r="CQ25" s="992"/>
      <c r="CR25" s="992"/>
      <c r="CS25" s="992"/>
      <c r="CT25" s="992"/>
      <c r="CU25" s="992"/>
      <c r="CV25" s="992"/>
      <c r="CW25" s="992"/>
      <c r="CX25" s="992"/>
      <c r="CY25" s="992"/>
      <c r="CZ25" s="992"/>
    </row>
    <row r="26" spans="1:111" ht="16.5" hidden="1" customHeight="1" x14ac:dyDescent="0.2">
      <c r="AT26" s="991"/>
      <c r="AU26" s="991"/>
      <c r="AV26" s="991"/>
      <c r="AW26" s="991"/>
      <c r="AX26" s="991"/>
      <c r="AY26" s="991"/>
      <c r="AZ26" s="991"/>
      <c r="BA26" s="992"/>
      <c r="BB26" s="992"/>
      <c r="BC26" s="992"/>
      <c r="BD26" s="992"/>
      <c r="BE26" s="992"/>
      <c r="BF26" s="1001" t="s">
        <v>632</v>
      </c>
      <c r="BH26" s="1001"/>
      <c r="BI26" s="1001"/>
      <c r="BN26" s="992"/>
      <c r="BO26" s="992"/>
      <c r="BP26" s="992"/>
      <c r="BQ26" s="992"/>
      <c r="BR26" s="992"/>
      <c r="BS26" s="992"/>
      <c r="BT26" s="992"/>
      <c r="BU26" s="992"/>
      <c r="BV26" s="992"/>
      <c r="BW26" s="992"/>
      <c r="BX26" s="992"/>
      <c r="BY26" s="992"/>
      <c r="BZ26" s="992"/>
      <c r="CA26" s="992"/>
      <c r="CB26" s="992"/>
      <c r="CC26" s="992"/>
      <c r="CD26" s="1002"/>
      <c r="CE26" s="992"/>
      <c r="CF26" s="992"/>
      <c r="CG26" s="992"/>
      <c r="CH26" s="992"/>
      <c r="CI26" s="992"/>
      <c r="CJ26" s="992"/>
      <c r="CK26" s="992"/>
      <c r="CL26" s="993"/>
      <c r="CM26" s="992"/>
      <c r="CN26" s="992"/>
      <c r="CO26" s="992"/>
      <c r="CP26" s="992"/>
      <c r="CQ26" s="992"/>
      <c r="CR26" s="992"/>
      <c r="CS26" s="992"/>
      <c r="CT26" s="992"/>
      <c r="CU26" s="992"/>
      <c r="CV26" s="992"/>
      <c r="CW26" s="992"/>
      <c r="CX26" s="992"/>
      <c r="CY26" s="992"/>
      <c r="CZ26" s="992"/>
    </row>
    <row r="27" spans="1:111" ht="16.5" customHeight="1" x14ac:dyDescent="0.2">
      <c r="AT27" s="1091" t="s">
        <v>120</v>
      </c>
      <c r="AU27" s="1092"/>
      <c r="AV27" s="1003">
        <v>400</v>
      </c>
      <c r="AW27" s="1003">
        <v>500</v>
      </c>
      <c r="AX27" s="1003">
        <v>500</v>
      </c>
      <c r="AY27" s="1003">
        <v>600</v>
      </c>
      <c r="AZ27" s="1003" t="s">
        <v>633</v>
      </c>
      <c r="BA27" s="1003">
        <v>800</v>
      </c>
      <c r="BB27" s="1003">
        <v>900</v>
      </c>
      <c r="BC27" s="1003">
        <v>1000</v>
      </c>
      <c r="BD27" s="1003">
        <v>1200</v>
      </c>
      <c r="BE27" s="1003">
        <v>1500</v>
      </c>
      <c r="BF27" s="1004">
        <v>2000</v>
      </c>
      <c r="BH27" s="1005"/>
      <c r="BN27" s="992"/>
      <c r="BO27" s="992"/>
      <c r="BP27" s="992"/>
      <c r="BQ27" s="992"/>
      <c r="BR27" s="992"/>
      <c r="BS27" s="992"/>
      <c r="BT27" s="992"/>
      <c r="BU27" s="992"/>
      <c r="BV27" s="992"/>
      <c r="BW27" s="992"/>
      <c r="BX27" s="992"/>
      <c r="BY27" s="992"/>
      <c r="BZ27" s="992"/>
      <c r="CA27" s="992"/>
      <c r="CB27" s="992"/>
      <c r="CC27" s="992"/>
      <c r="CD27" s="992"/>
      <c r="CE27" s="992"/>
      <c r="CF27" s="992"/>
      <c r="CG27" s="992"/>
      <c r="CH27" s="992"/>
      <c r="CI27" s="992"/>
      <c r="CJ27" s="992"/>
      <c r="CK27" s="992"/>
      <c r="CL27" s="993"/>
      <c r="CM27" s="992"/>
      <c r="CN27" s="992"/>
      <c r="CO27" s="992"/>
      <c r="CP27" s="992"/>
      <c r="CQ27" s="992"/>
      <c r="CR27" s="992"/>
      <c r="CS27" s="992"/>
      <c r="CT27" s="992"/>
      <c r="CU27" s="992"/>
      <c r="CV27" s="992"/>
      <c r="CW27" s="992"/>
      <c r="CX27" s="992"/>
      <c r="CY27" s="992"/>
      <c r="CZ27" s="992"/>
    </row>
    <row r="28" spans="1:111" ht="16.5" customHeight="1" thickBot="1" x14ac:dyDescent="0.25">
      <c r="W28" s="1006"/>
      <c r="AT28" s="1093" t="s">
        <v>121</v>
      </c>
      <c r="AU28" s="1094"/>
      <c r="AV28" s="1007">
        <v>0.1</v>
      </c>
      <c r="AW28" s="1007">
        <v>0.2495</v>
      </c>
      <c r="AX28" s="1007">
        <v>0.2495</v>
      </c>
      <c r="AY28" s="1007">
        <v>0.313</v>
      </c>
      <c r="AZ28" s="1007">
        <f>18.18/1000</f>
        <v>1.8179999999999998E-2</v>
      </c>
      <c r="BA28" s="1007">
        <v>0.43</v>
      </c>
      <c r="BB28" s="1007">
        <v>0.75849999999999995</v>
      </c>
      <c r="BC28" s="1007">
        <v>0.66500000000000004</v>
      </c>
      <c r="BD28" s="1007">
        <v>0.90800000000000003</v>
      </c>
      <c r="BE28" s="1007">
        <v>1.1399999999999999</v>
      </c>
      <c r="BF28" s="1008">
        <v>3.4</v>
      </c>
      <c r="BH28" s="1009"/>
      <c r="BN28" s="139"/>
      <c r="BO28" s="139"/>
      <c r="BP28" s="139"/>
      <c r="BQ28" s="992"/>
      <c r="BR28" s="992"/>
      <c r="BS28" s="992"/>
      <c r="BT28" s="992"/>
      <c r="BU28" s="992"/>
      <c r="BV28" s="992"/>
      <c r="BW28" s="992"/>
      <c r="BX28" s="992"/>
      <c r="BY28" s="992"/>
      <c r="BZ28" s="992"/>
      <c r="CA28" s="992"/>
      <c r="CB28" s="992"/>
      <c r="CC28" s="992"/>
      <c r="CD28" s="992"/>
      <c r="CE28" s="992"/>
      <c r="CF28" s="992"/>
      <c r="CG28" s="992"/>
      <c r="CH28" s="992"/>
      <c r="CI28" s="992"/>
      <c r="CJ28" s="992"/>
      <c r="CK28" s="992"/>
      <c r="CL28" s="993"/>
      <c r="CM28" s="992"/>
      <c r="CN28" s="992"/>
      <c r="CO28" s="992"/>
      <c r="CP28" s="992"/>
      <c r="CQ28" s="992"/>
      <c r="CR28" s="992"/>
      <c r="CS28" s="992"/>
      <c r="CT28" s="992"/>
      <c r="CU28" s="992"/>
      <c r="CV28" s="992"/>
      <c r="CW28" s="992"/>
      <c r="CX28" s="992"/>
      <c r="CY28" s="992"/>
      <c r="CZ28" s="992"/>
    </row>
    <row r="29" spans="1:111" ht="16.5" customHeight="1" thickBot="1" x14ac:dyDescent="0.25">
      <c r="AY29" s="992"/>
      <c r="BD29" s="992"/>
      <c r="BE29" s="992"/>
      <c r="BF29" s="992"/>
      <c r="BG29" s="992"/>
      <c r="BH29" s="992"/>
      <c r="BI29" s="992"/>
      <c r="BJ29" s="992"/>
      <c r="BK29" s="992"/>
      <c r="BL29" s="992"/>
      <c r="BM29" s="992"/>
      <c r="BN29" s="992"/>
      <c r="BO29" s="992"/>
      <c r="BP29" s="992"/>
      <c r="BQ29" s="992"/>
      <c r="BR29" s="992"/>
      <c r="BS29" s="992"/>
      <c r="BT29" s="992"/>
      <c r="BU29" s="992"/>
      <c r="BV29" s="992"/>
      <c r="BW29" s="992"/>
      <c r="BX29" s="992"/>
      <c r="BY29" s="992"/>
      <c r="BZ29" s="992"/>
      <c r="CA29" s="992"/>
      <c r="CB29" s="993"/>
      <c r="CC29" s="992"/>
      <c r="CD29" s="992"/>
      <c r="CE29" s="992"/>
      <c r="CF29" s="992"/>
      <c r="CG29" s="992"/>
      <c r="CH29" s="992"/>
      <c r="CI29" s="992"/>
      <c r="CJ29" s="992"/>
      <c r="CK29" s="992"/>
      <c r="CL29" s="992"/>
      <c r="CM29" s="992"/>
      <c r="CN29" s="992"/>
      <c r="CO29" s="992"/>
      <c r="CP29" s="992"/>
    </row>
    <row r="30" spans="1:111" ht="16.5" hidden="1" customHeight="1" thickBot="1" x14ac:dyDescent="0.25">
      <c r="AT30" s="1079" t="s">
        <v>320</v>
      </c>
      <c r="AU30" s="1079"/>
      <c r="AV30" s="1079"/>
      <c r="AW30" s="1079"/>
      <c r="AX30" s="1079"/>
      <c r="AY30" s="1010"/>
      <c r="CB30" s="863"/>
      <c r="CL30" s="855"/>
    </row>
    <row r="31" spans="1:111" ht="84" hidden="1" customHeight="1" x14ac:dyDescent="0.2">
      <c r="AT31" s="1080" t="s">
        <v>321</v>
      </c>
      <c r="AU31" s="1080"/>
      <c r="AV31" s="1011" t="s">
        <v>634</v>
      </c>
      <c r="AW31" s="1011" t="s">
        <v>635</v>
      </c>
      <c r="AX31" s="1011" t="s">
        <v>636</v>
      </c>
      <c r="AY31" s="1009"/>
      <c r="CB31" s="863"/>
      <c r="CL31" s="855"/>
    </row>
    <row r="32" spans="1:111" ht="21.75" hidden="1" customHeight="1" x14ac:dyDescent="0.2">
      <c r="AT32" s="1080"/>
      <c r="AU32" s="1080"/>
      <c r="AV32" s="1012">
        <v>180</v>
      </c>
      <c r="AW32" s="1012">
        <f>TRUNC(AV32*0.8164*30,2)</f>
        <v>4408.5600000000004</v>
      </c>
      <c r="AX32" s="1013">
        <f>TRUNC(AV32*0.8164*(AV42-30),2)</f>
        <v>5202.1000000000004</v>
      </c>
      <c r="CB32" s="863"/>
      <c r="CL32" s="855"/>
    </row>
    <row r="33" spans="2:104" ht="16.5" hidden="1" customHeight="1" x14ac:dyDescent="0.2">
      <c r="AT33" s="1006"/>
      <c r="AU33" s="1014"/>
      <c r="AV33" s="1015"/>
      <c r="AW33" s="1015"/>
      <c r="AX33" s="1015"/>
      <c r="AY33" s="1016"/>
      <c r="CB33" s="863"/>
      <c r="CL33" s="855"/>
    </row>
    <row r="34" spans="2:104" ht="16.5" hidden="1" customHeight="1" x14ac:dyDescent="0.2">
      <c r="AT34" s="1006"/>
      <c r="AU34" s="1014"/>
      <c r="AV34" s="1015"/>
      <c r="AW34" s="1015"/>
      <c r="AX34" s="1015"/>
      <c r="AY34" s="1015"/>
      <c r="AZ34" s="1015"/>
      <c r="BA34" s="1015"/>
      <c r="BB34" s="1015"/>
      <c r="BC34" s="1015"/>
      <c r="BD34" s="153"/>
      <c r="BE34" s="1017"/>
      <c r="BF34" s="859"/>
      <c r="BG34" s="155"/>
      <c r="BH34" s="1017"/>
      <c r="BI34" s="1016"/>
      <c r="CK34" s="1018"/>
      <c r="CL34" s="1017"/>
      <c r="CM34" s="139"/>
    </row>
    <row r="35" spans="2:104" ht="16.5" customHeight="1" x14ac:dyDescent="0.2">
      <c r="AT35" s="647"/>
      <c r="AU35" s="153" t="s">
        <v>637</v>
      </c>
      <c r="AV35" s="1019">
        <f>TRUNC($CZ$21*30,2)</f>
        <v>4037.84</v>
      </c>
      <c r="AW35" s="139" t="s">
        <v>638</v>
      </c>
      <c r="AX35" s="865"/>
      <c r="AY35" s="139"/>
      <c r="BB35" s="1085"/>
      <c r="BC35" s="1085"/>
      <c r="BD35" s="1085"/>
      <c r="BE35" s="1020"/>
      <c r="BF35" s="1021"/>
      <c r="BG35" s="648"/>
      <c r="BO35" s="1022"/>
      <c r="CK35" s="1018"/>
      <c r="CL35" s="1017"/>
      <c r="CM35" s="139"/>
    </row>
    <row r="36" spans="2:104" ht="16.5" customHeight="1" x14ac:dyDescent="0.2">
      <c r="AT36" s="647"/>
      <c r="AU36" s="153" t="s">
        <v>639</v>
      </c>
      <c r="AV36" s="1023">
        <f>TRUNC(CZ21*(AV40-30),2)</f>
        <v>18843.28</v>
      </c>
      <c r="AW36" s="139" t="s">
        <v>638</v>
      </c>
      <c r="AX36" s="865"/>
      <c r="AY36" s="139"/>
      <c r="BB36" s="1086"/>
      <c r="BC36" s="1086"/>
      <c r="BD36" s="1086"/>
      <c r="BE36" s="1024"/>
      <c r="BF36" s="1025"/>
      <c r="BG36" s="1026"/>
      <c r="BO36" s="1022"/>
    </row>
    <row r="37" spans="2:104" ht="16.5" customHeight="1" x14ac:dyDescent="0.2">
      <c r="AT37" s="1027"/>
      <c r="AU37" s="1028" t="s">
        <v>640</v>
      </c>
      <c r="AV37" s="1023">
        <f>TRUNC(BZ21*AV41,2)</f>
        <v>1069</v>
      </c>
      <c r="AW37" s="139" t="s">
        <v>641</v>
      </c>
      <c r="AX37" s="865"/>
      <c r="AY37" s="139"/>
      <c r="BB37" s="1029"/>
      <c r="BC37" s="1029"/>
      <c r="BD37" s="1029"/>
      <c r="BE37" s="649"/>
      <c r="BF37" s="649"/>
      <c r="BG37" s="650"/>
      <c r="BO37" s="1022"/>
    </row>
    <row r="38" spans="2:104" ht="16.5" customHeight="1" x14ac:dyDescent="0.2">
      <c r="AT38" s="1027"/>
      <c r="AU38" s="1028" t="s">
        <v>642</v>
      </c>
      <c r="AV38" s="1023">
        <f>TRUNC(CM21*30,2)</f>
        <v>5751.72</v>
      </c>
      <c r="AW38" s="139" t="s">
        <v>641</v>
      </c>
      <c r="AX38" s="865"/>
      <c r="AY38" s="139"/>
      <c r="BE38" s="1030"/>
      <c r="BF38" s="1031"/>
      <c r="BG38" s="1032"/>
      <c r="BO38" s="1022"/>
    </row>
    <row r="39" spans="2:104" ht="16.5" customHeight="1" x14ac:dyDescent="0.2">
      <c r="AT39" s="1027"/>
      <c r="AU39" s="1028" t="s">
        <v>643</v>
      </c>
      <c r="AV39" s="1023">
        <f>TRUNC(CM21*(AV42-30),2)</f>
        <v>6787.02</v>
      </c>
      <c r="AW39" s="139" t="s">
        <v>641</v>
      </c>
      <c r="AX39" s="865"/>
      <c r="AY39" s="139"/>
    </row>
    <row r="40" spans="2:104" ht="16.5" customHeight="1" x14ac:dyDescent="0.2">
      <c r="B40" s="855"/>
      <c r="C40" s="1027"/>
      <c r="D40" s="1028"/>
      <c r="E40" s="1017"/>
      <c r="F40" s="139"/>
      <c r="AT40" s="1027"/>
      <c r="AU40" s="153" t="s">
        <v>644</v>
      </c>
      <c r="AV40" s="1023">
        <f>DMT!F11</f>
        <v>170</v>
      </c>
      <c r="AW40" s="139" t="s">
        <v>645</v>
      </c>
      <c r="AX40" s="865"/>
      <c r="AY40" s="139"/>
    </row>
    <row r="41" spans="2:104" ht="16.5" customHeight="1" x14ac:dyDescent="0.2">
      <c r="B41" s="855"/>
      <c r="C41" s="1027"/>
      <c r="D41" s="1028"/>
      <c r="E41" s="1017"/>
      <c r="F41" s="139"/>
      <c r="AT41" s="1027"/>
      <c r="AU41" s="153" t="s">
        <v>122</v>
      </c>
      <c r="AV41" s="1023">
        <f>DMT!F15</f>
        <v>3.4</v>
      </c>
      <c r="AW41" s="139" t="s">
        <v>645</v>
      </c>
      <c r="AX41" s="865"/>
      <c r="AY41" s="139"/>
    </row>
    <row r="42" spans="2:104" ht="16.5" customHeight="1" thickBot="1" x14ac:dyDescent="0.25">
      <c r="AT42" s="1027"/>
      <c r="AU42" s="153" t="s">
        <v>123</v>
      </c>
      <c r="AV42" s="1033">
        <f>DMT!F10</f>
        <v>65.400000000000006</v>
      </c>
      <c r="AW42" s="139" t="s">
        <v>645</v>
      </c>
      <c r="AX42" s="971"/>
      <c r="AY42" s="139"/>
      <c r="BB42" s="1034"/>
      <c r="BC42" s="1034"/>
      <c r="BD42" s="1034"/>
      <c r="BJ42" s="1035"/>
      <c r="BK42" s="1035"/>
      <c r="BL42" s="1035"/>
      <c r="BM42" s="1035"/>
      <c r="BN42" s="1035"/>
      <c r="BO42" s="1035"/>
      <c r="BP42" s="1035"/>
      <c r="BQ42" s="1035"/>
      <c r="BR42" s="1035"/>
      <c r="BS42" s="1035"/>
      <c r="BT42" s="1035"/>
      <c r="BU42" s="1035"/>
      <c r="BV42" s="1035"/>
      <c r="BW42" s="1035"/>
      <c r="BX42" s="1035"/>
      <c r="BY42" s="1035"/>
      <c r="BZ42" s="1035"/>
      <c r="CA42" s="1035"/>
      <c r="CB42" s="1035"/>
      <c r="CC42" s="1035"/>
      <c r="CD42" s="1035"/>
      <c r="CE42" s="1035"/>
      <c r="CF42" s="1035"/>
      <c r="CG42" s="1035"/>
      <c r="CH42" s="1035"/>
      <c r="CI42" s="1035"/>
      <c r="CJ42" s="1035"/>
      <c r="CK42" s="1035"/>
      <c r="CL42" s="1036"/>
      <c r="CM42" s="1035"/>
      <c r="CN42" s="1035"/>
      <c r="CO42" s="1035"/>
      <c r="CP42" s="1035"/>
      <c r="CQ42" s="1035"/>
      <c r="CR42" s="1035"/>
      <c r="CS42" s="1035"/>
      <c r="CT42" s="1035"/>
      <c r="CU42" s="1035"/>
      <c r="CV42" s="1035"/>
      <c r="CW42" s="1035"/>
      <c r="CX42" s="1035"/>
      <c r="CY42" s="1035"/>
      <c r="CZ42" s="1035"/>
    </row>
    <row r="43" spans="2:104" ht="16.5" customHeight="1" x14ac:dyDescent="0.2">
      <c r="AY43" s="139"/>
      <c r="BB43" s="1082"/>
      <c r="BC43" s="1082"/>
      <c r="BD43" s="1082"/>
      <c r="BE43" s="1037"/>
      <c r="BF43" s="1038"/>
      <c r="BG43" s="1038"/>
    </row>
    <row r="44" spans="2:104" ht="16.5" customHeight="1" x14ac:dyDescent="0.2">
      <c r="AT44" s="1027"/>
      <c r="AY44" s="139"/>
      <c r="BB44" s="1082"/>
      <c r="BC44" s="1082"/>
      <c r="BD44" s="1082"/>
      <c r="BE44" s="1037"/>
      <c r="BF44" s="1038"/>
      <c r="BG44" s="1038"/>
    </row>
    <row r="45" spans="2:104" ht="16.5" customHeight="1" x14ac:dyDescent="0.2">
      <c r="AT45" s="647"/>
      <c r="AY45" s="139"/>
      <c r="BB45" s="1034"/>
      <c r="BC45" s="1034"/>
      <c r="BD45" s="1034"/>
      <c r="BE45" s="1037"/>
      <c r="BF45" s="1026"/>
      <c r="BG45" s="1038"/>
    </row>
    <row r="46" spans="2:104" ht="16.5" customHeight="1" x14ac:dyDescent="0.2">
      <c r="AT46" s="647"/>
      <c r="AY46" s="139"/>
      <c r="BB46" s="1034"/>
      <c r="BC46" s="1034"/>
      <c r="BD46" s="1034"/>
      <c r="BE46" s="1037"/>
    </row>
    <row r="47" spans="2:104" ht="16.5" customHeight="1" x14ac:dyDescent="0.2">
      <c r="AT47" s="647"/>
      <c r="AY47" s="139"/>
      <c r="BF47" s="860"/>
      <c r="BG47" s="1039"/>
    </row>
    <row r="48" spans="2:104" ht="16.5" customHeight="1" x14ac:dyDescent="0.2">
      <c r="AY48" s="139"/>
    </row>
    <row r="49" spans="54:59" ht="16.5" customHeight="1" x14ac:dyDescent="0.2">
      <c r="BB49" s="1083"/>
      <c r="BC49" s="1083"/>
      <c r="BD49" s="1083"/>
      <c r="BE49" s="1015"/>
      <c r="BF49" s="1040"/>
      <c r="BG49" s="1041"/>
    </row>
    <row r="50" spans="54:59" ht="16.5" customHeight="1" x14ac:dyDescent="0.2">
      <c r="BB50" s="1083"/>
      <c r="BC50" s="1083"/>
      <c r="BD50" s="1083"/>
      <c r="BE50" s="1015"/>
      <c r="BF50" s="1040"/>
      <c r="BG50" s="1041"/>
    </row>
    <row r="80" spans="54:59" ht="16.5" customHeight="1" x14ac:dyDescent="0.2">
      <c r="BB80" s="859"/>
      <c r="BC80" s="859"/>
      <c r="BD80" s="859"/>
      <c r="BE80" s="859"/>
      <c r="BF80" s="859"/>
      <c r="BG80" s="859"/>
    </row>
    <row r="81" spans="1:59" ht="16.5" customHeight="1" x14ac:dyDescent="0.2">
      <c r="AU81" s="859"/>
      <c r="AV81" s="859"/>
      <c r="AW81" s="859"/>
      <c r="BB81" s="859"/>
      <c r="BC81" s="859"/>
      <c r="BD81" s="859"/>
      <c r="BE81" s="859"/>
      <c r="BF81" s="859"/>
      <c r="BG81" s="859"/>
    </row>
    <row r="82" spans="1:59" ht="16.5" customHeight="1" x14ac:dyDescent="0.2">
      <c r="AU82" s="859"/>
      <c r="AV82" s="859"/>
      <c r="AW82" s="859"/>
      <c r="BB82" s="859"/>
      <c r="BC82" s="859"/>
      <c r="BD82" s="859"/>
      <c r="BE82" s="859"/>
      <c r="BF82" s="859"/>
      <c r="BG82" s="859"/>
    </row>
    <row r="83" spans="1:59" ht="16.5" customHeight="1" x14ac:dyDescent="0.2">
      <c r="AU83" s="859"/>
      <c r="AV83" s="859"/>
      <c r="AW83" s="859"/>
      <c r="BB83" s="859"/>
      <c r="BC83" s="859"/>
      <c r="BD83" s="859"/>
      <c r="BE83" s="859"/>
      <c r="BF83" s="859"/>
      <c r="BG83" s="859"/>
    </row>
    <row r="84" spans="1:59" s="859" customFormat="1" ht="16.5" customHeight="1" x14ac:dyDescent="0.2">
      <c r="A84" s="855"/>
      <c r="B84" s="988"/>
      <c r="C84" s="855"/>
      <c r="D84" s="855"/>
      <c r="E84" s="855"/>
      <c r="F84" s="855"/>
    </row>
    <row r="85" spans="1:59" s="859" customFormat="1" ht="16.5" customHeight="1" x14ac:dyDescent="0.2">
      <c r="A85" s="855"/>
      <c r="B85" s="988"/>
      <c r="C85" s="855"/>
      <c r="D85" s="855"/>
      <c r="E85" s="855"/>
      <c r="F85" s="855"/>
    </row>
    <row r="86" spans="1:59" s="859" customFormat="1" ht="16.5" customHeight="1" x14ac:dyDescent="0.2">
      <c r="A86" s="651" t="s">
        <v>124</v>
      </c>
      <c r="B86" s="173"/>
      <c r="C86" s="173"/>
      <c r="D86" s="173"/>
    </row>
    <row r="87" spans="1:59" s="859" customFormat="1" ht="16.5" customHeight="1" x14ac:dyDescent="0.2">
      <c r="A87" s="855"/>
      <c r="B87" s="855"/>
      <c r="C87" s="855"/>
      <c r="D87" s="855"/>
    </row>
    <row r="88" spans="1:59" s="859" customFormat="1" ht="16.5" customHeight="1" x14ac:dyDescent="0.2">
      <c r="A88" s="175" t="s">
        <v>125</v>
      </c>
      <c r="B88" s="175" t="s">
        <v>126</v>
      </c>
      <c r="C88" s="175" t="s">
        <v>127</v>
      </c>
      <c r="D88" s="175" t="s">
        <v>128</v>
      </c>
    </row>
    <row r="89" spans="1:59" s="859" customFormat="1" ht="16.5" customHeight="1" x14ac:dyDescent="0.2">
      <c r="A89" s="178">
        <v>1</v>
      </c>
      <c r="B89" s="177" t="s">
        <v>129</v>
      </c>
      <c r="C89" s="178">
        <v>0.8</v>
      </c>
      <c r="D89" s="178">
        <v>5.8000000000000003E-2</v>
      </c>
      <c r="I89" s="855"/>
      <c r="J89" s="855"/>
      <c r="K89" s="855"/>
      <c r="L89" s="855"/>
      <c r="M89" s="855"/>
      <c r="N89" s="855"/>
      <c r="O89" s="855"/>
      <c r="P89" s="858"/>
      <c r="Q89" s="855"/>
    </row>
    <row r="90" spans="1:59" s="859" customFormat="1" ht="16.5" customHeight="1" x14ac:dyDescent="0.2">
      <c r="A90" s="178">
        <v>2</v>
      </c>
      <c r="B90" s="177" t="s">
        <v>130</v>
      </c>
      <c r="C90" s="178">
        <v>0.6</v>
      </c>
      <c r="D90" s="178">
        <v>4.2999999999999997E-2</v>
      </c>
      <c r="I90" s="855"/>
      <c r="J90" s="855"/>
      <c r="K90" s="855"/>
      <c r="L90" s="855"/>
      <c r="M90" s="855"/>
      <c r="N90" s="855"/>
      <c r="O90" s="855"/>
      <c r="P90" s="858"/>
      <c r="Q90" s="855"/>
    </row>
    <row r="91" spans="1:59" s="859" customFormat="1" ht="16.5" customHeight="1" x14ac:dyDescent="0.2">
      <c r="A91" s="178">
        <v>3</v>
      </c>
      <c r="B91" s="178" t="s">
        <v>131</v>
      </c>
      <c r="C91" s="178">
        <v>0.4</v>
      </c>
      <c r="D91" s="178">
        <v>2.9000000000000001E-2</v>
      </c>
      <c r="G91" s="855"/>
      <c r="H91" s="855"/>
      <c r="I91" s="855"/>
      <c r="J91" s="855"/>
      <c r="K91" s="855"/>
      <c r="L91" s="855"/>
      <c r="M91" s="855"/>
      <c r="N91" s="855"/>
      <c r="O91" s="855"/>
      <c r="P91" s="858"/>
      <c r="Q91" s="855"/>
    </row>
    <row r="92" spans="1:59" s="859" customFormat="1" ht="16.5" customHeight="1" x14ac:dyDescent="0.2">
      <c r="A92" s="178">
        <v>4</v>
      </c>
      <c r="B92" s="178" t="s">
        <v>132</v>
      </c>
      <c r="C92" s="178">
        <v>0.25</v>
      </c>
      <c r="D92" s="178">
        <v>1.7999999999999999E-2</v>
      </c>
      <c r="G92" s="855"/>
      <c r="H92" s="855"/>
      <c r="I92" s="855"/>
      <c r="J92" s="855"/>
      <c r="K92" s="855"/>
      <c r="L92" s="855"/>
      <c r="M92" s="855"/>
      <c r="N92" s="855"/>
      <c r="O92" s="855"/>
      <c r="P92" s="858"/>
      <c r="Q92" s="855"/>
    </row>
    <row r="93" spans="1:59" s="859" customFormat="1" ht="16.5" customHeight="1" x14ac:dyDescent="0.2">
      <c r="A93" s="855"/>
      <c r="B93" s="855"/>
      <c r="C93" s="855"/>
      <c r="D93" s="855"/>
      <c r="E93" s="855"/>
      <c r="F93" s="855"/>
      <c r="G93" s="855"/>
      <c r="H93" s="855"/>
      <c r="I93" s="855"/>
      <c r="J93" s="855"/>
      <c r="K93" s="855"/>
      <c r="L93" s="855"/>
      <c r="M93" s="855"/>
      <c r="N93" s="855"/>
      <c r="O93" s="855"/>
      <c r="P93" s="858"/>
      <c r="Q93" s="855"/>
    </row>
    <row r="94" spans="1:59" s="859" customFormat="1" ht="16.5" customHeight="1" x14ac:dyDescent="0.2">
      <c r="A94" s="855"/>
      <c r="B94" s="855"/>
      <c r="C94" s="855"/>
      <c r="D94" s="855"/>
      <c r="E94" s="855"/>
      <c r="F94" s="855"/>
      <c r="G94" s="855"/>
      <c r="H94" s="855"/>
      <c r="I94" s="855"/>
      <c r="J94" s="855"/>
      <c r="K94" s="855"/>
      <c r="L94" s="855"/>
      <c r="M94" s="855"/>
      <c r="N94" s="855"/>
      <c r="O94" s="855"/>
      <c r="P94" s="858"/>
      <c r="Q94" s="855"/>
    </row>
    <row r="95" spans="1:59" s="859" customFormat="1" ht="16.5" customHeight="1" x14ac:dyDescent="0.2">
      <c r="A95" s="651" t="s">
        <v>133</v>
      </c>
      <c r="B95" s="173"/>
      <c r="C95" s="173"/>
      <c r="D95" s="173"/>
      <c r="E95" s="855"/>
      <c r="F95" s="855"/>
      <c r="G95" s="855"/>
      <c r="H95" s="855"/>
      <c r="I95" s="855"/>
      <c r="J95" s="855"/>
      <c r="K95" s="855"/>
      <c r="L95" s="855"/>
      <c r="M95" s="855"/>
      <c r="N95" s="855"/>
      <c r="O95" s="855"/>
      <c r="P95" s="858"/>
      <c r="Q95" s="855"/>
    </row>
    <row r="96" spans="1:59" s="859" customFormat="1" ht="16.5" customHeight="1" x14ac:dyDescent="0.2">
      <c r="A96" s="855"/>
      <c r="B96" s="855"/>
      <c r="C96" s="855"/>
      <c r="D96" s="855"/>
      <c r="E96" s="855"/>
      <c r="F96" s="855"/>
      <c r="G96" s="855"/>
      <c r="H96" s="855"/>
      <c r="I96" s="855"/>
      <c r="J96" s="855"/>
      <c r="K96" s="855"/>
      <c r="L96" s="855"/>
      <c r="M96" s="855"/>
      <c r="N96" s="855"/>
      <c r="O96" s="855"/>
      <c r="P96" s="858"/>
      <c r="Q96" s="855"/>
    </row>
    <row r="97" spans="1:17" s="859" customFormat="1" ht="16.5" customHeight="1" x14ac:dyDescent="0.2">
      <c r="A97" s="1084" t="s">
        <v>134</v>
      </c>
      <c r="B97" s="1084" t="s">
        <v>135</v>
      </c>
      <c r="C97" s="1084"/>
      <c r="D97" s="179"/>
      <c r="E97" s="855"/>
      <c r="F97" s="855"/>
      <c r="G97" s="855"/>
      <c r="H97" s="855"/>
      <c r="I97" s="855"/>
      <c r="J97" s="855"/>
      <c r="K97" s="855"/>
      <c r="L97" s="855"/>
      <c r="M97" s="855"/>
      <c r="N97" s="855"/>
      <c r="O97" s="855"/>
      <c r="P97" s="858"/>
      <c r="Q97" s="855"/>
    </row>
    <row r="98" spans="1:17" s="859" customFormat="1" ht="16.5" customHeight="1" x14ac:dyDescent="0.2">
      <c r="A98" s="1084"/>
      <c r="B98" s="178" t="s">
        <v>136</v>
      </c>
      <c r="C98" s="178" t="s">
        <v>137</v>
      </c>
      <c r="D98" s="173"/>
      <c r="E98" s="855"/>
      <c r="F98" s="855"/>
      <c r="G98" s="855"/>
      <c r="H98" s="855"/>
      <c r="I98" s="855"/>
      <c r="J98" s="855"/>
      <c r="K98" s="855"/>
      <c r="L98" s="855"/>
      <c r="M98" s="855"/>
      <c r="N98" s="855"/>
      <c r="O98" s="855"/>
      <c r="P98" s="858"/>
      <c r="Q98" s="855"/>
    </row>
    <row r="99" spans="1:17" s="859" customFormat="1" ht="16.5" customHeight="1" x14ac:dyDescent="0.2">
      <c r="A99" s="652" t="s">
        <v>138</v>
      </c>
      <c r="B99" s="178" t="s">
        <v>139</v>
      </c>
      <c r="C99" s="178" t="s">
        <v>140</v>
      </c>
      <c r="D99" s="173"/>
      <c r="E99" s="855"/>
      <c r="F99" s="855"/>
      <c r="G99" s="855"/>
      <c r="H99" s="855"/>
      <c r="I99" s="855"/>
      <c r="J99" s="855"/>
      <c r="K99" s="855"/>
      <c r="L99" s="855"/>
      <c r="M99" s="855"/>
      <c r="N99" s="855"/>
      <c r="O99" s="855"/>
      <c r="P99" s="858"/>
      <c r="Q99" s="855"/>
    </row>
    <row r="100" spans="1:17" s="859" customFormat="1" ht="16.5" customHeight="1" x14ac:dyDescent="0.2">
      <c r="A100" s="653" t="s">
        <v>141</v>
      </c>
      <c r="B100" s="178" t="s">
        <v>142</v>
      </c>
      <c r="C100" s="178" t="s">
        <v>139</v>
      </c>
      <c r="D100" s="173"/>
      <c r="E100" s="855"/>
      <c r="F100" s="855"/>
      <c r="G100" s="855"/>
      <c r="H100" s="855"/>
      <c r="I100" s="855"/>
      <c r="J100" s="855"/>
      <c r="K100" s="855"/>
      <c r="L100" s="855"/>
      <c r="M100" s="855"/>
      <c r="N100" s="855"/>
      <c r="O100" s="855"/>
      <c r="P100" s="858"/>
      <c r="Q100" s="855"/>
    </row>
    <row r="101" spans="1:17" s="859" customFormat="1" ht="16.5" customHeight="1" x14ac:dyDescent="0.2">
      <c r="A101" s="653" t="s">
        <v>143</v>
      </c>
      <c r="B101" s="178" t="s">
        <v>144</v>
      </c>
      <c r="C101" s="178" t="s">
        <v>142</v>
      </c>
      <c r="D101" s="654"/>
      <c r="E101" s="855"/>
      <c r="F101" s="855"/>
      <c r="G101" s="855"/>
      <c r="H101" s="855"/>
      <c r="I101" s="855"/>
      <c r="J101" s="855"/>
      <c r="K101" s="855"/>
      <c r="L101" s="855"/>
      <c r="M101" s="855"/>
      <c r="N101" s="855"/>
      <c r="O101" s="855"/>
      <c r="P101" s="858"/>
      <c r="Q101" s="855"/>
    </row>
    <row r="102" spans="1:17" s="859" customFormat="1" ht="16.5" customHeight="1" x14ac:dyDescent="0.2">
      <c r="A102" s="855"/>
      <c r="B102" s="855"/>
      <c r="C102" s="855"/>
      <c r="D102" s="855"/>
      <c r="E102" s="855"/>
      <c r="F102" s="855"/>
      <c r="G102" s="1042"/>
      <c r="H102" s="1042"/>
      <c r="I102" s="1042"/>
      <c r="J102" s="855"/>
      <c r="K102" s="855"/>
      <c r="L102" s="855"/>
      <c r="M102" s="855"/>
      <c r="N102" s="1043" t="s">
        <v>201</v>
      </c>
      <c r="O102" s="1043" t="s">
        <v>202</v>
      </c>
      <c r="P102" s="1044" t="s">
        <v>203</v>
      </c>
      <c r="Q102" s="1043" t="s">
        <v>204</v>
      </c>
    </row>
    <row r="103" spans="1:17" s="859" customFormat="1" ht="16.5" customHeight="1" x14ac:dyDescent="0.2">
      <c r="A103" s="855"/>
      <c r="B103" s="855"/>
      <c r="C103" s="855"/>
      <c r="D103" s="855"/>
      <c r="E103" s="855"/>
      <c r="F103" s="855"/>
      <c r="G103" s="997"/>
      <c r="H103" s="1045"/>
      <c r="I103" s="1045"/>
      <c r="J103" s="855"/>
      <c r="K103" s="855"/>
      <c r="L103" s="855"/>
      <c r="M103" s="855"/>
      <c r="N103" s="1046">
        <v>1.52E-2</v>
      </c>
      <c r="O103" s="1046">
        <v>2.3699999999999999E-2</v>
      </c>
      <c r="P103" s="1047">
        <v>0.15</v>
      </c>
      <c r="Q103" s="1046">
        <v>7.3899999999999993E-2</v>
      </c>
    </row>
    <row r="104" spans="1:17" s="859" customFormat="1" ht="16.5" customHeight="1" x14ac:dyDescent="0.2">
      <c r="A104" s="1081" t="s">
        <v>145</v>
      </c>
      <c r="B104" s="1081"/>
      <c r="C104" s="1081"/>
      <c r="D104" s="1042"/>
      <c r="E104" s="1042"/>
      <c r="F104" s="1042"/>
      <c r="G104" s="855"/>
      <c r="H104" s="855"/>
      <c r="I104" s="855"/>
      <c r="J104" s="855"/>
      <c r="K104" s="855"/>
      <c r="L104" s="855"/>
      <c r="M104" s="855"/>
      <c r="N104" s="1048">
        <v>1.7399999999999999E-2</v>
      </c>
      <c r="O104" s="1048">
        <v>2.69E-2</v>
      </c>
      <c r="P104" s="1049">
        <v>0.16</v>
      </c>
      <c r="Q104" s="1048">
        <v>8.1100000000000005E-2</v>
      </c>
    </row>
    <row r="105" spans="1:17" s="859" customFormat="1" ht="16.5" customHeight="1" x14ac:dyDescent="0.2">
      <c r="A105" s="1050" t="s">
        <v>55</v>
      </c>
      <c r="B105" s="1051" t="s">
        <v>56</v>
      </c>
      <c r="C105" s="1051" t="s">
        <v>57</v>
      </c>
      <c r="D105" s="997"/>
      <c r="E105" s="1045"/>
      <c r="F105" s="1045"/>
      <c r="G105" s="855"/>
      <c r="H105" s="855"/>
      <c r="I105" s="855"/>
      <c r="J105" s="855"/>
      <c r="K105" s="855"/>
      <c r="L105" s="855"/>
      <c r="M105" s="855"/>
      <c r="N105" s="1048">
        <v>1.9699999999999999E-2</v>
      </c>
      <c r="O105" s="1048">
        <v>3.04E-2</v>
      </c>
      <c r="P105" s="1049">
        <v>0.17</v>
      </c>
      <c r="Q105" s="1048">
        <v>8.0500000000000002E-2</v>
      </c>
    </row>
    <row r="106" spans="1:17" s="859" customFormat="1" ht="16.5" customHeight="1" x14ac:dyDescent="0.2">
      <c r="A106" s="192">
        <v>1E-4</v>
      </c>
      <c r="B106" s="192">
        <v>6.6E-3</v>
      </c>
      <c r="C106" s="193">
        <v>0.01</v>
      </c>
      <c r="D106" s="855"/>
      <c r="E106" s="855"/>
      <c r="F106" s="855"/>
      <c r="G106" s="855"/>
      <c r="H106" s="855"/>
      <c r="I106" s="855"/>
      <c r="J106" s="855"/>
      <c r="K106" s="855"/>
      <c r="L106" s="855"/>
      <c r="M106" s="855"/>
      <c r="N106" s="1048">
        <v>2.2100000000000002E-2</v>
      </c>
      <c r="O106" s="1048">
        <v>3.4000000000000002E-2</v>
      </c>
      <c r="P106" s="1049">
        <v>0.18</v>
      </c>
      <c r="Q106" s="1048">
        <v>9.6100000000000005E-2</v>
      </c>
    </row>
    <row r="107" spans="1:17" s="859" customFormat="1" ht="16.5" customHeight="1" x14ac:dyDescent="0.2">
      <c r="A107" s="192">
        <v>2.0000000000000001E-4</v>
      </c>
      <c r="B107" s="192">
        <v>1.32E-2</v>
      </c>
      <c r="C107" s="193">
        <v>0.02</v>
      </c>
      <c r="D107" s="855"/>
      <c r="E107" s="855"/>
      <c r="F107" s="855"/>
      <c r="G107" s="855"/>
      <c r="H107" s="855"/>
      <c r="I107" s="855"/>
      <c r="J107" s="855"/>
      <c r="K107" s="855"/>
      <c r="L107" s="855"/>
      <c r="M107" s="855"/>
      <c r="N107" s="1048">
        <v>2.46E-2</v>
      </c>
      <c r="O107" s="1048">
        <v>3.7699999999999997E-2</v>
      </c>
      <c r="P107" s="1049">
        <v>0.19</v>
      </c>
      <c r="Q107" s="1048">
        <v>0.10299999999999999</v>
      </c>
    </row>
    <row r="108" spans="1:17" s="859" customFormat="1" ht="16.5" customHeight="1" x14ac:dyDescent="0.2">
      <c r="A108" s="192">
        <v>5.0000000000000001E-4</v>
      </c>
      <c r="B108" s="192">
        <v>1.9699999999999999E-2</v>
      </c>
      <c r="C108" s="193">
        <v>0.03</v>
      </c>
      <c r="D108" s="855"/>
      <c r="E108" s="855"/>
      <c r="F108" s="855"/>
      <c r="G108" s="855"/>
      <c r="H108" s="855"/>
      <c r="I108" s="855"/>
      <c r="J108" s="855"/>
      <c r="K108" s="855"/>
      <c r="L108" s="855"/>
      <c r="M108" s="855"/>
      <c r="N108" s="1048">
        <v>2.7300000000000001E-2</v>
      </c>
      <c r="O108" s="1048">
        <v>4.1799999999999997E-2</v>
      </c>
      <c r="P108" s="1049">
        <v>0.2</v>
      </c>
      <c r="Q108" s="1048">
        <v>0.111</v>
      </c>
    </row>
    <row r="109" spans="1:17" s="859" customFormat="1" ht="16.5" customHeight="1" x14ac:dyDescent="0.2">
      <c r="A109" s="192">
        <v>8.9999999999999998E-4</v>
      </c>
      <c r="B109" s="192">
        <v>2.6200000000000001E-2</v>
      </c>
      <c r="C109" s="193">
        <v>0.04</v>
      </c>
      <c r="D109" s="855"/>
      <c r="E109" s="855"/>
      <c r="F109" s="855"/>
      <c r="G109" s="855"/>
      <c r="H109" s="855"/>
      <c r="I109" s="855"/>
      <c r="J109" s="855"/>
      <c r="K109" s="855"/>
      <c r="L109" s="855"/>
      <c r="M109" s="855"/>
      <c r="N109" s="1048">
        <v>3.0200000000000001E-2</v>
      </c>
      <c r="O109" s="1048">
        <v>4.6100000000000002E-2</v>
      </c>
      <c r="P109" s="1049">
        <v>0.21</v>
      </c>
      <c r="Q109" s="1048">
        <v>0.11990000000000001</v>
      </c>
    </row>
    <row r="110" spans="1:17" s="859" customFormat="1" ht="16.5" customHeight="1" x14ac:dyDescent="0.2">
      <c r="A110" s="192">
        <v>1.5E-3</v>
      </c>
      <c r="B110" s="192">
        <v>3.2599999999999997E-2</v>
      </c>
      <c r="C110" s="193">
        <v>0.05</v>
      </c>
      <c r="D110" s="855"/>
      <c r="E110" s="855"/>
      <c r="F110" s="855"/>
      <c r="G110" s="855"/>
      <c r="H110" s="855"/>
      <c r="I110" s="855"/>
      <c r="J110" s="855"/>
      <c r="K110" s="855"/>
      <c r="L110" s="855"/>
      <c r="M110" s="855"/>
      <c r="N110" s="1048">
        <v>3.3099999999999997E-2</v>
      </c>
      <c r="O110" s="1048">
        <v>3.04E-2</v>
      </c>
      <c r="P110" s="1049">
        <v>0.22</v>
      </c>
      <c r="Q110" s="1048">
        <v>0.12609999999999999</v>
      </c>
    </row>
    <row r="111" spans="1:17" s="859" customFormat="1" ht="16.5" customHeight="1" x14ac:dyDescent="0.2">
      <c r="A111" s="192">
        <v>2.2000000000000001E-3</v>
      </c>
      <c r="B111" s="192">
        <v>3.8899999999999997E-2</v>
      </c>
      <c r="C111" s="193">
        <v>0.06</v>
      </c>
      <c r="D111" s="855"/>
      <c r="E111" s="855"/>
      <c r="F111" s="855"/>
      <c r="G111" s="855"/>
      <c r="H111" s="855"/>
      <c r="I111" s="855"/>
      <c r="J111" s="855"/>
      <c r="K111" s="855"/>
      <c r="L111" s="855"/>
      <c r="M111" s="855"/>
      <c r="N111" s="1048">
        <v>3.61E-2</v>
      </c>
      <c r="O111" s="1048">
        <v>5.4899999999999997E-2</v>
      </c>
      <c r="P111" s="1049">
        <v>0.23</v>
      </c>
      <c r="Q111" s="1048">
        <v>0.1366</v>
      </c>
    </row>
    <row r="112" spans="1:17" s="859" customFormat="1" ht="16.5" customHeight="1" x14ac:dyDescent="0.2">
      <c r="A112" s="192">
        <v>3.0999999999999999E-3</v>
      </c>
      <c r="B112" s="192">
        <v>4.5100000000000001E-2</v>
      </c>
      <c r="C112" s="193">
        <v>7.0000000000000007E-2</v>
      </c>
      <c r="D112" s="855"/>
      <c r="E112" s="855"/>
      <c r="F112" s="855"/>
      <c r="G112" s="855"/>
      <c r="H112" s="855"/>
      <c r="I112" s="855"/>
      <c r="J112" s="855"/>
      <c r="K112" s="855"/>
      <c r="L112" s="855"/>
      <c r="M112" s="855"/>
      <c r="N112" s="1048">
        <v>3.9399999999999998E-2</v>
      </c>
      <c r="O112" s="1048">
        <v>5.9700000000000003E-2</v>
      </c>
      <c r="P112" s="1049">
        <v>0.24</v>
      </c>
      <c r="Q112" s="1048">
        <v>0.1449</v>
      </c>
    </row>
    <row r="113" spans="1:17" s="859" customFormat="1" ht="16.5" customHeight="1" x14ac:dyDescent="0.2">
      <c r="A113" s="192">
        <v>4.1000000000000003E-3</v>
      </c>
      <c r="B113" s="192">
        <v>5.1299999999999998E-2</v>
      </c>
      <c r="C113" s="193">
        <v>0.08</v>
      </c>
      <c r="D113" s="855"/>
      <c r="E113" s="855"/>
      <c r="F113" s="855"/>
      <c r="G113" s="855"/>
      <c r="H113" s="855"/>
      <c r="I113" s="855"/>
      <c r="J113" s="855"/>
      <c r="K113" s="855"/>
      <c r="L113" s="855"/>
      <c r="M113" s="855"/>
      <c r="N113" s="1048">
        <v>4.2700000000000002E-2</v>
      </c>
      <c r="O113" s="1048">
        <v>6.4600000000000005E-2</v>
      </c>
      <c r="P113" s="1049">
        <v>0.25</v>
      </c>
      <c r="Q113" s="1048">
        <v>0.1535</v>
      </c>
    </row>
    <row r="114" spans="1:17" s="859" customFormat="1" ht="16.5" customHeight="1" x14ac:dyDescent="0.2">
      <c r="A114" s="192">
        <v>5.1999999999999998E-3</v>
      </c>
      <c r="B114" s="192">
        <v>5.7500000000000002E-2</v>
      </c>
      <c r="C114" s="193">
        <v>0.09</v>
      </c>
      <c r="D114" s="855"/>
      <c r="E114" s="855"/>
      <c r="F114" s="855"/>
      <c r="G114" s="855"/>
      <c r="H114" s="855"/>
      <c r="I114" s="855"/>
      <c r="J114" s="855"/>
      <c r="K114" s="855"/>
      <c r="L114" s="855"/>
      <c r="M114" s="855"/>
      <c r="N114" s="1048">
        <v>4.3200000000000002E-2</v>
      </c>
      <c r="O114" s="1048">
        <v>6.9800000000000001E-2</v>
      </c>
      <c r="P114" s="1049">
        <v>0.26</v>
      </c>
      <c r="Q114" s="1048">
        <v>0.1623</v>
      </c>
    </row>
    <row r="115" spans="1:17" s="859" customFormat="1" ht="16.5" customHeight="1" x14ac:dyDescent="0.2">
      <c r="A115" s="192">
        <v>6.4999999999999997E-3</v>
      </c>
      <c r="B115" s="192">
        <v>6.3500000000000001E-2</v>
      </c>
      <c r="C115" s="193">
        <v>0.1</v>
      </c>
      <c r="D115" s="855"/>
      <c r="E115" s="855"/>
      <c r="F115" s="855"/>
      <c r="G115" s="855"/>
      <c r="H115" s="855"/>
      <c r="I115" s="855"/>
      <c r="J115" s="855"/>
      <c r="K115" s="855"/>
      <c r="L115" s="855"/>
      <c r="M115" s="855"/>
      <c r="N115" s="1048">
        <v>4.9799999999999997E-2</v>
      </c>
      <c r="O115" s="1048">
        <v>7.5200000000000003E-2</v>
      </c>
      <c r="P115" s="1049">
        <v>0.27</v>
      </c>
      <c r="Q115" s="1048">
        <v>0.1711</v>
      </c>
    </row>
    <row r="116" spans="1:17" s="859" customFormat="1" ht="16.5" customHeight="1" x14ac:dyDescent="0.2">
      <c r="A116" s="192">
        <v>8.0000000000000002E-3</v>
      </c>
      <c r="B116" s="192">
        <v>6.9500000000000006E-2</v>
      </c>
      <c r="C116" s="193">
        <v>0.11</v>
      </c>
      <c r="D116" s="855"/>
      <c r="E116" s="855"/>
      <c r="F116" s="855"/>
      <c r="G116" s="855"/>
      <c r="H116" s="855"/>
      <c r="I116" s="855"/>
      <c r="J116" s="855"/>
      <c r="K116" s="855"/>
      <c r="L116" s="855"/>
      <c r="M116" s="855"/>
      <c r="N116" s="1048">
        <v>5.3499999999999999E-2</v>
      </c>
      <c r="O116" s="1048">
        <v>8.0500000000000002E-2</v>
      </c>
      <c r="P116" s="1049">
        <v>0.28000000000000003</v>
      </c>
      <c r="Q116" s="1048">
        <v>0.18</v>
      </c>
    </row>
    <row r="117" spans="1:17" s="859" customFormat="1" ht="16.5" customHeight="1" x14ac:dyDescent="0.2">
      <c r="A117" s="192">
        <v>9.4999999999999998E-3</v>
      </c>
      <c r="B117" s="192">
        <v>7.5499999999999998E-2</v>
      </c>
      <c r="C117" s="193">
        <v>0.12</v>
      </c>
      <c r="D117" s="855"/>
      <c r="E117" s="855"/>
      <c r="F117" s="855"/>
      <c r="G117" s="855"/>
      <c r="H117" s="855"/>
      <c r="I117" s="855"/>
      <c r="J117" s="855"/>
      <c r="K117" s="855"/>
      <c r="L117" s="855"/>
      <c r="M117" s="855"/>
      <c r="N117" s="1048">
        <v>5.7299999999999997E-2</v>
      </c>
      <c r="O117" s="1048">
        <v>8.6199999999999999E-2</v>
      </c>
      <c r="P117" s="1049">
        <v>0.28999999999999998</v>
      </c>
      <c r="Q117" s="1048">
        <v>0.189</v>
      </c>
    </row>
    <row r="118" spans="1:17" s="859" customFormat="1" ht="16.5" customHeight="1" x14ac:dyDescent="0.2">
      <c r="A118" s="192">
        <v>1.1299999999999999E-2</v>
      </c>
      <c r="B118" s="192">
        <v>8.1299999999999997E-2</v>
      </c>
      <c r="C118" s="193">
        <v>0.13</v>
      </c>
      <c r="D118" s="855"/>
      <c r="E118" s="855"/>
      <c r="F118" s="855"/>
      <c r="G118" s="855"/>
      <c r="H118" s="855"/>
      <c r="I118" s="855"/>
      <c r="J118" s="855"/>
      <c r="K118" s="855"/>
      <c r="L118" s="855"/>
      <c r="M118" s="855"/>
      <c r="N118" s="1048">
        <v>6.13E-2</v>
      </c>
      <c r="O118" s="1048">
        <v>9.2100000000000001E-2</v>
      </c>
      <c r="P118" s="1049">
        <v>0.3</v>
      </c>
      <c r="Q118" s="1048">
        <v>0.19819999999999999</v>
      </c>
    </row>
    <row r="119" spans="1:17" s="859" customFormat="1" ht="16.5" customHeight="1" x14ac:dyDescent="0.2">
      <c r="A119" s="192">
        <v>1.3100000000000001E-2</v>
      </c>
      <c r="B119" s="192">
        <v>8.7099999999999997E-2</v>
      </c>
      <c r="C119" s="193">
        <v>0.14000000000000001</v>
      </c>
      <c r="D119" s="855"/>
      <c r="E119" s="855"/>
      <c r="F119" s="855"/>
      <c r="G119" s="855"/>
      <c r="H119" s="855"/>
      <c r="I119" s="855"/>
      <c r="J119" s="855"/>
      <c r="K119" s="855"/>
      <c r="L119" s="855"/>
      <c r="M119" s="855"/>
      <c r="N119" s="1048">
        <v>6.5299999999999997E-2</v>
      </c>
      <c r="O119" s="1048">
        <v>9.8100000000000007E-2</v>
      </c>
      <c r="P119" s="1049">
        <v>0.31</v>
      </c>
      <c r="Q119" s="1048">
        <v>0.2074</v>
      </c>
    </row>
    <row r="120" spans="1:17" s="859" customFormat="1" ht="16.5" customHeight="1" x14ac:dyDescent="0.2">
      <c r="A120" s="192">
        <v>1.52E-2</v>
      </c>
      <c r="B120" s="192">
        <v>9.2899999999999996E-2</v>
      </c>
      <c r="C120" s="193">
        <v>0.15</v>
      </c>
      <c r="D120" s="855"/>
      <c r="E120" s="855"/>
      <c r="F120" s="855"/>
      <c r="G120" s="855"/>
      <c r="H120" s="855"/>
      <c r="I120" s="855"/>
      <c r="J120" s="855"/>
      <c r="K120" s="855"/>
      <c r="L120" s="855"/>
      <c r="M120" s="855"/>
      <c r="N120" s="1048">
        <v>6.9400000000000003E-2</v>
      </c>
      <c r="O120" s="1048">
        <v>0.10440000000000001</v>
      </c>
      <c r="P120" s="1049">
        <v>0.32</v>
      </c>
      <c r="Q120" s="1048">
        <v>0.2167</v>
      </c>
    </row>
    <row r="121" spans="1:17" s="859" customFormat="1" ht="16.5" customHeight="1" x14ac:dyDescent="0.2">
      <c r="A121" s="192">
        <v>1.7299999999999999E-2</v>
      </c>
      <c r="B121" s="192">
        <v>9.8599999999999993E-2</v>
      </c>
      <c r="C121" s="193">
        <v>0.16</v>
      </c>
      <c r="D121" s="855"/>
      <c r="E121" s="855"/>
      <c r="F121" s="855"/>
      <c r="G121" s="855"/>
      <c r="H121" s="855"/>
      <c r="I121" s="855"/>
      <c r="J121" s="855"/>
      <c r="K121" s="855"/>
      <c r="L121" s="855"/>
      <c r="M121" s="855"/>
      <c r="N121" s="1048">
        <v>7.3499999999999996E-2</v>
      </c>
      <c r="O121" s="1048">
        <v>0.11070000000000001</v>
      </c>
      <c r="P121" s="1049">
        <v>0.33</v>
      </c>
      <c r="Q121" s="1048">
        <v>0.22600000000000001</v>
      </c>
    </row>
    <row r="122" spans="1:17" s="859" customFormat="1" ht="16.5" customHeight="1" x14ac:dyDescent="0.2">
      <c r="A122" s="192">
        <v>1.9599999999999999E-2</v>
      </c>
      <c r="B122" s="192">
        <v>0.1042</v>
      </c>
      <c r="C122" s="193">
        <v>0.17</v>
      </c>
      <c r="D122" s="855"/>
      <c r="E122" s="855"/>
      <c r="F122" s="855"/>
      <c r="G122" s="855"/>
      <c r="H122" s="855"/>
      <c r="I122" s="855"/>
      <c r="J122" s="855"/>
      <c r="K122" s="855"/>
      <c r="L122" s="855"/>
      <c r="M122" s="855"/>
      <c r="N122" s="1048">
        <v>7.7700000000000005E-2</v>
      </c>
      <c r="O122" s="1048">
        <v>0.1174</v>
      </c>
      <c r="P122" s="1049">
        <v>0.34</v>
      </c>
      <c r="Q122" s="1048">
        <v>0.23549999999999999</v>
      </c>
    </row>
    <row r="123" spans="1:17" s="859" customFormat="1" ht="16.5" customHeight="1" x14ac:dyDescent="0.2">
      <c r="A123" s="192">
        <v>2.1999999999999999E-2</v>
      </c>
      <c r="B123" s="192">
        <v>0.10970000000000001</v>
      </c>
      <c r="C123" s="193">
        <v>0.18</v>
      </c>
      <c r="D123" s="855"/>
      <c r="E123" s="855"/>
      <c r="F123" s="855"/>
      <c r="G123" s="855"/>
      <c r="H123" s="855"/>
      <c r="I123" s="855"/>
      <c r="J123" s="855"/>
      <c r="K123" s="855"/>
      <c r="L123" s="855"/>
      <c r="M123" s="855"/>
      <c r="N123" s="1048">
        <v>8.1799999999999998E-2</v>
      </c>
      <c r="O123" s="1048">
        <v>0.1242</v>
      </c>
      <c r="P123" s="1049">
        <v>0.35</v>
      </c>
      <c r="Q123" s="1048">
        <v>0.245</v>
      </c>
    </row>
    <row r="124" spans="1:17" s="859" customFormat="1" ht="16.5" customHeight="1" x14ac:dyDescent="0.2">
      <c r="A124" s="192">
        <v>2.46E-2</v>
      </c>
      <c r="B124" s="192">
        <v>0.1152</v>
      </c>
      <c r="C124" s="193">
        <v>0.19</v>
      </c>
      <c r="D124" s="855"/>
      <c r="E124" s="855"/>
      <c r="F124" s="855"/>
      <c r="G124" s="855"/>
      <c r="H124" s="855"/>
      <c r="I124" s="855"/>
      <c r="J124" s="855"/>
      <c r="K124" s="855"/>
      <c r="L124" s="855"/>
      <c r="M124" s="855"/>
      <c r="N124" s="1048">
        <v>8.6400000000000005E-2</v>
      </c>
      <c r="O124" s="1048">
        <v>0.13120000000000001</v>
      </c>
      <c r="P124" s="1049">
        <v>0.36</v>
      </c>
      <c r="Q124" s="1048">
        <v>0.25459999999999999</v>
      </c>
    </row>
    <row r="125" spans="1:17" s="859" customFormat="1" ht="16.5" customHeight="1" x14ac:dyDescent="0.2">
      <c r="A125" s="192">
        <v>2.7300000000000001E-2</v>
      </c>
      <c r="B125" s="192">
        <v>0.1206</v>
      </c>
      <c r="C125" s="193">
        <v>0.2</v>
      </c>
      <c r="D125" s="855"/>
      <c r="E125" s="855"/>
      <c r="F125" s="855"/>
      <c r="G125" s="855"/>
      <c r="H125" s="855"/>
      <c r="I125" s="855"/>
      <c r="J125" s="855"/>
      <c r="K125" s="855"/>
      <c r="L125" s="855"/>
      <c r="M125" s="855"/>
      <c r="N125" s="1048">
        <v>9.0999999999999998E-2</v>
      </c>
      <c r="O125" s="1048">
        <v>0.13830000000000001</v>
      </c>
      <c r="P125" s="1049">
        <v>0.37</v>
      </c>
      <c r="Q125" s="1048">
        <v>0.26419999999999999</v>
      </c>
    </row>
    <row r="126" spans="1:17" s="859" customFormat="1" ht="16.5" customHeight="1" x14ac:dyDescent="0.2">
      <c r="A126" s="192">
        <v>3.0099999999999998E-2</v>
      </c>
      <c r="B126" s="192">
        <v>0.12590000000000001</v>
      </c>
      <c r="C126" s="193">
        <v>0.21</v>
      </c>
      <c r="D126" s="855"/>
      <c r="E126" s="855"/>
      <c r="F126" s="855"/>
      <c r="G126" s="855"/>
      <c r="H126" s="855"/>
      <c r="I126" s="855"/>
      <c r="J126" s="855"/>
      <c r="K126" s="855"/>
      <c r="L126" s="855"/>
      <c r="M126" s="855"/>
      <c r="N126" s="1048">
        <v>9.5500000000000002E-2</v>
      </c>
      <c r="O126" s="1048">
        <v>0.14549999999999999</v>
      </c>
      <c r="P126" s="1049">
        <v>0.38</v>
      </c>
      <c r="Q126" s="1048">
        <v>0.27389999999999998</v>
      </c>
    </row>
    <row r="127" spans="1:17" s="859" customFormat="1" ht="16.5" customHeight="1" x14ac:dyDescent="0.2">
      <c r="A127" s="192">
        <v>3.3099999999999997E-2</v>
      </c>
      <c r="B127" s="192">
        <v>0.13120000000000001</v>
      </c>
      <c r="C127" s="193">
        <v>0.22</v>
      </c>
      <c r="D127" s="855"/>
      <c r="E127" s="855"/>
      <c r="F127" s="855"/>
      <c r="G127" s="855"/>
      <c r="H127" s="855"/>
      <c r="I127" s="855"/>
      <c r="J127" s="855"/>
      <c r="K127" s="855"/>
      <c r="L127" s="855"/>
      <c r="M127" s="855"/>
      <c r="N127" s="1048">
        <v>0.1002</v>
      </c>
      <c r="O127" s="1048">
        <v>0.153</v>
      </c>
      <c r="P127" s="1049">
        <v>0.39</v>
      </c>
      <c r="Q127" s="1048">
        <v>0.28360000000000002</v>
      </c>
    </row>
    <row r="128" spans="1:17" s="859" customFormat="1" ht="16.5" customHeight="1" x14ac:dyDescent="0.2">
      <c r="A128" s="192">
        <v>3.6200000000000003E-2</v>
      </c>
      <c r="B128" s="192">
        <v>0.13639999999999999</v>
      </c>
      <c r="C128" s="193">
        <v>0.23</v>
      </c>
      <c r="D128" s="855"/>
      <c r="E128" s="855"/>
      <c r="F128" s="855"/>
      <c r="G128" s="855"/>
      <c r="H128" s="855"/>
      <c r="I128" s="855"/>
      <c r="J128" s="855"/>
      <c r="K128" s="855"/>
      <c r="L128" s="855"/>
      <c r="M128" s="855"/>
      <c r="N128" s="1048">
        <v>0.105</v>
      </c>
      <c r="O128" s="1048">
        <v>0.16039999999999999</v>
      </c>
      <c r="P128" s="1049">
        <v>0.4</v>
      </c>
      <c r="Q128" s="1048">
        <v>0.29339999999999999</v>
      </c>
    </row>
    <row r="129" spans="1:17" s="859" customFormat="1" ht="16.5" customHeight="1" x14ac:dyDescent="0.2">
      <c r="A129" s="192">
        <v>3.9399999999999998E-2</v>
      </c>
      <c r="B129" s="192">
        <v>0.1416</v>
      </c>
      <c r="C129" s="193">
        <v>0.24</v>
      </c>
      <c r="D129" s="855"/>
      <c r="E129" s="855"/>
      <c r="F129" s="855"/>
      <c r="G129" s="855"/>
      <c r="H129" s="855"/>
      <c r="I129" s="855"/>
      <c r="J129" s="855"/>
      <c r="K129" s="855"/>
      <c r="L129" s="855"/>
      <c r="M129" s="855"/>
      <c r="N129" s="1048">
        <v>0.20899999999999999</v>
      </c>
      <c r="O129" s="1048">
        <v>0.16830000000000001</v>
      </c>
      <c r="P129" s="1049">
        <v>0.41</v>
      </c>
      <c r="Q129" s="1048">
        <v>0.30320000000000003</v>
      </c>
    </row>
    <row r="130" spans="1:17" s="859" customFormat="1" ht="16.5" customHeight="1" x14ac:dyDescent="0.2">
      <c r="A130" s="192">
        <v>4.2700000000000002E-2</v>
      </c>
      <c r="B130" s="192">
        <v>0.14660000000000001</v>
      </c>
      <c r="C130" s="193">
        <v>0.25</v>
      </c>
      <c r="D130" s="855"/>
      <c r="E130" s="855"/>
      <c r="F130" s="855"/>
      <c r="G130" s="855"/>
      <c r="H130" s="855"/>
      <c r="I130" s="855"/>
      <c r="J130" s="855"/>
      <c r="K130" s="855"/>
      <c r="L130" s="855"/>
      <c r="M130" s="855"/>
      <c r="N130" s="1048">
        <v>0.1148</v>
      </c>
      <c r="O130" s="1048">
        <v>0.1762</v>
      </c>
      <c r="P130" s="1049">
        <v>0.42</v>
      </c>
      <c r="Q130" s="1048">
        <v>0.313</v>
      </c>
    </row>
    <row r="131" spans="1:17" s="859" customFormat="1" ht="16.5" customHeight="1" x14ac:dyDescent="0.2">
      <c r="A131" s="192">
        <v>4.6100000000000002E-2</v>
      </c>
      <c r="B131" s="192">
        <v>0.15160000000000001</v>
      </c>
      <c r="C131" s="193">
        <v>0.26</v>
      </c>
      <c r="D131" s="855"/>
      <c r="E131" s="855"/>
      <c r="F131" s="855"/>
      <c r="G131" s="855"/>
      <c r="H131" s="855"/>
      <c r="I131" s="855"/>
      <c r="J131" s="855"/>
      <c r="K131" s="855"/>
      <c r="L131" s="855"/>
      <c r="M131" s="855"/>
      <c r="N131" s="1048">
        <v>0.1198</v>
      </c>
      <c r="O131" s="1048">
        <v>0.18440000000000001</v>
      </c>
      <c r="P131" s="1049">
        <v>0.43</v>
      </c>
      <c r="Q131" s="1048">
        <v>0.32290000000000002</v>
      </c>
    </row>
    <row r="132" spans="1:17" s="859" customFormat="1" ht="16.5" customHeight="1" x14ac:dyDescent="0.2">
      <c r="A132" s="192">
        <v>4.9700000000000001E-2</v>
      </c>
      <c r="B132" s="192">
        <v>0.15659999999999999</v>
      </c>
      <c r="C132" s="193">
        <v>0.27</v>
      </c>
      <c r="D132" s="855"/>
      <c r="E132" s="855"/>
      <c r="F132" s="855"/>
      <c r="G132" s="855"/>
      <c r="H132" s="855"/>
      <c r="I132" s="855"/>
      <c r="J132" s="855"/>
      <c r="K132" s="855"/>
      <c r="L132" s="855"/>
      <c r="M132" s="855"/>
      <c r="N132" s="1048">
        <v>0.12479999999999999</v>
      </c>
      <c r="O132" s="1048">
        <v>0.19259999999999999</v>
      </c>
      <c r="P132" s="1049">
        <v>0.44</v>
      </c>
      <c r="Q132" s="1048">
        <v>0.33279999999999998</v>
      </c>
    </row>
    <row r="133" spans="1:17" s="859" customFormat="1" ht="16.5" customHeight="1" x14ac:dyDescent="0.2">
      <c r="A133" s="192">
        <v>5.3400000000000003E-2</v>
      </c>
      <c r="B133" s="192">
        <v>0.16139999999999999</v>
      </c>
      <c r="C133" s="193">
        <v>0.28000000000000003</v>
      </c>
      <c r="D133" s="855"/>
      <c r="E133" s="855"/>
      <c r="F133" s="855"/>
      <c r="G133" s="855"/>
      <c r="H133" s="855"/>
      <c r="I133" s="855"/>
      <c r="J133" s="855"/>
      <c r="K133" s="855"/>
      <c r="L133" s="855"/>
      <c r="M133" s="855"/>
      <c r="N133" s="1048">
        <v>0.1298</v>
      </c>
      <c r="O133" s="1048">
        <v>0.2014</v>
      </c>
      <c r="P133" s="1049">
        <v>0.45</v>
      </c>
      <c r="Q133" s="1048">
        <v>0.34200000000000003</v>
      </c>
    </row>
    <row r="134" spans="1:17" s="859" customFormat="1" ht="16.5" customHeight="1" x14ac:dyDescent="0.2">
      <c r="A134" s="192">
        <v>5.7200000000000001E-2</v>
      </c>
      <c r="B134" s="192">
        <v>0.16619999999999999</v>
      </c>
      <c r="C134" s="193">
        <v>0.28999999999999998</v>
      </c>
      <c r="D134" s="855"/>
      <c r="E134" s="855"/>
      <c r="F134" s="855"/>
      <c r="G134" s="855"/>
      <c r="H134" s="855"/>
      <c r="I134" s="855"/>
      <c r="J134" s="855"/>
      <c r="K134" s="855"/>
      <c r="L134" s="855"/>
      <c r="M134" s="855"/>
      <c r="N134" s="1048">
        <v>0.13469999999999999</v>
      </c>
      <c r="O134" s="1048">
        <v>0.20979999999999999</v>
      </c>
      <c r="P134" s="1049">
        <v>0.46</v>
      </c>
      <c r="Q134" s="1048">
        <v>0.35270000000000001</v>
      </c>
    </row>
    <row r="135" spans="1:17" s="859" customFormat="1" ht="16.5" customHeight="1" x14ac:dyDescent="0.2">
      <c r="A135" s="192">
        <v>6.0999999999999999E-2</v>
      </c>
      <c r="B135" s="192">
        <v>0.1709</v>
      </c>
      <c r="C135" s="193">
        <v>0.3</v>
      </c>
      <c r="D135" s="855"/>
      <c r="E135" s="855"/>
      <c r="F135" s="855"/>
      <c r="G135" s="855"/>
      <c r="H135" s="855"/>
      <c r="I135" s="855"/>
      <c r="J135" s="855"/>
      <c r="K135" s="855"/>
      <c r="L135" s="855"/>
      <c r="M135" s="855"/>
      <c r="N135" s="1048">
        <v>0.1401</v>
      </c>
      <c r="O135" s="1048">
        <v>0.2185</v>
      </c>
      <c r="P135" s="1049">
        <v>0.47</v>
      </c>
      <c r="Q135" s="1048">
        <v>0.36270000000000002</v>
      </c>
    </row>
    <row r="136" spans="1:17" s="859" customFormat="1" ht="16.5" customHeight="1" x14ac:dyDescent="0.2">
      <c r="A136" s="192">
        <v>6.5000000000000002E-2</v>
      </c>
      <c r="B136" s="192">
        <v>0.17560000000000001</v>
      </c>
      <c r="C136" s="193">
        <v>0.31</v>
      </c>
      <c r="D136" s="855"/>
      <c r="E136" s="855"/>
      <c r="F136" s="855"/>
      <c r="G136" s="855"/>
      <c r="H136" s="855"/>
      <c r="I136" s="855"/>
      <c r="J136" s="855"/>
      <c r="K136" s="855"/>
      <c r="L136" s="855"/>
      <c r="M136" s="855"/>
      <c r="N136" s="1048">
        <v>0.14510000000000001</v>
      </c>
      <c r="O136" s="1048">
        <v>0.2276</v>
      </c>
      <c r="P136" s="1049">
        <v>0.48</v>
      </c>
      <c r="Q136" s="1048">
        <v>0.37269999999999998</v>
      </c>
    </row>
    <row r="137" spans="1:17" s="859" customFormat="1" ht="16.5" customHeight="1" x14ac:dyDescent="0.2">
      <c r="A137" s="192">
        <v>6.9099999999999995E-2</v>
      </c>
      <c r="B137" s="192">
        <v>0.1802</v>
      </c>
      <c r="C137" s="193">
        <v>0.32</v>
      </c>
      <c r="D137" s="855"/>
      <c r="E137" s="855"/>
      <c r="F137" s="855"/>
      <c r="G137" s="196"/>
      <c r="H137" s="196"/>
      <c r="I137" s="197"/>
      <c r="J137" s="855"/>
      <c r="K137" s="855"/>
      <c r="L137" s="855"/>
      <c r="M137" s="855"/>
      <c r="N137" s="1048">
        <v>0.15079999999999999</v>
      </c>
      <c r="O137" s="1048">
        <v>0.23680000000000001</v>
      </c>
      <c r="P137" s="1049">
        <v>0.49</v>
      </c>
      <c r="Q137" s="1048">
        <v>0.38269999999999998</v>
      </c>
    </row>
    <row r="138" spans="1:17" s="859" customFormat="1" ht="16.5" customHeight="1" x14ac:dyDescent="0.2">
      <c r="A138" s="192">
        <v>7.3300000000000004E-2</v>
      </c>
      <c r="B138" s="192">
        <v>0.1847</v>
      </c>
      <c r="C138" s="193">
        <v>0.33</v>
      </c>
      <c r="D138" s="855"/>
      <c r="E138" s="855"/>
      <c r="F138" s="855"/>
      <c r="G138" s="855"/>
      <c r="H138" s="855"/>
      <c r="I138" s="855"/>
      <c r="J138" s="855"/>
      <c r="K138" s="855"/>
      <c r="L138" s="855"/>
      <c r="M138" s="855"/>
      <c r="N138" s="1048">
        <v>0.15590000000000001</v>
      </c>
      <c r="O138" s="1048">
        <v>0.24640000000000001</v>
      </c>
      <c r="P138" s="1049">
        <v>0.5</v>
      </c>
      <c r="Q138" s="1048">
        <v>0.39300000000000002</v>
      </c>
    </row>
    <row r="139" spans="1:17" s="859" customFormat="1" ht="16.5" customHeight="1" x14ac:dyDescent="0.2">
      <c r="A139" s="192">
        <v>7.7600000000000002E-2</v>
      </c>
      <c r="B139" s="192">
        <v>0.18909999999999999</v>
      </c>
      <c r="C139" s="193">
        <v>0.34</v>
      </c>
      <c r="D139" s="196"/>
      <c r="E139" s="196"/>
      <c r="F139" s="197"/>
      <c r="G139" s="855"/>
      <c r="H139" s="855"/>
      <c r="I139" s="855"/>
      <c r="J139" s="855"/>
      <c r="K139" s="855"/>
      <c r="L139" s="855"/>
      <c r="M139" s="855"/>
      <c r="N139" s="1048">
        <v>0.16120000000000001</v>
      </c>
      <c r="O139" s="1048">
        <v>0.255</v>
      </c>
      <c r="P139" s="1049">
        <v>0.51</v>
      </c>
      <c r="Q139" s="1048">
        <v>0.40300000000000002</v>
      </c>
    </row>
    <row r="140" spans="1:17" s="859" customFormat="1" ht="16.5" customHeight="1" x14ac:dyDescent="0.2">
      <c r="A140" s="192">
        <v>8.2000000000000003E-2</v>
      </c>
      <c r="B140" s="192">
        <v>0.19350000000000001</v>
      </c>
      <c r="C140" s="193">
        <v>0.35</v>
      </c>
      <c r="D140" s="855"/>
      <c r="E140" s="855"/>
      <c r="F140" s="855"/>
      <c r="G140" s="855"/>
      <c r="H140" s="855"/>
      <c r="I140" s="855"/>
      <c r="J140" s="855"/>
      <c r="K140" s="855"/>
      <c r="L140" s="855"/>
      <c r="M140" s="855"/>
      <c r="N140" s="1048">
        <v>0.1668</v>
      </c>
      <c r="O140" s="1048">
        <v>0.2651</v>
      </c>
      <c r="P140" s="1049">
        <v>0.52</v>
      </c>
      <c r="Q140" s="1048">
        <v>0.41299999999999998</v>
      </c>
    </row>
    <row r="141" spans="1:17" s="859" customFormat="1" ht="16.5" customHeight="1" x14ac:dyDescent="0.2">
      <c r="A141" s="192">
        <v>8.6400000000000005E-2</v>
      </c>
      <c r="B141" s="192">
        <v>0.1978</v>
      </c>
      <c r="C141" s="193">
        <v>0.36</v>
      </c>
      <c r="D141" s="855"/>
      <c r="E141" s="855"/>
      <c r="F141" s="855"/>
      <c r="G141" s="855"/>
      <c r="H141" s="855"/>
      <c r="I141" s="855"/>
      <c r="J141" s="855"/>
      <c r="K141" s="855"/>
      <c r="L141" s="855"/>
      <c r="M141" s="855"/>
      <c r="N141" s="1048">
        <v>0.1719</v>
      </c>
      <c r="O141" s="1048">
        <v>0.27510000000000001</v>
      </c>
      <c r="P141" s="1049">
        <v>0.53</v>
      </c>
      <c r="Q141" s="1048">
        <v>0.42299999999999999</v>
      </c>
    </row>
    <row r="142" spans="1:17" s="859" customFormat="1" ht="16.5" customHeight="1" x14ac:dyDescent="0.2">
      <c r="A142" s="192">
        <v>9.0999999999999998E-2</v>
      </c>
      <c r="B142" s="192">
        <v>0.20200000000000001</v>
      </c>
      <c r="C142" s="193">
        <v>0.37</v>
      </c>
      <c r="D142" s="855"/>
      <c r="E142" s="855"/>
      <c r="F142" s="855"/>
      <c r="G142" s="855"/>
      <c r="H142" s="855"/>
      <c r="I142" s="855"/>
      <c r="J142" s="855"/>
      <c r="K142" s="855"/>
      <c r="L142" s="855"/>
      <c r="M142" s="855"/>
      <c r="N142" s="1048">
        <v>0.17730000000000001</v>
      </c>
      <c r="O142" s="1048">
        <v>0.2853</v>
      </c>
      <c r="P142" s="1049">
        <v>0.54</v>
      </c>
      <c r="Q142" s="1048">
        <v>0.433</v>
      </c>
    </row>
    <row r="143" spans="1:17" s="859" customFormat="1" ht="16.5" customHeight="1" x14ac:dyDescent="0.2">
      <c r="A143" s="192">
        <v>9.5600000000000004E-2</v>
      </c>
      <c r="B143" s="192">
        <v>0.20619999999999999</v>
      </c>
      <c r="C143" s="193">
        <v>0.38</v>
      </c>
      <c r="D143" s="855"/>
      <c r="E143" s="855"/>
      <c r="F143" s="855"/>
      <c r="G143" s="855"/>
      <c r="H143" s="855"/>
      <c r="I143" s="855"/>
      <c r="J143" s="855"/>
      <c r="K143" s="855"/>
      <c r="L143" s="855"/>
      <c r="M143" s="855"/>
      <c r="N143" s="1048">
        <v>0.18279999999999999</v>
      </c>
      <c r="O143" s="1048">
        <v>0.29559999999999997</v>
      </c>
      <c r="P143" s="1049">
        <v>0.55000000000000004</v>
      </c>
      <c r="Q143" s="1048">
        <v>0.443</v>
      </c>
    </row>
    <row r="144" spans="1:17" s="859" customFormat="1" ht="16.5" customHeight="1" x14ac:dyDescent="0.2">
      <c r="A144" s="192">
        <v>0.1003</v>
      </c>
      <c r="B144" s="192">
        <v>0.2102</v>
      </c>
      <c r="C144" s="193">
        <v>0.39</v>
      </c>
      <c r="D144" s="855"/>
      <c r="E144" s="855"/>
      <c r="F144" s="855"/>
      <c r="G144" s="855"/>
      <c r="H144" s="855"/>
      <c r="I144" s="855"/>
      <c r="J144" s="855"/>
      <c r="K144" s="855"/>
      <c r="L144" s="855"/>
      <c r="M144" s="855"/>
      <c r="N144" s="1048">
        <v>0.1883</v>
      </c>
      <c r="O144" s="1048">
        <v>0.30690000000000001</v>
      </c>
      <c r="P144" s="1049">
        <v>0.56000000000000005</v>
      </c>
      <c r="Q144" s="1048">
        <v>0.45300000000000001</v>
      </c>
    </row>
    <row r="145" spans="1:17" s="859" customFormat="1" ht="16.5" customHeight="1" x14ac:dyDescent="0.2">
      <c r="A145" s="192">
        <v>0.105</v>
      </c>
      <c r="B145" s="192">
        <v>0.2142</v>
      </c>
      <c r="C145" s="193">
        <v>0.4</v>
      </c>
      <c r="D145" s="855"/>
      <c r="E145" s="855"/>
      <c r="F145" s="855"/>
      <c r="G145" s="855"/>
      <c r="H145" s="855"/>
      <c r="I145" s="855"/>
      <c r="J145" s="855"/>
      <c r="K145" s="855"/>
      <c r="L145" s="855"/>
      <c r="M145" s="855"/>
      <c r="N145" s="1048">
        <v>0.183</v>
      </c>
      <c r="O145" s="1048">
        <v>0.31569999999999998</v>
      </c>
      <c r="P145" s="1049">
        <v>0.56999999999999995</v>
      </c>
      <c r="Q145" s="1048">
        <v>0.46200000000000002</v>
      </c>
    </row>
    <row r="146" spans="1:17" s="859" customFormat="1" ht="16.5" customHeight="1" x14ac:dyDescent="0.2">
      <c r="A146" s="192">
        <v>0.1099</v>
      </c>
      <c r="B146" s="192">
        <v>0.21820000000000001</v>
      </c>
      <c r="C146" s="193">
        <v>0.41</v>
      </c>
      <c r="D146" s="855"/>
      <c r="E146" s="855"/>
      <c r="F146" s="855"/>
      <c r="G146" s="855"/>
      <c r="H146" s="855"/>
      <c r="I146" s="855"/>
      <c r="J146" s="855"/>
      <c r="K146" s="855"/>
      <c r="L146" s="855"/>
      <c r="M146" s="855"/>
      <c r="N146" s="1048">
        <v>0.1988</v>
      </c>
      <c r="O146" s="1048">
        <v>0.32629999999999998</v>
      </c>
      <c r="P146" s="1049">
        <v>0.57999999999999996</v>
      </c>
      <c r="Q146" s="1048">
        <v>0.47199999999999998</v>
      </c>
    </row>
    <row r="147" spans="1:17" s="859" customFormat="1" ht="16.5" customHeight="1" x14ac:dyDescent="0.2">
      <c r="A147" s="192">
        <v>0.1148</v>
      </c>
      <c r="B147" s="192">
        <v>0.222</v>
      </c>
      <c r="C147" s="193">
        <v>0.42</v>
      </c>
      <c r="D147" s="855"/>
      <c r="E147" s="855"/>
      <c r="F147" s="855"/>
      <c r="G147" s="855"/>
      <c r="H147" s="855"/>
      <c r="I147" s="855"/>
      <c r="J147" s="855"/>
      <c r="K147" s="855"/>
      <c r="L147" s="855"/>
      <c r="M147" s="855"/>
      <c r="N147" s="1048">
        <v>0.20380000000000001</v>
      </c>
      <c r="O147" s="1048">
        <v>0.33739999999999998</v>
      </c>
      <c r="P147" s="1049">
        <v>0.59</v>
      </c>
      <c r="Q147" s="1048">
        <v>0.48199999999999998</v>
      </c>
    </row>
    <row r="148" spans="1:17" s="859" customFormat="1" ht="16.5" customHeight="1" x14ac:dyDescent="0.2">
      <c r="A148" s="192">
        <v>0.1197</v>
      </c>
      <c r="B148" s="192">
        <v>0.2258</v>
      </c>
      <c r="C148" s="193">
        <v>0.43</v>
      </c>
      <c r="D148" s="855"/>
      <c r="E148" s="855"/>
      <c r="F148" s="855"/>
      <c r="G148" s="855"/>
      <c r="H148" s="855"/>
      <c r="I148" s="855"/>
      <c r="J148" s="855"/>
      <c r="K148" s="855"/>
      <c r="L148" s="855"/>
      <c r="M148" s="855"/>
      <c r="N148" s="1048">
        <v>0.20979999999999999</v>
      </c>
      <c r="O148" s="1048">
        <v>0.34660000000000002</v>
      </c>
      <c r="P148" s="1049">
        <v>0.6</v>
      </c>
      <c r="Q148" s="1048">
        <v>0.49199999999999999</v>
      </c>
    </row>
    <row r="149" spans="1:17" s="859" customFormat="1" ht="16.5" customHeight="1" x14ac:dyDescent="0.2">
      <c r="A149" s="192">
        <v>0.12479999999999999</v>
      </c>
      <c r="B149" s="192">
        <v>0.22950000000000001</v>
      </c>
      <c r="C149" s="193">
        <v>0.44</v>
      </c>
      <c r="D149" s="855"/>
      <c r="E149" s="855"/>
      <c r="F149" s="855"/>
      <c r="G149" s="855"/>
      <c r="H149" s="855"/>
      <c r="I149" s="855"/>
      <c r="J149" s="855"/>
      <c r="K149" s="855"/>
      <c r="L149" s="855"/>
      <c r="M149" s="855"/>
      <c r="N149" s="1048">
        <v>0.21490000000000001</v>
      </c>
      <c r="O149" s="1048">
        <v>0.3599</v>
      </c>
      <c r="P149" s="1049">
        <v>0.61</v>
      </c>
      <c r="Q149" s="1048">
        <v>0.502</v>
      </c>
    </row>
    <row r="150" spans="1:17" s="859" customFormat="1" ht="16.5" customHeight="1" x14ac:dyDescent="0.2">
      <c r="A150" s="192">
        <v>0.1298</v>
      </c>
      <c r="B150" s="192">
        <v>0.2331</v>
      </c>
      <c r="C150" s="193">
        <v>0.45</v>
      </c>
      <c r="D150" s="855"/>
      <c r="E150" s="855"/>
      <c r="F150" s="855"/>
      <c r="G150" s="855"/>
      <c r="H150" s="855"/>
      <c r="I150" s="855"/>
      <c r="J150" s="855"/>
      <c r="K150" s="855"/>
      <c r="L150" s="855"/>
      <c r="M150" s="855"/>
      <c r="N150" s="1048">
        <v>0.22020000000000001</v>
      </c>
      <c r="O150" s="1048">
        <v>0.37169999999999997</v>
      </c>
      <c r="P150" s="1049">
        <v>0.62</v>
      </c>
      <c r="Q150" s="1048">
        <v>0.51200000000000001</v>
      </c>
    </row>
    <row r="151" spans="1:17" s="859" customFormat="1" ht="16.5" customHeight="1" x14ac:dyDescent="0.2">
      <c r="A151" s="192">
        <v>0.13500000000000001</v>
      </c>
      <c r="B151" s="192">
        <v>0.2366</v>
      </c>
      <c r="C151" s="193">
        <v>0.46</v>
      </c>
      <c r="D151" s="855"/>
      <c r="E151" s="855"/>
      <c r="F151" s="855"/>
      <c r="G151" s="855"/>
      <c r="H151" s="855"/>
      <c r="I151" s="855"/>
      <c r="J151" s="855"/>
      <c r="K151" s="855"/>
      <c r="L151" s="855"/>
      <c r="M151" s="855"/>
      <c r="N151" s="1048">
        <v>0.22509999999999999</v>
      </c>
      <c r="O151" s="1048">
        <v>0.38279999999999997</v>
      </c>
      <c r="P151" s="1049">
        <v>0.63</v>
      </c>
      <c r="Q151" s="1048">
        <v>0.52200000000000002</v>
      </c>
    </row>
    <row r="152" spans="1:17" s="859" customFormat="1" ht="16.5" customHeight="1" x14ac:dyDescent="0.2">
      <c r="A152" s="192">
        <v>0.1401</v>
      </c>
      <c r="B152" s="192">
        <v>0.24010000000000001</v>
      </c>
      <c r="C152" s="193">
        <v>0.47</v>
      </c>
      <c r="D152" s="855"/>
      <c r="E152" s="855"/>
      <c r="F152" s="855"/>
      <c r="G152" s="855"/>
      <c r="H152" s="855"/>
      <c r="I152" s="855"/>
      <c r="J152" s="855"/>
      <c r="K152" s="855"/>
      <c r="L152" s="855"/>
      <c r="M152" s="855"/>
      <c r="N152" s="1048">
        <v>0.23050000000000001</v>
      </c>
      <c r="O152" s="1048">
        <v>0.39489999999999997</v>
      </c>
      <c r="P152" s="1049">
        <v>0.64</v>
      </c>
      <c r="Q152" s="1052" t="s">
        <v>205</v>
      </c>
    </row>
    <row r="153" spans="1:17" s="859" customFormat="1" ht="16.5" customHeight="1" x14ac:dyDescent="0.2">
      <c r="A153" s="192">
        <v>0.14530000000000001</v>
      </c>
      <c r="B153" s="192">
        <v>0.24349999999999999</v>
      </c>
      <c r="C153" s="193">
        <v>0.48</v>
      </c>
      <c r="D153" s="855"/>
      <c r="E153" s="855"/>
      <c r="F153" s="855"/>
      <c r="G153" s="855"/>
      <c r="H153" s="855"/>
      <c r="I153" s="855"/>
      <c r="J153" s="855"/>
      <c r="K153" s="855"/>
      <c r="L153" s="855"/>
      <c r="M153" s="855"/>
      <c r="N153" s="1048">
        <v>0.2354</v>
      </c>
      <c r="O153" s="1048">
        <v>0.40620000000000001</v>
      </c>
      <c r="P153" s="1049">
        <v>0.65</v>
      </c>
      <c r="Q153" s="1048">
        <v>0.54</v>
      </c>
    </row>
    <row r="154" spans="1:17" s="859" customFormat="1" ht="16.5" customHeight="1" x14ac:dyDescent="0.2">
      <c r="A154" s="192">
        <v>0.15060000000000001</v>
      </c>
      <c r="B154" s="192">
        <v>0.24679999999999999</v>
      </c>
      <c r="C154" s="193">
        <v>0.49</v>
      </c>
      <c r="D154" s="855"/>
      <c r="E154" s="855"/>
      <c r="F154" s="855"/>
      <c r="G154" s="855"/>
      <c r="H154" s="855"/>
      <c r="I154" s="855"/>
      <c r="J154" s="855"/>
      <c r="K154" s="855"/>
      <c r="L154" s="855"/>
      <c r="M154" s="855"/>
      <c r="N154" s="1048">
        <v>0.24099999999999999</v>
      </c>
      <c r="O154" s="1048">
        <v>0.41620000000000001</v>
      </c>
      <c r="P154" s="1049">
        <v>0.66</v>
      </c>
      <c r="Q154" s="1048">
        <v>0.55000000000000004</v>
      </c>
    </row>
    <row r="155" spans="1:17" s="859" customFormat="1" ht="16.5" customHeight="1" x14ac:dyDescent="0.2">
      <c r="A155" s="192">
        <v>0.15579999999999999</v>
      </c>
      <c r="B155" s="192">
        <v>0.25</v>
      </c>
      <c r="C155" s="193">
        <v>0.5</v>
      </c>
      <c r="D155" s="855"/>
      <c r="E155" s="855"/>
      <c r="F155" s="855"/>
      <c r="G155" s="855"/>
      <c r="H155" s="855"/>
      <c r="I155" s="855"/>
      <c r="J155" s="855"/>
      <c r="K155" s="855"/>
      <c r="L155" s="855"/>
      <c r="M155" s="855"/>
      <c r="N155" s="1048">
        <v>0.24610000000000001</v>
      </c>
      <c r="O155" s="1048">
        <v>0.43120000000000003</v>
      </c>
      <c r="P155" s="1049">
        <v>0.67</v>
      </c>
      <c r="Q155" s="1048">
        <v>0.55900000000000005</v>
      </c>
    </row>
    <row r="156" spans="1:17" s="859" customFormat="1" ht="16.5" customHeight="1" x14ac:dyDescent="0.2">
      <c r="A156" s="192">
        <v>0.16120000000000001</v>
      </c>
      <c r="B156" s="192">
        <v>0.25309999999999999</v>
      </c>
      <c r="C156" s="193">
        <v>0.51</v>
      </c>
      <c r="D156" s="855"/>
      <c r="E156" s="855"/>
      <c r="F156" s="855"/>
      <c r="G156" s="855"/>
      <c r="H156" s="855"/>
      <c r="I156" s="855"/>
      <c r="J156" s="855"/>
      <c r="K156" s="855"/>
      <c r="L156" s="855"/>
      <c r="M156" s="855"/>
      <c r="N156" s="1053">
        <v>0.251</v>
      </c>
      <c r="O156" s="1053">
        <v>0.44440000000000002</v>
      </c>
      <c r="P156" s="1054">
        <v>0.68</v>
      </c>
      <c r="Q156" s="1053">
        <v>0.56899999999999995</v>
      </c>
    </row>
    <row r="157" spans="1:17" s="859" customFormat="1" ht="16.5" customHeight="1" x14ac:dyDescent="0.2">
      <c r="A157" s="192">
        <v>0.16650000000000001</v>
      </c>
      <c r="B157" s="192">
        <v>0.25619999999999998</v>
      </c>
      <c r="C157" s="193">
        <v>0.52</v>
      </c>
      <c r="D157" s="855"/>
      <c r="E157" s="855"/>
      <c r="F157" s="855"/>
      <c r="G157" s="855"/>
      <c r="H157" s="855"/>
      <c r="I157" s="855"/>
      <c r="J157" s="855"/>
      <c r="K157" s="855"/>
      <c r="L157" s="855"/>
      <c r="M157" s="855"/>
      <c r="N157" s="1046">
        <v>0.25609999999999999</v>
      </c>
      <c r="O157" s="1046">
        <v>0.45700000000000002</v>
      </c>
      <c r="P157" s="1047">
        <v>0.69</v>
      </c>
      <c r="Q157" s="1046">
        <v>0.57799999999999996</v>
      </c>
    </row>
    <row r="158" spans="1:17" s="859" customFormat="1" ht="16.5" customHeight="1" x14ac:dyDescent="0.2">
      <c r="A158" s="192">
        <v>0.17180000000000001</v>
      </c>
      <c r="B158" s="192">
        <v>0.25919999999999999</v>
      </c>
      <c r="C158" s="193">
        <v>0.53</v>
      </c>
      <c r="D158" s="855"/>
      <c r="E158" s="855"/>
      <c r="F158" s="855"/>
      <c r="G158" s="855"/>
      <c r="H158" s="855"/>
      <c r="I158" s="855"/>
      <c r="J158" s="855"/>
      <c r="K158" s="855"/>
      <c r="L158" s="855"/>
      <c r="M158" s="855"/>
      <c r="N158" s="1048">
        <v>0.26069999999999999</v>
      </c>
      <c r="O158" s="1048">
        <v>0.47</v>
      </c>
      <c r="P158" s="1049">
        <v>0.7</v>
      </c>
      <c r="Q158" s="1048">
        <v>0.58699999999999997</v>
      </c>
    </row>
    <row r="159" spans="1:17" s="859" customFormat="1" ht="16.5" customHeight="1" x14ac:dyDescent="0.2">
      <c r="A159" s="192">
        <v>0.1772</v>
      </c>
      <c r="B159" s="192">
        <v>0.2621</v>
      </c>
      <c r="C159" s="193">
        <v>0.54</v>
      </c>
      <c r="D159" s="855"/>
      <c r="E159" s="855"/>
      <c r="F159" s="855"/>
      <c r="G159" s="855"/>
      <c r="H159" s="855"/>
      <c r="I159" s="855"/>
      <c r="J159" s="855"/>
      <c r="K159" s="855"/>
      <c r="L159" s="855"/>
      <c r="M159" s="855"/>
      <c r="N159" s="1048">
        <v>0.26590000000000003</v>
      </c>
      <c r="O159" s="1048">
        <v>0.48309999999999997</v>
      </c>
      <c r="P159" s="1049">
        <v>0.71</v>
      </c>
      <c r="Q159" s="1048">
        <v>0.69599999999999995</v>
      </c>
    </row>
    <row r="160" spans="1:17" s="859" customFormat="1" ht="16.5" customHeight="1" x14ac:dyDescent="0.2">
      <c r="A160" s="192">
        <v>0.18260000000000001</v>
      </c>
      <c r="B160" s="192">
        <v>0.26490000000000002</v>
      </c>
      <c r="C160" s="193">
        <v>0.55000000000000004</v>
      </c>
      <c r="D160" s="855"/>
      <c r="E160" s="855"/>
      <c r="F160" s="855"/>
      <c r="G160" s="855"/>
      <c r="H160" s="855"/>
      <c r="I160" s="855"/>
      <c r="J160" s="855"/>
      <c r="K160" s="855"/>
      <c r="L160" s="855"/>
      <c r="M160" s="855"/>
      <c r="N160" s="1048">
        <v>0.27050000000000002</v>
      </c>
      <c r="O160" s="1048">
        <v>0.49869999999999998</v>
      </c>
      <c r="P160" s="1049">
        <v>0.72</v>
      </c>
      <c r="Q160" s="1048">
        <v>0.60499999999999998</v>
      </c>
    </row>
    <row r="161" spans="1:17" s="859" customFormat="1" ht="16.5" customHeight="1" x14ac:dyDescent="0.2">
      <c r="A161" s="192">
        <v>0.18790000000000001</v>
      </c>
      <c r="B161" s="192">
        <v>0.2676</v>
      </c>
      <c r="C161" s="193">
        <v>0.56000000000000005</v>
      </c>
      <c r="D161" s="855"/>
      <c r="E161" s="855"/>
      <c r="F161" s="855"/>
      <c r="G161" s="855"/>
      <c r="H161" s="855"/>
      <c r="I161" s="855"/>
      <c r="J161" s="855"/>
      <c r="K161" s="855"/>
      <c r="L161" s="855"/>
      <c r="M161" s="855"/>
      <c r="N161" s="1048">
        <v>0.27510000000000001</v>
      </c>
      <c r="O161" s="1048">
        <v>0.51080000000000003</v>
      </c>
      <c r="P161" s="1049">
        <v>0.73</v>
      </c>
      <c r="Q161" s="1048">
        <v>0.61399999999999999</v>
      </c>
    </row>
    <row r="162" spans="1:17" s="859" customFormat="1" ht="16.5" customHeight="1" x14ac:dyDescent="0.2">
      <c r="A162" s="192">
        <v>0.1933</v>
      </c>
      <c r="B162" s="192">
        <v>0.27029999999999998</v>
      </c>
      <c r="C162" s="193">
        <v>0.56999999999999995</v>
      </c>
      <c r="D162" s="855"/>
      <c r="E162" s="855"/>
      <c r="F162" s="855"/>
      <c r="G162" s="855"/>
      <c r="H162" s="855"/>
      <c r="I162" s="855"/>
      <c r="J162" s="855"/>
      <c r="K162" s="855"/>
      <c r="L162" s="855"/>
      <c r="M162" s="855"/>
      <c r="N162" s="1048">
        <v>0.27979999999999999</v>
      </c>
      <c r="O162" s="1048">
        <v>0.52400000000000002</v>
      </c>
      <c r="P162" s="1049">
        <v>0.74</v>
      </c>
      <c r="Q162" s="1048">
        <v>0.623</v>
      </c>
    </row>
    <row r="163" spans="1:17" s="859" customFormat="1" ht="16.5" customHeight="1" x14ac:dyDescent="0.2">
      <c r="A163" s="192">
        <v>0.19869999999999999</v>
      </c>
      <c r="B163" s="192">
        <v>0.27279999999999999</v>
      </c>
      <c r="C163" s="193">
        <v>0.57999999999999996</v>
      </c>
      <c r="D163" s="855"/>
      <c r="E163" s="855"/>
      <c r="F163" s="855"/>
      <c r="G163" s="855"/>
      <c r="H163" s="855"/>
      <c r="I163" s="855"/>
      <c r="J163" s="855"/>
      <c r="K163" s="855"/>
      <c r="L163" s="855"/>
      <c r="M163" s="855"/>
      <c r="N163" s="1048">
        <v>0.28449999999999998</v>
      </c>
      <c r="O163" s="1048">
        <v>0.54</v>
      </c>
      <c r="P163" s="1049">
        <v>0.75</v>
      </c>
      <c r="Q163" s="1048">
        <v>0.63200000000000001</v>
      </c>
    </row>
    <row r="164" spans="1:17" s="859" customFormat="1" ht="16.5" customHeight="1" x14ac:dyDescent="0.2">
      <c r="A164" s="192">
        <v>0.2041</v>
      </c>
      <c r="B164" s="192">
        <v>0.27529999999999999</v>
      </c>
      <c r="C164" s="193">
        <v>0.59</v>
      </c>
      <c r="D164" s="855"/>
      <c r="E164" s="855"/>
      <c r="F164" s="855"/>
      <c r="G164" s="855"/>
      <c r="H164" s="855"/>
      <c r="I164" s="855"/>
      <c r="J164" s="855"/>
      <c r="K164" s="855"/>
      <c r="L164" s="855"/>
      <c r="M164" s="855"/>
      <c r="N164" s="1048">
        <v>0.28810000000000002</v>
      </c>
      <c r="O164" s="1048">
        <v>0.55430000000000001</v>
      </c>
      <c r="P164" s="1049">
        <v>0.76</v>
      </c>
      <c r="Q164" s="1048">
        <v>0.64</v>
      </c>
    </row>
    <row r="165" spans="1:17" s="859" customFormat="1" ht="16.5" customHeight="1" x14ac:dyDescent="0.2">
      <c r="A165" s="192">
        <v>0.2094</v>
      </c>
      <c r="B165" s="192">
        <v>0.27760000000000001</v>
      </c>
      <c r="C165" s="193">
        <v>0.6</v>
      </c>
      <c r="D165" s="855"/>
      <c r="E165" s="855"/>
      <c r="F165" s="855"/>
      <c r="G165" s="855"/>
      <c r="H165" s="855"/>
      <c r="I165" s="855"/>
      <c r="J165" s="855"/>
      <c r="K165" s="855"/>
      <c r="L165" s="855"/>
      <c r="M165" s="855"/>
      <c r="N165" s="1048">
        <v>0.2928</v>
      </c>
      <c r="O165" s="1048">
        <v>0.55989999999999995</v>
      </c>
      <c r="P165" s="1049">
        <v>0.77</v>
      </c>
      <c r="Q165" s="1048">
        <v>0.64900000000000002</v>
      </c>
    </row>
    <row r="166" spans="1:17" s="859" customFormat="1" ht="16.5" customHeight="1" x14ac:dyDescent="0.2">
      <c r="A166" s="192">
        <v>0.2147</v>
      </c>
      <c r="B166" s="192">
        <v>0.27989999999999998</v>
      </c>
      <c r="C166" s="193">
        <v>0.61</v>
      </c>
      <c r="D166" s="855"/>
      <c r="E166" s="855"/>
      <c r="F166" s="855"/>
      <c r="G166" s="855"/>
      <c r="H166" s="855"/>
      <c r="I166" s="855"/>
      <c r="J166" s="855"/>
      <c r="K166" s="855"/>
      <c r="L166" s="855"/>
      <c r="M166" s="855"/>
      <c r="N166" s="1048">
        <v>0.29699999999999999</v>
      </c>
      <c r="O166" s="1048">
        <v>0.60509999999999997</v>
      </c>
      <c r="P166" s="1049">
        <v>0.78</v>
      </c>
      <c r="Q166" s="1048">
        <v>0.65700000000000003</v>
      </c>
    </row>
    <row r="167" spans="1:17" s="859" customFormat="1" ht="16.5" customHeight="1" x14ac:dyDescent="0.2">
      <c r="A167" s="192">
        <v>0.22</v>
      </c>
      <c r="B167" s="192">
        <v>0.28210000000000002</v>
      </c>
      <c r="C167" s="193">
        <v>0.62</v>
      </c>
      <c r="D167" s="855"/>
      <c r="E167" s="855"/>
      <c r="F167" s="855"/>
      <c r="G167" s="855"/>
      <c r="H167" s="855"/>
      <c r="I167" s="855"/>
      <c r="J167" s="855"/>
      <c r="K167" s="855"/>
      <c r="L167" s="855"/>
      <c r="M167" s="855"/>
      <c r="N167" s="1048">
        <v>0.30109999999999998</v>
      </c>
      <c r="O167" s="1048">
        <v>0.60199999999999998</v>
      </c>
      <c r="P167" s="1049">
        <v>0.79</v>
      </c>
      <c r="Q167" s="1048">
        <v>0.66600000000000004</v>
      </c>
    </row>
    <row r="168" spans="1:17" s="859" customFormat="1" ht="16.5" customHeight="1" x14ac:dyDescent="0.2">
      <c r="A168" s="192">
        <v>0.2253</v>
      </c>
      <c r="B168" s="192">
        <v>0.28420000000000001</v>
      </c>
      <c r="C168" s="193">
        <v>0.63</v>
      </c>
      <c r="D168" s="855"/>
      <c r="E168" s="855"/>
      <c r="F168" s="855"/>
      <c r="G168" s="855"/>
      <c r="H168" s="855"/>
      <c r="I168" s="855"/>
      <c r="J168" s="855"/>
      <c r="K168" s="855"/>
      <c r="L168" s="855"/>
      <c r="M168" s="855"/>
      <c r="N168" s="1048">
        <v>0.30470000000000003</v>
      </c>
      <c r="O168" s="1048">
        <v>0.61850000000000005</v>
      </c>
      <c r="P168" s="1049">
        <v>0.8</v>
      </c>
      <c r="Q168" s="1048">
        <v>0.67400000000000004</v>
      </c>
    </row>
    <row r="169" spans="1:17" s="859" customFormat="1" ht="16.5" customHeight="1" x14ac:dyDescent="0.2">
      <c r="A169" s="192">
        <v>0.2306</v>
      </c>
      <c r="B169" s="192">
        <v>0.28620000000000001</v>
      </c>
      <c r="C169" s="193">
        <v>0.64</v>
      </c>
      <c r="D169" s="855"/>
      <c r="E169" s="855"/>
      <c r="F169" s="855"/>
      <c r="G169" s="855"/>
      <c r="H169" s="855"/>
      <c r="I169" s="855"/>
      <c r="J169" s="855"/>
      <c r="K169" s="855"/>
      <c r="L169" s="855"/>
      <c r="M169" s="855"/>
      <c r="N169" s="1048">
        <v>0.30790000000000001</v>
      </c>
      <c r="O169" s="1048">
        <v>0.63480000000000003</v>
      </c>
      <c r="P169" s="1049">
        <v>0.81</v>
      </c>
      <c r="Q169" s="1048">
        <v>0.68100000000000005</v>
      </c>
    </row>
    <row r="170" spans="1:17" s="859" customFormat="1" ht="16.5" customHeight="1" x14ac:dyDescent="0.2">
      <c r="A170" s="192">
        <v>0.23880000000000001</v>
      </c>
      <c r="B170" s="192">
        <v>0.28820000000000001</v>
      </c>
      <c r="C170" s="193">
        <v>0.65</v>
      </c>
      <c r="D170" s="855"/>
      <c r="E170" s="855"/>
      <c r="F170" s="855"/>
      <c r="G170" s="855"/>
      <c r="H170" s="855"/>
      <c r="I170" s="855"/>
      <c r="J170" s="855"/>
      <c r="K170" s="855"/>
      <c r="L170" s="855"/>
      <c r="M170" s="855"/>
      <c r="N170" s="1048">
        <v>0.3115</v>
      </c>
      <c r="O170" s="1048">
        <v>0.65259999999999996</v>
      </c>
      <c r="P170" s="1049">
        <v>0.82</v>
      </c>
      <c r="Q170" s="1048">
        <v>0.68899999999999995</v>
      </c>
    </row>
    <row r="171" spans="1:17" s="859" customFormat="1" ht="16.5" customHeight="1" x14ac:dyDescent="0.2">
      <c r="A171" s="192">
        <v>0.2409</v>
      </c>
      <c r="B171" s="192">
        <v>0.28989999999999999</v>
      </c>
      <c r="C171" s="193">
        <v>0.66</v>
      </c>
      <c r="D171" s="855"/>
      <c r="E171" s="855"/>
      <c r="F171" s="855"/>
      <c r="G171" s="855"/>
      <c r="H171" s="855"/>
      <c r="I171" s="855"/>
      <c r="J171" s="855"/>
      <c r="K171" s="855"/>
      <c r="L171" s="855"/>
      <c r="M171" s="855"/>
      <c r="N171" s="1048">
        <v>0.31509999999999999</v>
      </c>
      <c r="O171" s="1048">
        <v>0.6714</v>
      </c>
      <c r="P171" s="1049">
        <v>0.83</v>
      </c>
      <c r="Q171" s="1048">
        <v>0.69699999999999995</v>
      </c>
    </row>
    <row r="172" spans="1:17" s="859" customFormat="1" ht="16.5" customHeight="1" x14ac:dyDescent="0.2">
      <c r="A172" s="192">
        <v>0.246</v>
      </c>
      <c r="B172" s="192">
        <v>0.29170000000000001</v>
      </c>
      <c r="C172" s="193">
        <v>0.67</v>
      </c>
      <c r="D172" s="855"/>
      <c r="E172" s="855"/>
      <c r="F172" s="855"/>
      <c r="G172" s="855"/>
      <c r="H172" s="855"/>
      <c r="I172" s="855"/>
      <c r="J172" s="855"/>
      <c r="K172" s="855"/>
      <c r="L172" s="855"/>
      <c r="M172" s="855"/>
      <c r="N172" s="1048">
        <v>0.31830000000000003</v>
      </c>
      <c r="O172" s="1048">
        <v>0.68979999999999997</v>
      </c>
      <c r="P172" s="1049">
        <v>0.84</v>
      </c>
      <c r="Q172" s="1048">
        <v>0.70399999999999996</v>
      </c>
    </row>
    <row r="173" spans="1:17" s="859" customFormat="1" ht="16.5" customHeight="1" x14ac:dyDescent="0.2">
      <c r="A173" s="192">
        <v>0.25109999999999999</v>
      </c>
      <c r="B173" s="192">
        <v>0.29330000000000001</v>
      </c>
      <c r="C173" s="193">
        <v>0.68</v>
      </c>
      <c r="D173" s="855"/>
      <c r="E173" s="855"/>
      <c r="F173" s="855"/>
      <c r="G173" s="855"/>
      <c r="H173" s="855"/>
      <c r="I173" s="855"/>
      <c r="J173" s="855"/>
      <c r="K173" s="855"/>
      <c r="L173" s="855"/>
      <c r="M173" s="855"/>
      <c r="N173" s="1048">
        <v>0.32119999999999999</v>
      </c>
      <c r="O173" s="1048">
        <v>0.71060000000000001</v>
      </c>
      <c r="P173" s="1049">
        <v>0.85</v>
      </c>
      <c r="Q173" s="1048">
        <v>0.71199999999999997</v>
      </c>
    </row>
    <row r="174" spans="1:17" s="859" customFormat="1" ht="16.5" customHeight="1" x14ac:dyDescent="0.2">
      <c r="A174" s="192">
        <v>0.25600000000000001</v>
      </c>
      <c r="B174" s="192">
        <v>0.29480000000000001</v>
      </c>
      <c r="C174" s="193">
        <v>0.69</v>
      </c>
      <c r="D174" s="855"/>
      <c r="E174" s="855"/>
      <c r="F174" s="855"/>
      <c r="G174" s="855"/>
      <c r="H174" s="855"/>
      <c r="I174" s="855"/>
      <c r="J174" s="855"/>
      <c r="K174" s="855"/>
      <c r="L174" s="855"/>
      <c r="M174" s="855"/>
      <c r="N174" s="1048">
        <v>0.32429999999999998</v>
      </c>
      <c r="O174" s="1048">
        <v>0.72699999999999998</v>
      </c>
      <c r="P174" s="1049">
        <v>0.86</v>
      </c>
      <c r="Q174" s="1048">
        <v>0.71899999999999997</v>
      </c>
    </row>
    <row r="175" spans="1:17" s="859" customFormat="1" ht="16.5" customHeight="1" x14ac:dyDescent="0.2">
      <c r="A175" s="192">
        <v>0.26100000000000001</v>
      </c>
      <c r="B175" s="192">
        <v>0.29620000000000002</v>
      </c>
      <c r="C175" s="193">
        <v>0.7</v>
      </c>
      <c r="D175" s="855"/>
      <c r="E175" s="855"/>
      <c r="F175" s="855"/>
      <c r="G175" s="855"/>
      <c r="H175" s="855"/>
      <c r="I175" s="855"/>
      <c r="J175" s="855"/>
      <c r="K175" s="855"/>
      <c r="L175" s="855"/>
      <c r="M175" s="855"/>
      <c r="N175" s="1048">
        <v>0.32629999999999998</v>
      </c>
      <c r="O175" s="1048">
        <v>0.75270000000000004</v>
      </c>
      <c r="P175" s="1049">
        <v>0.87</v>
      </c>
      <c r="Q175" s="1048">
        <v>0.72499999999999998</v>
      </c>
    </row>
    <row r="176" spans="1:17" s="859" customFormat="1" ht="16.5" customHeight="1" x14ac:dyDescent="0.2">
      <c r="A176" s="192">
        <v>0.26579999999999998</v>
      </c>
      <c r="B176" s="192">
        <v>0.29749999999999999</v>
      </c>
      <c r="C176" s="193">
        <v>0.71</v>
      </c>
      <c r="D176" s="855"/>
      <c r="E176" s="855"/>
      <c r="F176" s="855"/>
      <c r="G176" s="855"/>
      <c r="H176" s="855"/>
      <c r="I176" s="855"/>
      <c r="J176" s="855"/>
      <c r="K176" s="855"/>
      <c r="L176" s="855"/>
      <c r="M176" s="855"/>
      <c r="N176" s="1048">
        <v>0.32669999999999999</v>
      </c>
      <c r="O176" s="1048">
        <v>0.77669999999999995</v>
      </c>
      <c r="P176" s="1049">
        <v>0.88</v>
      </c>
      <c r="Q176" s="1048">
        <v>0.73199999999999998</v>
      </c>
    </row>
    <row r="177" spans="1:17" s="859" customFormat="1" ht="16.5" customHeight="1" x14ac:dyDescent="0.2">
      <c r="A177" s="192">
        <v>0.27050000000000002</v>
      </c>
      <c r="B177" s="192">
        <v>0.29880000000000001</v>
      </c>
      <c r="C177" s="193">
        <v>0.72</v>
      </c>
      <c r="D177" s="855"/>
      <c r="E177" s="855"/>
      <c r="F177" s="855"/>
      <c r="G177" s="855"/>
      <c r="H177" s="855"/>
      <c r="I177" s="855"/>
      <c r="J177" s="855"/>
      <c r="K177" s="855"/>
      <c r="L177" s="855"/>
      <c r="M177" s="855"/>
      <c r="N177" s="1053">
        <v>0.33</v>
      </c>
      <c r="O177" s="1053">
        <v>0.80169999999999997</v>
      </c>
      <c r="P177" s="1054">
        <v>0.89</v>
      </c>
      <c r="Q177" s="1053">
        <v>0.73799999999999999</v>
      </c>
    </row>
    <row r="178" spans="1:17" s="859" customFormat="1" ht="16.5" customHeight="1" x14ac:dyDescent="0.2">
      <c r="A178" s="192">
        <v>0.2752</v>
      </c>
      <c r="B178" s="192">
        <v>0.29980000000000001</v>
      </c>
      <c r="C178" s="193">
        <v>0.73</v>
      </c>
      <c r="D178" s="855"/>
      <c r="E178" s="855"/>
      <c r="F178" s="855"/>
      <c r="G178" s="855"/>
      <c r="H178" s="855"/>
      <c r="I178" s="855"/>
      <c r="J178" s="855"/>
      <c r="K178" s="855"/>
      <c r="L178" s="855"/>
      <c r="M178" s="855"/>
      <c r="N178" s="855"/>
      <c r="O178" s="855"/>
      <c r="P178" s="858"/>
      <c r="Q178" s="855"/>
    </row>
    <row r="179" spans="1:17" s="859" customFormat="1" ht="16.5" customHeight="1" x14ac:dyDescent="0.2">
      <c r="A179" s="192">
        <v>0.27979999999999999</v>
      </c>
      <c r="B179" s="192">
        <v>0.30080000000000001</v>
      </c>
      <c r="C179" s="193">
        <v>0.74</v>
      </c>
      <c r="D179" s="855"/>
      <c r="E179" s="855"/>
      <c r="F179" s="855"/>
      <c r="G179" s="855"/>
      <c r="H179" s="855"/>
      <c r="I179" s="855"/>
      <c r="J179" s="855"/>
      <c r="K179" s="855"/>
      <c r="L179" s="855"/>
      <c r="M179" s="855"/>
      <c r="N179" s="855"/>
      <c r="O179" s="855"/>
      <c r="P179" s="858"/>
      <c r="Q179" s="855"/>
    </row>
    <row r="180" spans="1:17" s="859" customFormat="1" ht="16.5" customHeight="1" x14ac:dyDescent="0.2">
      <c r="A180" s="192">
        <v>0.28420000000000001</v>
      </c>
      <c r="B180" s="192">
        <v>0.30170000000000002</v>
      </c>
      <c r="C180" s="193">
        <v>0.75</v>
      </c>
      <c r="D180" s="855"/>
      <c r="E180" s="855"/>
      <c r="F180" s="855"/>
      <c r="G180" s="855"/>
      <c r="H180" s="855"/>
      <c r="I180" s="855"/>
      <c r="J180" s="855"/>
      <c r="K180" s="855"/>
      <c r="L180" s="855"/>
      <c r="M180" s="855"/>
      <c r="N180" s="855"/>
      <c r="O180" s="855"/>
      <c r="P180" s="858"/>
      <c r="Q180" s="855"/>
    </row>
    <row r="181" spans="1:17" s="859" customFormat="1" ht="16.5" customHeight="1" x14ac:dyDescent="0.2">
      <c r="A181" s="192">
        <v>0.28860000000000002</v>
      </c>
      <c r="B181" s="192">
        <v>0.3024</v>
      </c>
      <c r="C181" s="193">
        <v>0.76</v>
      </c>
      <c r="D181" s="855"/>
      <c r="E181" s="855"/>
      <c r="F181" s="855"/>
      <c r="G181" s="855"/>
      <c r="H181" s="855"/>
      <c r="I181" s="855"/>
      <c r="J181" s="855"/>
      <c r="K181" s="855"/>
      <c r="L181" s="855"/>
      <c r="M181" s="855"/>
      <c r="N181" s="855"/>
      <c r="O181" s="855"/>
      <c r="P181" s="858"/>
      <c r="Q181" s="855"/>
    </row>
    <row r="182" spans="1:17" s="859" customFormat="1" ht="16.5" customHeight="1" x14ac:dyDescent="0.2">
      <c r="A182" s="192">
        <v>0.2928</v>
      </c>
      <c r="B182" s="192">
        <v>0.30309999999999998</v>
      </c>
      <c r="C182" s="193">
        <v>0.77</v>
      </c>
      <c r="D182" s="855"/>
      <c r="E182" s="855"/>
      <c r="F182" s="855"/>
      <c r="G182" s="855"/>
      <c r="H182" s="855"/>
      <c r="I182" s="855"/>
      <c r="J182" s="855"/>
      <c r="K182" s="855"/>
      <c r="L182" s="855"/>
      <c r="M182" s="855"/>
      <c r="N182" s="855"/>
      <c r="O182" s="855"/>
      <c r="P182" s="858"/>
      <c r="Q182" s="855"/>
    </row>
    <row r="183" spans="1:17" s="859" customFormat="1" ht="16.5" customHeight="1" x14ac:dyDescent="0.2">
      <c r="A183" s="192">
        <v>0.2969</v>
      </c>
      <c r="B183" s="192">
        <v>0.30359999999999998</v>
      </c>
      <c r="C183" s="193">
        <v>0.78</v>
      </c>
      <c r="D183" s="855"/>
      <c r="E183" s="855"/>
      <c r="F183" s="855"/>
      <c r="G183" s="855"/>
      <c r="H183" s="855"/>
      <c r="I183" s="855"/>
      <c r="J183" s="855"/>
      <c r="K183" s="855"/>
      <c r="L183" s="855"/>
      <c r="M183" s="855"/>
      <c r="N183" s="855"/>
      <c r="O183" s="855"/>
      <c r="P183" s="858"/>
      <c r="Q183" s="855"/>
    </row>
    <row r="184" spans="1:17" s="859" customFormat="1" ht="16.5" customHeight="1" x14ac:dyDescent="0.2">
      <c r="A184" s="192">
        <v>0.3009</v>
      </c>
      <c r="B184" s="192">
        <v>0.30399999999999999</v>
      </c>
      <c r="C184" s="193">
        <v>0.79</v>
      </c>
      <c r="D184" s="855"/>
      <c r="E184" s="855"/>
      <c r="F184" s="855"/>
      <c r="G184" s="855"/>
      <c r="H184" s="855"/>
      <c r="I184" s="855"/>
      <c r="J184" s="855"/>
      <c r="K184" s="855"/>
      <c r="L184" s="855"/>
      <c r="M184" s="855"/>
      <c r="N184" s="855"/>
      <c r="O184" s="855"/>
      <c r="P184" s="858"/>
      <c r="Q184" s="855"/>
    </row>
    <row r="185" spans="1:17" s="859" customFormat="1" ht="16.5" customHeight="1" x14ac:dyDescent="0.2">
      <c r="A185" s="192">
        <v>0.30470000000000003</v>
      </c>
      <c r="B185" s="192">
        <v>0.30420000000000003</v>
      </c>
      <c r="C185" s="193">
        <v>0.8</v>
      </c>
      <c r="D185" s="855"/>
      <c r="E185" s="855"/>
      <c r="F185" s="855"/>
    </row>
    <row r="186" spans="1:17" s="859" customFormat="1" ht="16.5" customHeight="1" x14ac:dyDescent="0.2">
      <c r="A186" s="192">
        <v>0.30830000000000002</v>
      </c>
      <c r="B186" s="192">
        <v>0.30430000000000001</v>
      </c>
      <c r="C186" s="193">
        <v>0.81</v>
      </c>
      <c r="D186" s="855"/>
      <c r="E186" s="855"/>
      <c r="F186" s="855"/>
    </row>
    <row r="187" spans="1:17" s="859" customFormat="1" ht="16.5" customHeight="1" x14ac:dyDescent="0.2">
      <c r="A187" s="192">
        <v>0.31180000000000002</v>
      </c>
      <c r="B187" s="192">
        <v>0.30430000000000001</v>
      </c>
      <c r="C187" s="193">
        <v>0.82</v>
      </c>
    </row>
    <row r="188" spans="1:17" s="859" customFormat="1" ht="16.5" customHeight="1" x14ac:dyDescent="0.2">
      <c r="A188" s="192">
        <v>0.31509999999999999</v>
      </c>
      <c r="B188" s="192">
        <v>0.30409999999999998</v>
      </c>
      <c r="C188" s="193">
        <v>0.83</v>
      </c>
    </row>
    <row r="189" spans="1:17" s="859" customFormat="1" ht="16.5" customHeight="1" x14ac:dyDescent="0.2">
      <c r="A189" s="192">
        <v>0.31830000000000003</v>
      </c>
      <c r="B189" s="192">
        <v>0.30380000000000001</v>
      </c>
      <c r="C189" s="193">
        <v>0.84</v>
      </c>
    </row>
    <row r="190" spans="1:17" s="859" customFormat="1" ht="16.5" customHeight="1" x14ac:dyDescent="0.2">
      <c r="A190" s="192">
        <v>0.32119999999999999</v>
      </c>
      <c r="B190" s="192">
        <v>0.30330000000000001</v>
      </c>
      <c r="C190" s="193">
        <v>0.85</v>
      </c>
    </row>
    <row r="191" spans="1:17" s="859" customFormat="1" ht="16.5" customHeight="1" x14ac:dyDescent="0.2">
      <c r="A191" s="192">
        <v>0.32390000000000002</v>
      </c>
      <c r="B191" s="192">
        <v>0.30259999999999998</v>
      </c>
      <c r="C191" s="193">
        <v>0.86</v>
      </c>
    </row>
    <row r="192" spans="1:17" s="859" customFormat="1" ht="16.5" customHeight="1" x14ac:dyDescent="0.2">
      <c r="A192" s="192">
        <v>0.32640000000000002</v>
      </c>
      <c r="B192" s="192">
        <v>0.30180000000000001</v>
      </c>
      <c r="C192" s="193">
        <v>0.87</v>
      </c>
    </row>
    <row r="193" spans="1:59" s="859" customFormat="1" ht="16.5" customHeight="1" x14ac:dyDescent="0.2">
      <c r="A193" s="192">
        <v>0.3286</v>
      </c>
      <c r="B193" s="192">
        <v>0.30070000000000002</v>
      </c>
      <c r="C193" s="193">
        <v>0.88</v>
      </c>
    </row>
    <row r="194" spans="1:59" s="859" customFormat="1" ht="16.5" customHeight="1" x14ac:dyDescent="0.2">
      <c r="A194" s="192">
        <v>0.33050000000000002</v>
      </c>
      <c r="B194" s="192">
        <v>0.29949999999999999</v>
      </c>
      <c r="C194" s="193">
        <v>0.89</v>
      </c>
    </row>
    <row r="195" spans="1:59" s="859" customFormat="1" ht="16.5" customHeight="1" x14ac:dyDescent="0.2">
      <c r="A195" s="192">
        <v>0.3322</v>
      </c>
      <c r="B195" s="192">
        <v>0.29799999999999999</v>
      </c>
      <c r="C195" s="193">
        <v>0.9</v>
      </c>
    </row>
    <row r="196" spans="1:59" s="859" customFormat="1" ht="16.5" customHeight="1" x14ac:dyDescent="0.2">
      <c r="A196" s="192">
        <v>0.33350000000000002</v>
      </c>
      <c r="B196" s="192">
        <v>0.29630000000000001</v>
      </c>
      <c r="C196" s="193">
        <v>0.91</v>
      </c>
    </row>
    <row r="197" spans="1:59" s="859" customFormat="1" ht="16.5" customHeight="1" x14ac:dyDescent="0.2">
      <c r="A197" s="192">
        <v>0.33450000000000002</v>
      </c>
      <c r="B197" s="192">
        <v>0.2944</v>
      </c>
      <c r="C197" s="193">
        <v>0.92</v>
      </c>
    </row>
    <row r="198" spans="1:59" s="859" customFormat="1" ht="16.5" customHeight="1" x14ac:dyDescent="0.2">
      <c r="A198" s="192">
        <v>0.33510000000000001</v>
      </c>
      <c r="B198" s="192">
        <v>0.29210000000000003</v>
      </c>
      <c r="C198" s="193">
        <v>0.93</v>
      </c>
    </row>
    <row r="199" spans="1:59" s="859" customFormat="1" ht="16.5" customHeight="1" x14ac:dyDescent="0.2">
      <c r="A199" s="192">
        <v>0.33529999999999999</v>
      </c>
      <c r="B199" s="192">
        <v>0.28949999999999998</v>
      </c>
      <c r="C199" s="193">
        <v>0.94</v>
      </c>
    </row>
    <row r="200" spans="1:59" s="859" customFormat="1" ht="16.5" customHeight="1" x14ac:dyDescent="0.2">
      <c r="A200" s="192">
        <v>0.33489999999999998</v>
      </c>
      <c r="B200" s="192">
        <v>0.28649999999999998</v>
      </c>
      <c r="C200" s="193">
        <v>0.95</v>
      </c>
      <c r="BB200" s="855"/>
      <c r="BC200" s="855"/>
      <c r="BD200" s="855"/>
      <c r="BE200" s="855"/>
      <c r="BF200" s="855"/>
      <c r="BG200" s="855"/>
    </row>
    <row r="201" spans="1:59" s="859" customFormat="1" ht="16.5" customHeight="1" x14ac:dyDescent="0.2">
      <c r="A201" s="192">
        <v>0.33389999999999997</v>
      </c>
      <c r="B201" s="192">
        <v>0.28289999999999998</v>
      </c>
      <c r="C201" s="193">
        <v>0.96</v>
      </c>
      <c r="AU201" s="855"/>
      <c r="AV201" s="855"/>
      <c r="AW201" s="855"/>
      <c r="BB201" s="855"/>
      <c r="BC201" s="855"/>
      <c r="BD201" s="855"/>
      <c r="BE201" s="855"/>
      <c r="BF201" s="855"/>
      <c r="BG201" s="855"/>
    </row>
    <row r="202" spans="1:59" s="859" customFormat="1" ht="16.5" customHeight="1" x14ac:dyDescent="0.2">
      <c r="A202" s="192">
        <v>0.32219999999999999</v>
      </c>
      <c r="B202" s="192">
        <v>0.2787</v>
      </c>
      <c r="C202" s="193">
        <v>0.97</v>
      </c>
      <c r="AU202" s="855"/>
      <c r="AV202" s="855"/>
      <c r="AW202" s="855"/>
      <c r="BB202" s="855"/>
      <c r="BC202" s="855"/>
      <c r="BD202" s="855"/>
      <c r="BE202" s="855"/>
      <c r="BF202" s="855"/>
      <c r="BG202" s="855"/>
    </row>
    <row r="203" spans="1:59" s="859" customFormat="1" ht="16.5" customHeight="1" x14ac:dyDescent="0.2">
      <c r="A203" s="192">
        <v>0.32940000000000003</v>
      </c>
      <c r="B203" s="192">
        <v>0.27350000000000002</v>
      </c>
      <c r="C203" s="193">
        <v>0.98</v>
      </c>
      <c r="AU203" s="855"/>
      <c r="AV203" s="855"/>
      <c r="AW203" s="855"/>
      <c r="BB203" s="855"/>
      <c r="BC203" s="855"/>
      <c r="BD203" s="855"/>
      <c r="BE203" s="855"/>
      <c r="BF203" s="855"/>
      <c r="BG203" s="855"/>
    </row>
    <row r="204" spans="1:59" ht="16.5" customHeight="1" x14ac:dyDescent="0.2">
      <c r="A204" s="192">
        <v>0.32479999999999998</v>
      </c>
      <c r="B204" s="192">
        <v>0.2666</v>
      </c>
      <c r="C204" s="193">
        <v>0.99</v>
      </c>
      <c r="D204" s="859"/>
      <c r="E204" s="859"/>
      <c r="F204" s="859"/>
    </row>
    <row r="205" spans="1:59" ht="16.5" customHeight="1" x14ac:dyDescent="0.2">
      <c r="A205" s="192">
        <v>0.31169999999999998</v>
      </c>
      <c r="B205" s="192">
        <v>0.25</v>
      </c>
      <c r="C205" s="193">
        <v>1</v>
      </c>
      <c r="D205" s="859"/>
      <c r="E205" s="859"/>
      <c r="F205" s="859"/>
    </row>
  </sheetData>
  <mergeCells count="81">
    <mergeCell ref="B4:E4"/>
    <mergeCell ref="B5:E5"/>
    <mergeCell ref="G5:I5"/>
    <mergeCell ref="B10:W10"/>
    <mergeCell ref="Y10:AR10"/>
    <mergeCell ref="AT10:DG10"/>
    <mergeCell ref="B11:B12"/>
    <mergeCell ref="C11:C12"/>
    <mergeCell ref="D11:E11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O11:O12"/>
    <mergeCell ref="AA11:AA12"/>
    <mergeCell ref="P11:P12"/>
    <mergeCell ref="Q11:Q12"/>
    <mergeCell ref="R11:R12"/>
    <mergeCell ref="S11:S12"/>
    <mergeCell ref="T11:T12"/>
    <mergeCell ref="U11:U12"/>
    <mergeCell ref="V11:V12"/>
    <mergeCell ref="W11:W12"/>
    <mergeCell ref="X11:X12"/>
    <mergeCell ref="Y11:Y12"/>
    <mergeCell ref="AQ11:AR11"/>
    <mergeCell ref="AB11:AB12"/>
    <mergeCell ref="AC11:AC12"/>
    <mergeCell ref="AD11:AD12"/>
    <mergeCell ref="AE11:AE12"/>
    <mergeCell ref="AF11:AF12"/>
    <mergeCell ref="AG11:AG12"/>
    <mergeCell ref="AH11:AH12"/>
    <mergeCell ref="AI11:AJ11"/>
    <mergeCell ref="AK11:AL11"/>
    <mergeCell ref="AM11:AN11"/>
    <mergeCell ref="AO11:AP11"/>
    <mergeCell ref="DF11:DF12"/>
    <mergeCell ref="DG11:DG12"/>
    <mergeCell ref="CA11:CF11"/>
    <mergeCell ref="CG11:CH11"/>
    <mergeCell ref="CI11:CM11"/>
    <mergeCell ref="CN11:CY11"/>
    <mergeCell ref="CZ11:CZ12"/>
    <mergeCell ref="DA11:DA12"/>
    <mergeCell ref="DB11:DB12"/>
    <mergeCell ref="DC11:DC12"/>
    <mergeCell ref="DD11:DD12"/>
    <mergeCell ref="DE11:DE12"/>
    <mergeCell ref="BV11:BZ11"/>
    <mergeCell ref="BC11:BC12"/>
    <mergeCell ref="A14:A19"/>
    <mergeCell ref="AT27:AU27"/>
    <mergeCell ref="AT28:AU28"/>
    <mergeCell ref="BD11:BD12"/>
    <mergeCell ref="BE11:BE12"/>
    <mergeCell ref="BF11:BG11"/>
    <mergeCell ref="BH11:BI11"/>
    <mergeCell ref="BJ11:BU11"/>
    <mergeCell ref="AS11:AS12"/>
    <mergeCell ref="AT11:AT12"/>
    <mergeCell ref="AU11:AU12"/>
    <mergeCell ref="AW11:AZ11"/>
    <mergeCell ref="BA11:BB11"/>
    <mergeCell ref="Z11:Z12"/>
    <mergeCell ref="AT30:AX30"/>
    <mergeCell ref="AT31:AU32"/>
    <mergeCell ref="A104:C104"/>
    <mergeCell ref="BB43:BD43"/>
    <mergeCell ref="BB44:BD44"/>
    <mergeCell ref="BB49:BD49"/>
    <mergeCell ref="BB50:BD50"/>
    <mergeCell ref="A97:A98"/>
    <mergeCell ref="B97:C97"/>
    <mergeCell ref="BB35:BD35"/>
    <mergeCell ref="BB36:BD36"/>
  </mergeCells>
  <conditionalFormatting sqref="P14:P19">
    <cfRule type="cellIs" dxfId="5" priority="4" operator="greaterThan">
      <formula>0.05</formula>
    </cfRule>
    <cfRule type="cellIs" dxfId="4" priority="5" operator="lessThan">
      <formula>0.001</formula>
    </cfRule>
  </conditionalFormatting>
  <conditionalFormatting sqref="Z14:Z19">
    <cfRule type="cellIs" dxfId="3" priority="2" operator="lessThan">
      <formula>1</formula>
    </cfRule>
    <cfRule type="cellIs" dxfId="2" priority="3" operator="greaterThan">
      <formula>5</formula>
    </cfRule>
  </conditionalFormatting>
  <conditionalFormatting sqref="AH14:AH19">
    <cfRule type="cellIs" dxfId="1" priority="6" operator="lessThan">
      <formula>$K14</formula>
    </cfRule>
  </conditionalFormatting>
  <conditionalFormatting sqref="AQ14:AR19">
    <cfRule type="cellIs" dxfId="0" priority="1" operator="lessThan">
      <formula>0.5</formula>
    </cfRule>
  </conditionalFormatting>
  <printOptions horizontalCentered="1"/>
  <pageMargins left="0.31496062992125984" right="0.31496062992125984" top="0.98425196850393704" bottom="0.78740157480314965" header="0.31496062992125984" footer="0.31496062992125984"/>
  <pageSetup paperSize="8" scale="55" fitToHeight="0" orientation="landscape" horizontalDpi="1200" verticalDpi="1200" r:id="rId1"/>
  <headerFooter>
    <oddHeader>&amp;L&amp;G&amp;R&amp;G</oddHeader>
  </headerFooter>
  <drawing r:id="rId2"/>
  <legacyDrawing r:id="rId3"/>
  <legacyDrawingHF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6" tint="0.39997558519241921"/>
    <pageSetUpPr fitToPage="1"/>
  </sheetPr>
  <dimension ref="A2:DE51"/>
  <sheetViews>
    <sheetView showGridLines="0" view="pageBreakPreview" zoomScale="85" zoomScaleNormal="90" zoomScaleSheetLayoutView="85" workbookViewId="0">
      <selection activeCell="L9" sqref="L9"/>
    </sheetView>
  </sheetViews>
  <sheetFormatPr defaultColWidth="9.33203125" defaultRowHeight="16.5" customHeight="1" x14ac:dyDescent="0.2"/>
  <cols>
    <col min="1" max="1" width="5" style="14" customWidth="1"/>
    <col min="2" max="2" width="63.5" style="15" customWidth="1"/>
    <col min="3" max="7" width="18.1640625" style="14" customWidth="1"/>
    <col min="8" max="8" width="21.5" style="14" customWidth="1"/>
    <col min="9" max="9" width="10.6640625" style="14" customWidth="1"/>
    <col min="10" max="16384" width="9.33203125" style="14"/>
  </cols>
  <sheetData>
    <row r="2" spans="1:8" s="16" customFormat="1" ht="34.5" customHeight="1" x14ac:dyDescent="0.2">
      <c r="B2" s="1264" t="s">
        <v>342</v>
      </c>
      <c r="C2" s="1265"/>
      <c r="D2" s="1265"/>
      <c r="E2" s="1265"/>
      <c r="F2" s="1265"/>
      <c r="G2" s="1266"/>
      <c r="H2" s="1267"/>
    </row>
    <row r="3" spans="1:8" s="17" customFormat="1" ht="72.75" customHeight="1" x14ac:dyDescent="0.2">
      <c r="B3" s="18" t="s">
        <v>225</v>
      </c>
      <c r="C3" s="19" t="s">
        <v>159</v>
      </c>
      <c r="D3" s="19" t="s">
        <v>160</v>
      </c>
      <c r="E3" s="20" t="s">
        <v>226</v>
      </c>
      <c r="F3" s="20" t="s">
        <v>227</v>
      </c>
      <c r="G3" s="546" t="s">
        <v>228</v>
      </c>
      <c r="H3" s="21" t="s">
        <v>574</v>
      </c>
    </row>
    <row r="4" spans="1:8" ht="20.100000000000001" customHeight="1" x14ac:dyDescent="0.2">
      <c r="A4" s="1268"/>
      <c r="B4" s="22" t="s">
        <v>229</v>
      </c>
      <c r="C4" s="24">
        <v>4</v>
      </c>
      <c r="D4" s="23" t="s">
        <v>216</v>
      </c>
      <c r="E4" s="23">
        <f>TRUNC(0.729*0.5872,2)</f>
        <v>0.42</v>
      </c>
      <c r="F4" s="24">
        <f>TRUNC(C4*E4,2)</f>
        <v>1.68</v>
      </c>
      <c r="G4" s="547">
        <f>TRUNC(F4*30,2)</f>
        <v>50.4</v>
      </c>
      <c r="H4" s="25">
        <f>TRUNC(F4*($D$34-30),2)</f>
        <v>59.47</v>
      </c>
    </row>
    <row r="5" spans="1:8" ht="19.5" customHeight="1" x14ac:dyDescent="0.2">
      <c r="A5" s="1268"/>
      <c r="B5" s="22" t="s">
        <v>230</v>
      </c>
      <c r="C5" s="24">
        <v>4</v>
      </c>
      <c r="D5" s="24" t="s">
        <v>216</v>
      </c>
      <c r="E5" s="24">
        <f>TRUNC(1.272*0.5872,2)</f>
        <v>0.74</v>
      </c>
      <c r="F5" s="24">
        <f t="shared" ref="F5:F31" si="0">TRUNC(C5*E5,2)</f>
        <v>2.96</v>
      </c>
      <c r="G5" s="547">
        <f>TRUNC(F5*30,2)</f>
        <v>88.8</v>
      </c>
      <c r="H5" s="25">
        <f>TRUNC(F5*($D$34-30),2)</f>
        <v>104.78</v>
      </c>
    </row>
    <row r="6" spans="1:8" ht="20.100000000000001" hidden="1" customHeight="1" x14ac:dyDescent="0.2">
      <c r="A6" s="1268"/>
      <c r="B6" s="22" t="s">
        <v>231</v>
      </c>
      <c r="C6" s="24"/>
      <c r="D6" s="24" t="s">
        <v>216</v>
      </c>
      <c r="E6" s="24">
        <f>TRUNC(1.815*0.5872,2)</f>
        <v>1.06</v>
      </c>
      <c r="F6" s="24">
        <f t="shared" si="0"/>
        <v>0</v>
      </c>
      <c r="G6" s="547">
        <f t="shared" ref="G6:G25" si="1">TRUNC(F6*30,2)</f>
        <v>0</v>
      </c>
      <c r="H6" s="25">
        <f t="shared" ref="H6:H26" si="2">TRUNC(F6*($D$34-30),2)</f>
        <v>0</v>
      </c>
    </row>
    <row r="7" spans="1:8" ht="20.100000000000001" hidden="1" customHeight="1" x14ac:dyDescent="0.2">
      <c r="A7" s="1268"/>
      <c r="B7" s="22" t="s">
        <v>246</v>
      </c>
      <c r="C7" s="24"/>
      <c r="D7" s="24" t="s">
        <v>216</v>
      </c>
      <c r="E7" s="24">
        <f>TRUNC(0.702*0.5872,2)</f>
        <v>0.41</v>
      </c>
      <c r="F7" s="24">
        <f t="shared" si="0"/>
        <v>0</v>
      </c>
      <c r="G7" s="547">
        <f t="shared" si="1"/>
        <v>0</v>
      </c>
      <c r="H7" s="25">
        <f t="shared" si="2"/>
        <v>0</v>
      </c>
    </row>
    <row r="8" spans="1:8" ht="20.100000000000001" hidden="1" customHeight="1" x14ac:dyDescent="0.2">
      <c r="A8" s="1268"/>
      <c r="B8" s="22" t="s">
        <v>247</v>
      </c>
      <c r="C8" s="24"/>
      <c r="D8" s="24" t="s">
        <v>216</v>
      </c>
      <c r="E8" s="24"/>
      <c r="F8" s="24">
        <f t="shared" si="0"/>
        <v>0</v>
      </c>
      <c r="G8" s="547">
        <f t="shared" si="1"/>
        <v>0</v>
      </c>
      <c r="H8" s="25">
        <f t="shared" si="2"/>
        <v>0</v>
      </c>
    </row>
    <row r="9" spans="1:8" ht="20.100000000000001" customHeight="1" x14ac:dyDescent="0.2">
      <c r="A9" s="1268"/>
      <c r="B9" s="22" t="s">
        <v>613</v>
      </c>
      <c r="C9" s="24">
        <f>(C4*1)+(C5*2)</f>
        <v>12</v>
      </c>
      <c r="D9" s="24" t="s">
        <v>216</v>
      </c>
      <c r="E9" s="24">
        <v>0</v>
      </c>
      <c r="F9" s="24">
        <v>0</v>
      </c>
      <c r="G9" s="547">
        <v>0</v>
      </c>
      <c r="H9" s="25">
        <v>0</v>
      </c>
    </row>
    <row r="10" spans="1:8" ht="20.100000000000001" customHeight="1" x14ac:dyDescent="0.2">
      <c r="A10" s="1268"/>
      <c r="B10" s="22" t="s">
        <v>232</v>
      </c>
      <c r="C10" s="24">
        <v>3</v>
      </c>
      <c r="D10" s="24" t="s">
        <v>216</v>
      </c>
      <c r="E10" s="24">
        <f>TRUNC((1.74*0.5792)+(0.64*0.5872)+(1.023*1.1),2)</f>
        <v>2.5</v>
      </c>
      <c r="F10" s="24">
        <f t="shared" si="0"/>
        <v>7.5</v>
      </c>
      <c r="G10" s="547">
        <f>TRUNC(F10*30,2)</f>
        <v>225</v>
      </c>
      <c r="H10" s="25">
        <f>TRUNC(F10*($D$34-30),2)</f>
        <v>265.5</v>
      </c>
    </row>
    <row r="11" spans="1:8" ht="20.100000000000001" hidden="1" customHeight="1" x14ac:dyDescent="0.2">
      <c r="A11" s="1268"/>
      <c r="B11" s="22" t="s">
        <v>233</v>
      </c>
      <c r="C11" s="24"/>
      <c r="D11" s="24" t="s">
        <v>216</v>
      </c>
      <c r="E11" s="24">
        <f>TRUNC((2.27*0.5792)+(0.83*0.5872)+(1.24*1.1),2)</f>
        <v>3.16</v>
      </c>
      <c r="F11" s="24">
        <f t="shared" si="0"/>
        <v>0</v>
      </c>
      <c r="G11" s="547">
        <f t="shared" si="1"/>
        <v>0</v>
      </c>
      <c r="H11" s="25">
        <f t="shared" si="2"/>
        <v>0</v>
      </c>
    </row>
    <row r="12" spans="1:8" ht="20.100000000000001" hidden="1" customHeight="1" x14ac:dyDescent="0.2">
      <c r="A12" s="1268"/>
      <c r="B12" s="22" t="s">
        <v>234</v>
      </c>
      <c r="C12" s="24"/>
      <c r="D12" s="24" t="s">
        <v>216</v>
      </c>
      <c r="E12" s="24">
        <f>TRUNC((2.86*0.5792)+(1.05*0.5872)+(1.59*1.1),2)</f>
        <v>4.0199999999999996</v>
      </c>
      <c r="F12" s="24">
        <f t="shared" si="0"/>
        <v>0</v>
      </c>
      <c r="G12" s="547">
        <f t="shared" si="1"/>
        <v>0</v>
      </c>
      <c r="H12" s="25">
        <f t="shared" si="2"/>
        <v>0</v>
      </c>
    </row>
    <row r="13" spans="1:8" ht="20.100000000000001" hidden="1" customHeight="1" x14ac:dyDescent="0.2">
      <c r="A13" s="1268"/>
      <c r="B13" s="22" t="s">
        <v>235</v>
      </c>
      <c r="C13" s="24"/>
      <c r="D13" s="24" t="s">
        <v>216</v>
      </c>
      <c r="E13" s="24">
        <f>TRUNC((3.98*0.5792)+(1.46*0.5872)+(2.11*1.1),2)</f>
        <v>5.48</v>
      </c>
      <c r="F13" s="24">
        <f t="shared" si="0"/>
        <v>0</v>
      </c>
      <c r="G13" s="547">
        <f t="shared" si="1"/>
        <v>0</v>
      </c>
      <c r="H13" s="25">
        <f t="shared" si="2"/>
        <v>0</v>
      </c>
    </row>
    <row r="14" spans="1:8" ht="20.100000000000001" hidden="1" customHeight="1" x14ac:dyDescent="0.2">
      <c r="A14" s="1268"/>
      <c r="B14" s="22" t="s">
        <v>236</v>
      </c>
      <c r="C14" s="24"/>
      <c r="D14" s="24" t="s">
        <v>216</v>
      </c>
      <c r="E14" s="24">
        <f>TRUNC((5.18*0.5792)+(1.9*0.5872)+(2.65*1.1),2)</f>
        <v>7.03</v>
      </c>
      <c r="F14" s="24">
        <f t="shared" si="0"/>
        <v>0</v>
      </c>
      <c r="G14" s="547">
        <f t="shared" si="1"/>
        <v>0</v>
      </c>
      <c r="H14" s="25">
        <f t="shared" si="2"/>
        <v>0</v>
      </c>
    </row>
    <row r="15" spans="1:8" ht="20.100000000000001" customHeight="1" x14ac:dyDescent="0.2">
      <c r="A15" s="26"/>
      <c r="B15" s="22" t="s">
        <v>237</v>
      </c>
      <c r="C15" s="24">
        <f>'DRENAGEM - JDML'!DB18</f>
        <v>0.89999999999999991</v>
      </c>
      <c r="D15" s="24" t="s">
        <v>3</v>
      </c>
      <c r="E15" s="24">
        <v>0</v>
      </c>
      <c r="F15" s="24">
        <f t="shared" si="0"/>
        <v>0</v>
      </c>
      <c r="G15" s="547">
        <f>TRUNC(F15*30,2)</f>
        <v>0</v>
      </c>
      <c r="H15" s="25">
        <f>TRUNC(F15*($D$34-30),2)</f>
        <v>0</v>
      </c>
    </row>
    <row r="16" spans="1:8" ht="20.100000000000001" customHeight="1" x14ac:dyDescent="0.2">
      <c r="A16" s="26"/>
      <c r="B16" s="22" t="s">
        <v>238</v>
      </c>
      <c r="C16" s="24">
        <v>3</v>
      </c>
      <c r="D16" s="24" t="s">
        <v>216</v>
      </c>
      <c r="E16" s="24">
        <v>0</v>
      </c>
      <c r="F16" s="24">
        <f t="shared" si="0"/>
        <v>0</v>
      </c>
      <c r="G16" s="547">
        <f>TRUNC(F16*30,2)</f>
        <v>0</v>
      </c>
      <c r="H16" s="25">
        <f>TRUNC(F16*($D$34-30),2)</f>
        <v>0</v>
      </c>
    </row>
    <row r="17" spans="1:109" ht="20.100000000000001" hidden="1" customHeight="1" x14ac:dyDescent="0.2">
      <c r="A17" s="26"/>
      <c r="B17" s="22" t="s">
        <v>248</v>
      </c>
      <c r="C17" s="24"/>
      <c r="D17" s="24" t="s">
        <v>216</v>
      </c>
      <c r="E17" s="24">
        <f>TRUNC(6.2*0.5934,2)</f>
        <v>3.67</v>
      </c>
      <c r="F17" s="24">
        <f t="shared" si="0"/>
        <v>0</v>
      </c>
      <c r="G17" s="547">
        <f t="shared" si="1"/>
        <v>0</v>
      </c>
      <c r="H17" s="25">
        <f t="shared" si="2"/>
        <v>0</v>
      </c>
    </row>
    <row r="18" spans="1:109" ht="20.100000000000001" hidden="1" customHeight="1" x14ac:dyDescent="0.2">
      <c r="B18" s="22" t="s">
        <v>239</v>
      </c>
      <c r="C18" s="24"/>
      <c r="D18" s="24" t="s">
        <v>216</v>
      </c>
      <c r="E18" s="24">
        <f>TRUNC(1.35*0.5792,2)</f>
        <v>0.78</v>
      </c>
      <c r="F18" s="24">
        <f t="shared" si="0"/>
        <v>0</v>
      </c>
      <c r="G18" s="547">
        <f t="shared" si="1"/>
        <v>0</v>
      </c>
      <c r="H18" s="25">
        <f t="shared" si="2"/>
        <v>0</v>
      </c>
    </row>
    <row r="19" spans="1:109" ht="20.100000000000001" hidden="1" customHeight="1" x14ac:dyDescent="0.2">
      <c r="B19" s="22" t="s">
        <v>240</v>
      </c>
      <c r="C19" s="24">
        <v>0</v>
      </c>
      <c r="D19" s="24" t="s">
        <v>216</v>
      </c>
      <c r="E19" s="24">
        <f>TRUNC(2.44*0.5792,2)</f>
        <v>1.41</v>
      </c>
      <c r="F19" s="24">
        <f t="shared" si="0"/>
        <v>0</v>
      </c>
      <c r="G19" s="547">
        <f>TRUNC(F19*30,2)</f>
        <v>0</v>
      </c>
      <c r="H19" s="25">
        <f>TRUNC(F19*($D$34-30),2)</f>
        <v>0</v>
      </c>
    </row>
    <row r="20" spans="1:109" ht="20.100000000000001" hidden="1" customHeight="1" x14ac:dyDescent="0.2">
      <c r="B20" s="22" t="s">
        <v>562</v>
      </c>
      <c r="C20" s="24">
        <v>0</v>
      </c>
      <c r="D20" s="24" t="s">
        <v>216</v>
      </c>
      <c r="E20" s="24">
        <f>TRUNC(3.41*0.5792,2)</f>
        <v>1.97</v>
      </c>
      <c r="F20" s="24">
        <f t="shared" si="0"/>
        <v>0</v>
      </c>
      <c r="G20" s="547">
        <f>TRUNC(F20*30,2)</f>
        <v>0</v>
      </c>
      <c r="H20" s="25">
        <f>TRUNC(F20*($D$34-30),2)</f>
        <v>0</v>
      </c>
    </row>
    <row r="21" spans="1:109" ht="20.100000000000001" hidden="1" customHeight="1" x14ac:dyDescent="0.2">
      <c r="B21" s="22" t="s">
        <v>214</v>
      </c>
      <c r="C21" s="24">
        <v>0</v>
      </c>
      <c r="D21" s="24" t="s">
        <v>216</v>
      </c>
      <c r="E21" s="24">
        <f>TRUNC((0.9*0.579)+(8.24*0.587)+(3.119*1.1),2)</f>
        <v>8.7799999999999994</v>
      </c>
      <c r="F21" s="24">
        <f t="shared" si="0"/>
        <v>0</v>
      </c>
      <c r="G21" s="547">
        <f t="shared" si="1"/>
        <v>0</v>
      </c>
      <c r="H21" s="25">
        <f>TRUNC(F21*($D$34-30),2)</f>
        <v>0</v>
      </c>
    </row>
    <row r="22" spans="1:109" ht="20.100000000000001" hidden="1" customHeight="1" x14ac:dyDescent="0.2">
      <c r="B22" s="22" t="s">
        <v>223</v>
      </c>
      <c r="C22" s="24"/>
      <c r="D22" s="24" t="s">
        <v>216</v>
      </c>
      <c r="E22" s="24">
        <f>TRUNC((1.3*0.579)+(12.48*0.587)+(4.039*1.1),2)</f>
        <v>12.52</v>
      </c>
      <c r="F22" s="24">
        <f t="shared" si="0"/>
        <v>0</v>
      </c>
      <c r="G22" s="547">
        <f t="shared" si="1"/>
        <v>0</v>
      </c>
      <c r="H22" s="25">
        <f t="shared" si="2"/>
        <v>0</v>
      </c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</row>
    <row r="23" spans="1:109" ht="20.100000000000001" hidden="1" customHeight="1" x14ac:dyDescent="0.2">
      <c r="B23" s="22" t="s">
        <v>224</v>
      </c>
      <c r="C23" s="24"/>
      <c r="D23" s="24" t="s">
        <v>216</v>
      </c>
      <c r="E23" s="24">
        <f>TRUNC((1.8*0.579)+(17.6*0.587)+(5.024*1.1),2)</f>
        <v>16.89</v>
      </c>
      <c r="F23" s="24">
        <f t="shared" si="0"/>
        <v>0</v>
      </c>
      <c r="G23" s="547">
        <f t="shared" si="1"/>
        <v>0</v>
      </c>
      <c r="H23" s="25">
        <f t="shared" si="2"/>
        <v>0</v>
      </c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</row>
    <row r="24" spans="1:109" ht="20.100000000000001" hidden="1" customHeight="1" x14ac:dyDescent="0.2">
      <c r="B24" s="22" t="s">
        <v>241</v>
      </c>
      <c r="C24" s="24"/>
      <c r="D24" s="24" t="s">
        <v>216</v>
      </c>
      <c r="E24" s="24">
        <f>TRUNC((2.4*0.579)+(23.72*0.587)+(6.116*1.1),2)</f>
        <v>22.04</v>
      </c>
      <c r="F24" s="24">
        <f t="shared" si="0"/>
        <v>0</v>
      </c>
      <c r="G24" s="547">
        <f t="shared" si="1"/>
        <v>0</v>
      </c>
      <c r="H24" s="25">
        <f t="shared" si="2"/>
        <v>0</v>
      </c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</row>
    <row r="25" spans="1:109" ht="20.100000000000001" hidden="1" customHeight="1" x14ac:dyDescent="0.2">
      <c r="B25" s="22" t="s">
        <v>242</v>
      </c>
      <c r="C25" s="24"/>
      <c r="D25" s="24" t="s">
        <v>216</v>
      </c>
      <c r="E25" s="24">
        <f>TRUNC((3.7*0.579)+(39.14*0.587)+(8.694*1.1),2)</f>
        <v>34.68</v>
      </c>
      <c r="F25" s="24">
        <f t="shared" si="0"/>
        <v>0</v>
      </c>
      <c r="G25" s="547">
        <f t="shared" si="1"/>
        <v>0</v>
      </c>
      <c r="H25" s="25">
        <f t="shared" si="2"/>
        <v>0</v>
      </c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</row>
    <row r="26" spans="1:109" s="27" customFormat="1" ht="20.100000000000001" customHeight="1" x14ac:dyDescent="0.2">
      <c r="B26" s="22" t="s">
        <v>243</v>
      </c>
      <c r="C26" s="24">
        <f>17+18+17</f>
        <v>52</v>
      </c>
      <c r="D26" s="24" t="s">
        <v>3</v>
      </c>
      <c r="E26" s="24">
        <v>0</v>
      </c>
      <c r="F26" s="24">
        <f t="shared" si="0"/>
        <v>0</v>
      </c>
      <c r="G26" s="547">
        <f>TRUNC(F26*30,2)</f>
        <v>0</v>
      </c>
      <c r="H26" s="25">
        <f t="shared" si="2"/>
        <v>0</v>
      </c>
    </row>
    <row r="27" spans="1:109" s="27" customFormat="1" ht="20.100000000000001" hidden="1" customHeight="1" x14ac:dyDescent="0.2">
      <c r="B27" s="22" t="s">
        <v>244</v>
      </c>
      <c r="C27" s="24"/>
      <c r="D27" s="24" t="s">
        <v>3</v>
      </c>
      <c r="E27" s="24">
        <f>TRUNC(0.03*0.5872,2)</f>
        <v>0.01</v>
      </c>
      <c r="F27" s="24">
        <f t="shared" si="0"/>
        <v>0</v>
      </c>
      <c r="G27" s="547"/>
      <c r="H27" s="25">
        <f t="shared" ref="H27:H31" si="3">TRUNC(F27*30,2)</f>
        <v>0</v>
      </c>
    </row>
    <row r="28" spans="1:109" s="27" customFormat="1" ht="20.100000000000001" hidden="1" customHeight="1" x14ac:dyDescent="0.2">
      <c r="B28" s="22" t="s">
        <v>249</v>
      </c>
      <c r="C28" s="24"/>
      <c r="D28" s="24" t="s">
        <v>216</v>
      </c>
      <c r="E28" s="24">
        <f>TRUNC(0.14*0.5872,2)</f>
        <v>0.08</v>
      </c>
      <c r="F28" s="24">
        <f t="shared" si="0"/>
        <v>0</v>
      </c>
      <c r="G28" s="547"/>
      <c r="H28" s="25">
        <f t="shared" si="3"/>
        <v>0</v>
      </c>
    </row>
    <row r="29" spans="1:109" s="27" customFormat="1" ht="20.100000000000001" hidden="1" customHeight="1" x14ac:dyDescent="0.2">
      <c r="B29" s="22" t="s">
        <v>250</v>
      </c>
      <c r="C29" s="24"/>
      <c r="D29" s="24" t="s">
        <v>3</v>
      </c>
      <c r="E29" s="24">
        <f>TRUNC(0.137*0.5912,2)</f>
        <v>0.08</v>
      </c>
      <c r="F29" s="24">
        <f t="shared" si="0"/>
        <v>0</v>
      </c>
      <c r="G29" s="547"/>
      <c r="H29" s="25">
        <f t="shared" si="3"/>
        <v>0</v>
      </c>
    </row>
    <row r="30" spans="1:109" s="27" customFormat="1" ht="20.100000000000001" hidden="1" customHeight="1" x14ac:dyDescent="0.2">
      <c r="B30" s="22" t="s">
        <v>251</v>
      </c>
      <c r="C30" s="24"/>
      <c r="D30" s="24" t="s">
        <v>216</v>
      </c>
      <c r="E30" s="24">
        <f>TRUNC((0.42*0.5912)+0.21,2)</f>
        <v>0.45</v>
      </c>
      <c r="F30" s="24">
        <f t="shared" si="0"/>
        <v>0</v>
      </c>
      <c r="G30" s="547"/>
      <c r="H30" s="25">
        <f t="shared" si="3"/>
        <v>0</v>
      </c>
    </row>
    <row r="31" spans="1:109" s="27" customFormat="1" ht="20.100000000000001" hidden="1" customHeight="1" x14ac:dyDescent="0.2">
      <c r="B31" s="22" t="s">
        <v>245</v>
      </c>
      <c r="C31" s="24"/>
      <c r="D31" s="24" t="s">
        <v>2</v>
      </c>
      <c r="E31" s="24">
        <f>TRUNC(1*0.5872,2)</f>
        <v>0.57999999999999996</v>
      </c>
      <c r="F31" s="24">
        <f t="shared" si="0"/>
        <v>0</v>
      </c>
      <c r="G31" s="547"/>
      <c r="H31" s="25">
        <f t="shared" si="3"/>
        <v>0</v>
      </c>
    </row>
    <row r="32" spans="1:109" s="27" customFormat="1" ht="21.75" customHeight="1" thickBot="1" x14ac:dyDescent="0.25">
      <c r="B32" s="28" t="s">
        <v>34</v>
      </c>
      <c r="C32" s="232"/>
      <c r="D32" s="233"/>
      <c r="E32" s="233"/>
      <c r="F32" s="234">
        <f>TRUNC(SUM(F4:F31),2)</f>
        <v>12.14</v>
      </c>
      <c r="G32" s="548">
        <f>TRUNC(SUM(G4:G31),2)</f>
        <v>364.2</v>
      </c>
      <c r="H32" s="29">
        <f>TRUNC(SUM(H4:H31),2)</f>
        <v>429.75</v>
      </c>
    </row>
    <row r="33" spans="3:102" ht="16.5" customHeight="1" x14ac:dyDescent="0.2"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</row>
    <row r="34" spans="3:102" ht="16.5" customHeight="1" x14ac:dyDescent="0.2">
      <c r="C34" s="231" t="s">
        <v>123</v>
      </c>
      <c r="D34" s="203">
        <f>DMT!$F$10</f>
        <v>65.400000000000006</v>
      </c>
      <c r="E34" s="202" t="s">
        <v>38</v>
      </c>
      <c r="F34" s="30"/>
      <c r="G34" s="30"/>
      <c r="H34" s="30"/>
    </row>
    <row r="35" spans="3:102" ht="16.5" customHeight="1" x14ac:dyDescent="0.2">
      <c r="C35" s="231" t="s">
        <v>609</v>
      </c>
      <c r="D35" s="636">
        <f>DMT!F14</f>
        <v>876.8</v>
      </c>
      <c r="E35" s="202" t="s">
        <v>38</v>
      </c>
      <c r="BE35" s="27"/>
      <c r="BF35" s="27"/>
    </row>
    <row r="36" spans="3:102" ht="16.5" customHeight="1" x14ac:dyDescent="0.2">
      <c r="C36" s="543" t="s">
        <v>611</v>
      </c>
      <c r="D36" s="544">
        <f>IF(D35&gt;30,TRUNC((C9*(GRELHA!K10/1000))*30,2),TRUNC((C7*(GRELHA!K10/1000))*D33,2))</f>
        <v>14.4</v>
      </c>
      <c r="E36" s="545" t="s">
        <v>614</v>
      </c>
      <c r="BE36" s="27"/>
      <c r="BF36" s="27"/>
    </row>
    <row r="37" spans="3:102" ht="16.5" customHeight="1" x14ac:dyDescent="0.2">
      <c r="C37" s="543" t="s">
        <v>612</v>
      </c>
      <c r="D37" s="544">
        <f>C9*0.04*(D35-30)</f>
        <v>406.46399999999994</v>
      </c>
      <c r="E37" s="545" t="s">
        <v>614</v>
      </c>
      <c r="BE37" s="27"/>
      <c r="BF37" s="27"/>
    </row>
    <row r="38" spans="3:102" ht="16.5" customHeight="1" x14ac:dyDescent="0.2">
      <c r="BE38" s="27"/>
      <c r="BF38" s="27"/>
    </row>
    <row r="39" spans="3:102" ht="16.5" customHeight="1" x14ac:dyDescent="0.2">
      <c r="BE39" s="27"/>
      <c r="BF39" s="27"/>
    </row>
    <row r="40" spans="3:102" ht="16.5" customHeight="1" x14ac:dyDescent="0.2">
      <c r="E40" s="248"/>
    </row>
    <row r="41" spans="3:102" ht="16.5" customHeight="1" x14ac:dyDescent="0.2">
      <c r="E41" s="248"/>
    </row>
    <row r="42" spans="3:102" ht="16.5" customHeight="1" x14ac:dyDescent="0.2">
      <c r="E42" s="248"/>
    </row>
    <row r="43" spans="3:102" ht="16.5" customHeight="1" x14ac:dyDescent="0.2">
      <c r="E43" s="248"/>
    </row>
    <row r="44" spans="3:102" ht="16.5" customHeight="1" x14ac:dyDescent="0.2">
      <c r="E44" s="248"/>
    </row>
    <row r="47" spans="3:102" ht="16.5" customHeight="1" x14ac:dyDescent="0.2">
      <c r="AX47" s="27"/>
    </row>
    <row r="48" spans="3:102" ht="16.5" customHeight="1" x14ac:dyDescent="0.2">
      <c r="AX48" s="27"/>
    </row>
    <row r="49" spans="50:50" ht="16.5" customHeight="1" x14ac:dyDescent="0.2">
      <c r="AX49" s="27"/>
    </row>
    <row r="50" spans="50:50" ht="16.5" customHeight="1" x14ac:dyDescent="0.2">
      <c r="AX50" s="27"/>
    </row>
    <row r="51" spans="50:50" ht="16.5" customHeight="1" x14ac:dyDescent="0.2">
      <c r="AX51" s="27"/>
    </row>
  </sheetData>
  <autoFilter ref="B3:H3" xr:uid="{00000000-0001-0000-0900-000000000000}"/>
  <mergeCells count="2">
    <mergeCell ref="B2:H2"/>
    <mergeCell ref="A4:A14"/>
  </mergeCells>
  <printOptions horizontalCentered="1"/>
  <pageMargins left="0.51181102362204722" right="0.51181102362204722" top="0.98425196850393704" bottom="0.59055118110236227" header="0.31496062992125984" footer="0.51181102362204722"/>
  <pageSetup paperSize="9" scale="58" fitToHeight="0" orientation="portrait" r:id="rId1"/>
  <headerFooter>
    <oddHeader>&amp;L&amp;G&amp;R&amp;G</oddHead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1866D-E22A-4652-AA0D-FC06C0C6BBCE}">
  <sheetPr>
    <tabColor theme="5" tint="0.39997558519241921"/>
  </sheetPr>
  <dimension ref="A1:DE51"/>
  <sheetViews>
    <sheetView showGridLines="0" view="pageBreakPreview" zoomScale="85" zoomScaleNormal="100" zoomScaleSheetLayoutView="85" workbookViewId="0">
      <selection activeCell="L9" sqref="L9"/>
    </sheetView>
  </sheetViews>
  <sheetFormatPr defaultColWidth="9.33203125" defaultRowHeight="15" x14ac:dyDescent="0.2"/>
  <cols>
    <col min="1" max="1" width="5" style="674" customWidth="1"/>
    <col min="2" max="2" width="46.1640625" style="675" bestFit="1" customWidth="1"/>
    <col min="3" max="6" width="18.1640625" style="674" customWidth="1"/>
    <col min="7" max="8" width="21.5" style="674" customWidth="1"/>
    <col min="9" max="9" width="10.6640625" style="674" customWidth="1"/>
    <col min="10" max="16384" width="9.33203125" style="674"/>
  </cols>
  <sheetData>
    <row r="1" spans="1:8" ht="15.75" thickBot="1" x14ac:dyDescent="0.25"/>
    <row r="2" spans="1:8" s="676" customFormat="1" x14ac:dyDescent="0.2">
      <c r="B2" s="1269" t="s">
        <v>342</v>
      </c>
      <c r="C2" s="1270"/>
      <c r="D2" s="1270"/>
      <c r="E2" s="1270"/>
      <c r="F2" s="1270"/>
      <c r="G2" s="1271"/>
      <c r="H2" s="1272"/>
    </row>
    <row r="3" spans="1:8" s="677" customFormat="1" ht="60" x14ac:dyDescent="0.2">
      <c r="B3" s="678" t="s">
        <v>225</v>
      </c>
      <c r="C3" s="679" t="s">
        <v>159</v>
      </c>
      <c r="D3" s="679" t="s">
        <v>160</v>
      </c>
      <c r="E3" s="680" t="s">
        <v>226</v>
      </c>
      <c r="F3" s="680" t="s">
        <v>227</v>
      </c>
      <c r="G3" s="681" t="s">
        <v>228</v>
      </c>
      <c r="H3" s="681" t="s">
        <v>672</v>
      </c>
    </row>
    <row r="4" spans="1:8" x14ac:dyDescent="0.2">
      <c r="A4" s="1273"/>
      <c r="B4" s="682" t="s">
        <v>229</v>
      </c>
      <c r="C4" s="683">
        <v>20</v>
      </c>
      <c r="D4" s="684" t="s">
        <v>216</v>
      </c>
      <c r="E4" s="684">
        <f>TRUNC(0.729*0.5872,2)</f>
        <v>0.42</v>
      </c>
      <c r="F4" s="683">
        <f>TRUNC(C4*E4,2)</f>
        <v>8.4</v>
      </c>
      <c r="G4" s="685">
        <f>TRUNC(F4*30,2)</f>
        <v>252</v>
      </c>
      <c r="H4" s="685">
        <f>TRUNC(F4*($D$32-30),2)</f>
        <v>297.36</v>
      </c>
    </row>
    <row r="5" spans="1:8" x14ac:dyDescent="0.2">
      <c r="A5" s="1273"/>
      <c r="B5" s="682" t="s">
        <v>230</v>
      </c>
      <c r="C5" s="683">
        <v>2</v>
      </c>
      <c r="D5" s="683" t="s">
        <v>216</v>
      </c>
      <c r="E5" s="683">
        <f>TRUNC(1.272*0.5872,2)</f>
        <v>0.74</v>
      </c>
      <c r="F5" s="683">
        <f>TRUNC(C5*E5,2)</f>
        <v>1.48</v>
      </c>
      <c r="G5" s="685">
        <f t="shared" ref="G5:G29" si="0">TRUNC(F5*30,2)</f>
        <v>44.4</v>
      </c>
      <c r="H5" s="685">
        <f>TRUNC(F5*($D$32-30),2)</f>
        <v>52.39</v>
      </c>
    </row>
    <row r="6" spans="1:8" hidden="1" x14ac:dyDescent="0.2">
      <c r="A6" s="1273"/>
      <c r="B6" s="682" t="s">
        <v>231</v>
      </c>
      <c r="C6" s="683"/>
      <c r="D6" s="683" t="s">
        <v>216</v>
      </c>
      <c r="E6" s="683">
        <f>TRUNC(1.815*0.5872,2)</f>
        <v>1.06</v>
      </c>
      <c r="F6" s="683">
        <f>TRUNC(C6*E6,2)</f>
        <v>0</v>
      </c>
      <c r="G6" s="685">
        <f t="shared" si="0"/>
        <v>0</v>
      </c>
      <c r="H6" s="685">
        <f>TRUNC(F6*($D$32-30),2)</f>
        <v>0</v>
      </c>
    </row>
    <row r="7" spans="1:8" x14ac:dyDescent="0.2">
      <c r="A7" s="1273"/>
      <c r="B7" s="682" t="s">
        <v>572</v>
      </c>
      <c r="C7" s="683">
        <f>C4*1+C5*2</f>
        <v>24</v>
      </c>
      <c r="D7" s="683" t="s">
        <v>216</v>
      </c>
      <c r="E7" s="683">
        <v>0</v>
      </c>
      <c r="F7" s="683">
        <v>0</v>
      </c>
      <c r="G7" s="685">
        <v>0</v>
      </c>
      <c r="H7" s="685">
        <v>0</v>
      </c>
    </row>
    <row r="8" spans="1:8" x14ac:dyDescent="0.2">
      <c r="A8" s="1273"/>
      <c r="B8" s="682" t="s">
        <v>232</v>
      </c>
      <c r="C8" s="683">
        <v>6</v>
      </c>
      <c r="D8" s="683" t="s">
        <v>216</v>
      </c>
      <c r="E8" s="683">
        <f>TRUNC((1.74*0.5792)+(0.64*0.5872)+(1.023*1.1),2)</f>
        <v>2.5</v>
      </c>
      <c r="F8" s="683">
        <f>TRUNC(C8*E8,2)</f>
        <v>15</v>
      </c>
      <c r="G8" s="685">
        <f t="shared" si="0"/>
        <v>450</v>
      </c>
      <c r="H8" s="685">
        <f t="shared" ref="H8:H29" si="1">TRUNC(F8*($D$32-30),2)</f>
        <v>531</v>
      </c>
    </row>
    <row r="9" spans="1:8" hidden="1" x14ac:dyDescent="0.2">
      <c r="A9" s="1273"/>
      <c r="B9" s="682" t="s">
        <v>233</v>
      </c>
      <c r="C9" s="683"/>
      <c r="D9" s="683" t="s">
        <v>216</v>
      </c>
      <c r="E9" s="683">
        <f>TRUNC((2.27*0.5792)+(0.83*0.5872)+(1.24*1.1),2)</f>
        <v>3.16</v>
      </c>
      <c r="F9" s="683">
        <f>TRUNC(C9*E9,2)</f>
        <v>0</v>
      </c>
      <c r="G9" s="685">
        <f t="shared" si="0"/>
        <v>0</v>
      </c>
      <c r="H9" s="685">
        <f t="shared" si="1"/>
        <v>0</v>
      </c>
    </row>
    <row r="10" spans="1:8" hidden="1" x14ac:dyDescent="0.2">
      <c r="A10" s="1273"/>
      <c r="B10" s="682" t="s">
        <v>234</v>
      </c>
      <c r="C10" s="683"/>
      <c r="D10" s="683" t="s">
        <v>216</v>
      </c>
      <c r="E10" s="683">
        <f>TRUNC((2.86*0.5792)+(1.05*0.5872)+(1.59*1.1),2)</f>
        <v>4.0199999999999996</v>
      </c>
      <c r="F10" s="683">
        <f>TRUNC(C10*E10,2)</f>
        <v>0</v>
      </c>
      <c r="G10" s="685">
        <f t="shared" si="0"/>
        <v>0</v>
      </c>
      <c r="H10" s="685">
        <f t="shared" si="1"/>
        <v>0</v>
      </c>
    </row>
    <row r="11" spans="1:8" hidden="1" x14ac:dyDescent="0.2">
      <c r="A11" s="1273"/>
      <c r="B11" s="682" t="s">
        <v>235</v>
      </c>
      <c r="C11" s="683"/>
      <c r="D11" s="683" t="s">
        <v>216</v>
      </c>
      <c r="E11" s="683">
        <f>TRUNC((3.98*0.5792)+(1.46*0.5872)+(2.11*1.1),2)</f>
        <v>5.48</v>
      </c>
      <c r="F11" s="683">
        <f>TRUNC(C11*E11,2)</f>
        <v>0</v>
      </c>
      <c r="G11" s="685">
        <f t="shared" si="0"/>
        <v>0</v>
      </c>
      <c r="H11" s="685">
        <f t="shared" si="1"/>
        <v>0</v>
      </c>
    </row>
    <row r="12" spans="1:8" hidden="1" x14ac:dyDescent="0.2">
      <c r="A12" s="1273"/>
      <c r="B12" s="682" t="s">
        <v>236</v>
      </c>
      <c r="C12" s="683"/>
      <c r="D12" s="683" t="s">
        <v>216</v>
      </c>
      <c r="E12" s="683">
        <f>TRUNC((5.18*0.5792)+(1.9*0.5872)+(2.65*1.1),2)</f>
        <v>7.03</v>
      </c>
      <c r="F12" s="683">
        <f>TRUNC(C12*E12,2)</f>
        <v>0</v>
      </c>
      <c r="G12" s="685">
        <f t="shared" si="0"/>
        <v>0</v>
      </c>
      <c r="H12" s="685">
        <f t="shared" si="1"/>
        <v>0</v>
      </c>
    </row>
    <row r="13" spans="1:8" hidden="1" x14ac:dyDescent="0.2">
      <c r="A13" s="686"/>
      <c r="B13" s="682" t="s">
        <v>237</v>
      </c>
      <c r="C13" s="683"/>
      <c r="D13" s="683" t="s">
        <v>3</v>
      </c>
      <c r="E13" s="683">
        <v>0</v>
      </c>
      <c r="F13" s="683">
        <f t="shared" ref="F13:F29" si="2">TRUNC(C13*E13,2)</f>
        <v>0</v>
      </c>
      <c r="G13" s="685">
        <f t="shared" si="0"/>
        <v>0</v>
      </c>
      <c r="H13" s="685">
        <f t="shared" si="1"/>
        <v>0</v>
      </c>
    </row>
    <row r="14" spans="1:8" hidden="1" x14ac:dyDescent="0.2">
      <c r="A14" s="686"/>
      <c r="B14" s="682" t="s">
        <v>238</v>
      </c>
      <c r="C14" s="683"/>
      <c r="D14" s="683" t="s">
        <v>216</v>
      </c>
      <c r="E14" s="683">
        <v>0</v>
      </c>
      <c r="F14" s="683">
        <f t="shared" si="2"/>
        <v>0</v>
      </c>
      <c r="G14" s="685">
        <f t="shared" si="0"/>
        <v>0</v>
      </c>
      <c r="H14" s="685">
        <f t="shared" si="1"/>
        <v>0</v>
      </c>
    </row>
    <row r="15" spans="1:8" hidden="1" x14ac:dyDescent="0.2">
      <c r="A15" s="686"/>
      <c r="B15" s="682" t="s">
        <v>248</v>
      </c>
      <c r="C15" s="683"/>
      <c r="D15" s="683" t="s">
        <v>216</v>
      </c>
      <c r="E15" s="683">
        <f>TRUNC(6.2*0.5934,2)</f>
        <v>3.67</v>
      </c>
      <c r="F15" s="683">
        <f t="shared" si="2"/>
        <v>0</v>
      </c>
      <c r="G15" s="685">
        <f t="shared" si="0"/>
        <v>0</v>
      </c>
      <c r="H15" s="685">
        <f t="shared" si="1"/>
        <v>0</v>
      </c>
    </row>
    <row r="16" spans="1:8" hidden="1" x14ac:dyDescent="0.2">
      <c r="B16" s="682" t="s">
        <v>239</v>
      </c>
      <c r="C16" s="683"/>
      <c r="D16" s="683" t="s">
        <v>216</v>
      </c>
      <c r="E16" s="683">
        <f>TRUNC(1.35*0.5792,2)</f>
        <v>0.78</v>
      </c>
      <c r="F16" s="683">
        <f t="shared" si="2"/>
        <v>0</v>
      </c>
      <c r="G16" s="685">
        <f t="shared" si="0"/>
        <v>0</v>
      </c>
      <c r="H16" s="685">
        <f t="shared" si="1"/>
        <v>0</v>
      </c>
    </row>
    <row r="17" spans="2:109" hidden="1" x14ac:dyDescent="0.2">
      <c r="B17" s="682" t="s">
        <v>240</v>
      </c>
      <c r="C17" s="683"/>
      <c r="D17" s="683" t="s">
        <v>216</v>
      </c>
      <c r="E17" s="683">
        <f>TRUNC(2.44*0.5792,2)</f>
        <v>1.41</v>
      </c>
      <c r="F17" s="683">
        <f t="shared" si="2"/>
        <v>0</v>
      </c>
      <c r="G17" s="685">
        <f t="shared" si="0"/>
        <v>0</v>
      </c>
      <c r="H17" s="685">
        <f t="shared" si="1"/>
        <v>0</v>
      </c>
    </row>
    <row r="18" spans="2:109" hidden="1" x14ac:dyDescent="0.2">
      <c r="B18" s="682" t="s">
        <v>673</v>
      </c>
      <c r="C18" s="683"/>
      <c r="D18" s="683" t="s">
        <v>216</v>
      </c>
      <c r="E18" s="683">
        <f>TRUNC(3.41*0.5792,2)</f>
        <v>1.97</v>
      </c>
      <c r="F18" s="683">
        <f t="shared" si="2"/>
        <v>0</v>
      </c>
      <c r="G18" s="685">
        <f t="shared" si="0"/>
        <v>0</v>
      </c>
      <c r="H18" s="685">
        <f t="shared" si="1"/>
        <v>0</v>
      </c>
    </row>
    <row r="19" spans="2:109" hidden="1" x14ac:dyDescent="0.2">
      <c r="B19" s="682" t="s">
        <v>214</v>
      </c>
      <c r="C19" s="683"/>
      <c r="D19" s="683" t="s">
        <v>216</v>
      </c>
      <c r="E19" s="683">
        <f>TRUNC((0.9*0.579)+(8.24*0.587)+(3.119*1.1),2)</f>
        <v>8.7799999999999994</v>
      </c>
      <c r="F19" s="683">
        <f t="shared" si="2"/>
        <v>0</v>
      </c>
      <c r="G19" s="685">
        <f t="shared" si="0"/>
        <v>0</v>
      </c>
      <c r="H19" s="685">
        <f t="shared" si="1"/>
        <v>0</v>
      </c>
    </row>
    <row r="20" spans="2:109" hidden="1" x14ac:dyDescent="0.2">
      <c r="B20" s="682" t="s">
        <v>223</v>
      </c>
      <c r="C20" s="683"/>
      <c r="D20" s="683" t="s">
        <v>216</v>
      </c>
      <c r="E20" s="683">
        <f>TRUNC((1.3*0.579)+(12.48*0.587)+(4.039*1.1),2)</f>
        <v>12.52</v>
      </c>
      <c r="F20" s="683">
        <f t="shared" si="2"/>
        <v>0</v>
      </c>
      <c r="G20" s="685">
        <f t="shared" si="0"/>
        <v>0</v>
      </c>
      <c r="H20" s="685">
        <f t="shared" si="1"/>
        <v>0</v>
      </c>
    </row>
    <row r="21" spans="2:109" hidden="1" x14ac:dyDescent="0.2">
      <c r="B21" s="682" t="s">
        <v>224</v>
      </c>
      <c r="C21" s="683"/>
      <c r="D21" s="683" t="s">
        <v>216</v>
      </c>
      <c r="E21" s="683">
        <f>TRUNC((1.8*0.579)+(17.6*0.587)+(5.024*1.1),2)</f>
        <v>16.89</v>
      </c>
      <c r="F21" s="683">
        <f t="shared" si="2"/>
        <v>0</v>
      </c>
      <c r="G21" s="685">
        <f t="shared" si="0"/>
        <v>0</v>
      </c>
      <c r="H21" s="685">
        <f t="shared" si="1"/>
        <v>0</v>
      </c>
    </row>
    <row r="22" spans="2:109" hidden="1" x14ac:dyDescent="0.2">
      <c r="B22" s="682" t="s">
        <v>241</v>
      </c>
      <c r="C22" s="683"/>
      <c r="D22" s="683" t="s">
        <v>216</v>
      </c>
      <c r="E22" s="683">
        <f>TRUNC((2.4*0.579)+(23.72*0.587)+(6.116*1.1),2)</f>
        <v>22.04</v>
      </c>
      <c r="F22" s="683">
        <f t="shared" si="2"/>
        <v>0</v>
      </c>
      <c r="G22" s="685">
        <f t="shared" si="0"/>
        <v>0</v>
      </c>
      <c r="H22" s="685">
        <f t="shared" si="1"/>
        <v>0</v>
      </c>
      <c r="BL22" s="687"/>
      <c r="BM22" s="687"/>
      <c r="BN22" s="687"/>
      <c r="BO22" s="687"/>
      <c r="BP22" s="687"/>
      <c r="BQ22" s="687"/>
      <c r="BR22" s="687"/>
      <c r="BS22" s="687"/>
      <c r="BT22" s="687"/>
      <c r="BU22" s="687"/>
      <c r="BV22" s="687"/>
      <c r="BW22" s="687"/>
      <c r="BX22" s="687"/>
      <c r="BY22" s="687"/>
      <c r="BZ22" s="687"/>
      <c r="CA22" s="687"/>
      <c r="CB22" s="687"/>
      <c r="CC22" s="687"/>
      <c r="CD22" s="687"/>
      <c r="CE22" s="687"/>
      <c r="CF22" s="687"/>
      <c r="CG22" s="687"/>
      <c r="CH22" s="687"/>
      <c r="CI22" s="687"/>
      <c r="CJ22" s="687"/>
      <c r="CK22" s="687"/>
      <c r="CL22" s="687"/>
      <c r="CM22" s="687"/>
      <c r="CN22" s="687"/>
      <c r="CO22" s="687"/>
      <c r="CP22" s="687"/>
      <c r="CQ22" s="687"/>
      <c r="CR22" s="687"/>
      <c r="CS22" s="687"/>
      <c r="CT22" s="687"/>
      <c r="CU22" s="687"/>
      <c r="CV22" s="687"/>
      <c r="CW22" s="687"/>
      <c r="CX22" s="687"/>
      <c r="CY22" s="687"/>
      <c r="CZ22" s="687"/>
      <c r="DA22" s="687"/>
      <c r="DB22" s="687"/>
      <c r="DC22" s="687"/>
      <c r="DD22" s="687"/>
      <c r="DE22" s="687"/>
    </row>
    <row r="23" spans="2:109" hidden="1" x14ac:dyDescent="0.2">
      <c r="B23" s="682" t="s">
        <v>242</v>
      </c>
      <c r="C23" s="683"/>
      <c r="D23" s="683" t="s">
        <v>216</v>
      </c>
      <c r="E23" s="683">
        <f>TRUNC((3.7*0.579)+(39.14*0.587)+(8.694*1.1),2)</f>
        <v>34.68</v>
      </c>
      <c r="F23" s="683">
        <f t="shared" si="2"/>
        <v>0</v>
      </c>
      <c r="G23" s="685">
        <f t="shared" si="0"/>
        <v>0</v>
      </c>
      <c r="H23" s="685">
        <f t="shared" si="1"/>
        <v>0</v>
      </c>
      <c r="BL23" s="687"/>
      <c r="BM23" s="687"/>
      <c r="BN23" s="687"/>
      <c r="BO23" s="687"/>
      <c r="BP23" s="687"/>
      <c r="BQ23" s="687"/>
      <c r="BR23" s="687"/>
      <c r="BS23" s="687"/>
      <c r="BT23" s="687"/>
      <c r="BU23" s="687"/>
      <c r="BV23" s="687"/>
      <c r="BW23" s="687"/>
      <c r="BX23" s="687"/>
      <c r="BY23" s="687"/>
      <c r="BZ23" s="687"/>
      <c r="CA23" s="687"/>
      <c r="CB23" s="687"/>
      <c r="CC23" s="687"/>
      <c r="CD23" s="687"/>
      <c r="CE23" s="687"/>
      <c r="CF23" s="687"/>
      <c r="CG23" s="687"/>
      <c r="CH23" s="687"/>
      <c r="CI23" s="687"/>
      <c r="CJ23" s="687"/>
      <c r="CK23" s="687"/>
      <c r="CL23" s="687"/>
      <c r="CM23" s="687"/>
      <c r="CN23" s="687"/>
      <c r="CO23" s="687"/>
      <c r="CP23" s="687"/>
      <c r="CQ23" s="687"/>
      <c r="CR23" s="687"/>
      <c r="CS23" s="687"/>
      <c r="CT23" s="687"/>
      <c r="CU23" s="687"/>
      <c r="CV23" s="687"/>
      <c r="CW23" s="687"/>
      <c r="CX23" s="687"/>
      <c r="CY23" s="687"/>
      <c r="CZ23" s="687"/>
      <c r="DA23" s="687"/>
      <c r="DB23" s="687"/>
      <c r="DC23" s="687"/>
      <c r="DD23" s="687"/>
      <c r="DE23" s="687"/>
    </row>
    <row r="24" spans="2:109" s="687" customFormat="1" hidden="1" x14ac:dyDescent="0.2">
      <c r="B24" s="682" t="s">
        <v>243</v>
      </c>
      <c r="C24" s="683"/>
      <c r="D24" s="683" t="s">
        <v>3</v>
      </c>
      <c r="E24" s="683">
        <v>0</v>
      </c>
      <c r="F24" s="683">
        <f t="shared" si="2"/>
        <v>0</v>
      </c>
      <c r="G24" s="685">
        <f t="shared" si="0"/>
        <v>0</v>
      </c>
      <c r="H24" s="685">
        <f t="shared" si="1"/>
        <v>0</v>
      </c>
    </row>
    <row r="25" spans="2:109" s="687" customFormat="1" hidden="1" x14ac:dyDescent="0.2">
      <c r="B25" s="682" t="s">
        <v>244</v>
      </c>
      <c r="C25" s="683"/>
      <c r="D25" s="683" t="s">
        <v>3</v>
      </c>
      <c r="E25" s="683">
        <f>TRUNC(0.03*0.5872,2)</f>
        <v>0.01</v>
      </c>
      <c r="F25" s="683">
        <f t="shared" si="2"/>
        <v>0</v>
      </c>
      <c r="G25" s="685">
        <f t="shared" si="0"/>
        <v>0</v>
      </c>
      <c r="H25" s="685">
        <f t="shared" si="1"/>
        <v>0</v>
      </c>
    </row>
    <row r="26" spans="2:109" s="687" customFormat="1" hidden="1" x14ac:dyDescent="0.2">
      <c r="B26" s="682" t="s">
        <v>249</v>
      </c>
      <c r="C26" s="683"/>
      <c r="D26" s="683" t="s">
        <v>216</v>
      </c>
      <c r="E26" s="683">
        <f>TRUNC(0.14*0.5872,2)</f>
        <v>0.08</v>
      </c>
      <c r="F26" s="683">
        <f t="shared" si="2"/>
        <v>0</v>
      </c>
      <c r="G26" s="685">
        <f t="shared" si="0"/>
        <v>0</v>
      </c>
      <c r="H26" s="685">
        <f t="shared" si="1"/>
        <v>0</v>
      </c>
    </row>
    <row r="27" spans="2:109" s="687" customFormat="1" hidden="1" x14ac:dyDescent="0.2">
      <c r="B27" s="682" t="s">
        <v>250</v>
      </c>
      <c r="C27" s="683"/>
      <c r="D27" s="683" t="s">
        <v>3</v>
      </c>
      <c r="E27" s="683">
        <f>TRUNC(0.137*0.5912,2)</f>
        <v>0.08</v>
      </c>
      <c r="F27" s="683">
        <f t="shared" si="2"/>
        <v>0</v>
      </c>
      <c r="G27" s="685">
        <f t="shared" si="0"/>
        <v>0</v>
      </c>
      <c r="H27" s="685">
        <f t="shared" si="1"/>
        <v>0</v>
      </c>
    </row>
    <row r="28" spans="2:109" s="687" customFormat="1" hidden="1" x14ac:dyDescent="0.2">
      <c r="B28" s="682" t="s">
        <v>251</v>
      </c>
      <c r="C28" s="683"/>
      <c r="D28" s="683" t="s">
        <v>216</v>
      </c>
      <c r="E28" s="683">
        <f>TRUNC((0.42*0.5912)+0.21,2)</f>
        <v>0.45</v>
      </c>
      <c r="F28" s="683">
        <f t="shared" si="2"/>
        <v>0</v>
      </c>
      <c r="G28" s="685">
        <f t="shared" si="0"/>
        <v>0</v>
      </c>
      <c r="H28" s="685">
        <f t="shared" si="1"/>
        <v>0</v>
      </c>
    </row>
    <row r="29" spans="2:109" s="687" customFormat="1" hidden="1" x14ac:dyDescent="0.2">
      <c r="B29" s="682" t="s">
        <v>245</v>
      </c>
      <c r="C29" s="683"/>
      <c r="D29" s="683" t="s">
        <v>2</v>
      </c>
      <c r="E29" s="683">
        <f>TRUNC(1*0.5872,2)</f>
        <v>0.57999999999999996</v>
      </c>
      <c r="F29" s="683">
        <f t="shared" si="2"/>
        <v>0</v>
      </c>
      <c r="G29" s="685">
        <f t="shared" si="0"/>
        <v>0</v>
      </c>
      <c r="H29" s="685">
        <f t="shared" si="1"/>
        <v>0</v>
      </c>
    </row>
    <row r="30" spans="2:109" s="687" customFormat="1" ht="15.75" thickBot="1" x14ac:dyDescent="0.25">
      <c r="B30" s="688" t="s">
        <v>34</v>
      </c>
      <c r="C30" s="843"/>
      <c r="D30" s="689"/>
      <c r="E30" s="689"/>
      <c r="F30" s="690">
        <f>TRUNC(SUM(F4:F29),2)</f>
        <v>24.88</v>
      </c>
      <c r="G30" s="691">
        <f>TRUNC(SUM(G4:G29),2)</f>
        <v>746.4</v>
      </c>
      <c r="H30" s="691">
        <f>TRUNC(SUM(H4:H29),2)</f>
        <v>880.75</v>
      </c>
    </row>
    <row r="31" spans="2:109" x14ac:dyDescent="0.2">
      <c r="F31" s="696"/>
      <c r="G31" s="696"/>
      <c r="H31" s="696"/>
    </row>
    <row r="32" spans="2:109" x14ac:dyDescent="0.2">
      <c r="C32" s="692" t="s">
        <v>123</v>
      </c>
      <c r="D32" s="827">
        <f>DMT!F10</f>
        <v>65.400000000000006</v>
      </c>
      <c r="E32" s="693" t="s">
        <v>38</v>
      </c>
      <c r="F32" s="694"/>
      <c r="G32" s="694"/>
      <c r="H32" s="694"/>
    </row>
    <row r="33" spans="3:102" x14ac:dyDescent="0.2">
      <c r="C33" s="692" t="s">
        <v>674</v>
      </c>
      <c r="D33" s="695">
        <f>DMT!F14</f>
        <v>876.8</v>
      </c>
      <c r="E33" s="545" t="s">
        <v>38</v>
      </c>
      <c r="BK33" s="687"/>
      <c r="BL33" s="687"/>
      <c r="BM33" s="687"/>
      <c r="BN33" s="687"/>
      <c r="BO33" s="687"/>
      <c r="BP33" s="687"/>
      <c r="BQ33" s="687"/>
      <c r="BR33" s="687"/>
      <c r="BS33" s="687"/>
      <c r="BT33" s="687"/>
      <c r="BU33" s="687"/>
      <c r="BV33" s="687"/>
      <c r="BW33" s="687"/>
      <c r="BX33" s="687"/>
      <c r="BY33" s="687"/>
      <c r="BZ33" s="687"/>
      <c r="CA33" s="687"/>
      <c r="CB33" s="687"/>
      <c r="CC33" s="687"/>
      <c r="CD33" s="687"/>
      <c r="CE33" s="687"/>
      <c r="CF33" s="687"/>
      <c r="CG33" s="687"/>
      <c r="CH33" s="687"/>
      <c r="CI33" s="687"/>
      <c r="CJ33" s="687"/>
      <c r="CK33" s="687"/>
      <c r="CL33" s="687"/>
      <c r="CM33" s="687"/>
      <c r="CN33" s="687"/>
      <c r="CO33" s="687"/>
      <c r="CP33" s="687"/>
      <c r="CQ33" s="687"/>
      <c r="CR33" s="687"/>
      <c r="CS33" s="687"/>
      <c r="CT33" s="687"/>
      <c r="CU33" s="687"/>
      <c r="CV33" s="687"/>
      <c r="CW33" s="687"/>
      <c r="CX33" s="687"/>
    </row>
    <row r="34" spans="3:102" x14ac:dyDescent="0.2">
      <c r="C34" s="543" t="s">
        <v>675</v>
      </c>
      <c r="D34" s="695">
        <f>IF(D33&gt;30,TRUNC((C7*(GRELHA!K10/1000))*30,2),TRUNC((C7*(GRELHA!K10/1000))*D33,2))</f>
        <v>28.8</v>
      </c>
      <c r="E34" s="545" t="s">
        <v>39</v>
      </c>
      <c r="F34" s="696"/>
      <c r="G34" s="696"/>
    </row>
    <row r="35" spans="3:102" x14ac:dyDescent="0.2">
      <c r="C35" s="543" t="s">
        <v>676</v>
      </c>
      <c r="D35" s="695">
        <f>IF(D33&gt;30,TRUNC((C7*(GRELHA!K10/1000))*(D33-30),2),0)</f>
        <v>812.92</v>
      </c>
      <c r="E35" s="545" t="s">
        <v>39</v>
      </c>
      <c r="F35" s="696"/>
      <c r="G35" s="696"/>
      <c r="BE35" s="687"/>
      <c r="BF35" s="687"/>
    </row>
    <row r="36" spans="3:102" x14ac:dyDescent="0.2">
      <c r="BE36" s="687"/>
      <c r="BF36" s="687"/>
    </row>
    <row r="37" spans="3:102" x14ac:dyDescent="0.2">
      <c r="BE37" s="687"/>
      <c r="BF37" s="687"/>
    </row>
    <row r="38" spans="3:102" x14ac:dyDescent="0.2">
      <c r="E38" s="696"/>
      <c r="BE38" s="687"/>
      <c r="BF38" s="687"/>
    </row>
    <row r="39" spans="3:102" x14ac:dyDescent="0.2">
      <c r="E39" s="696"/>
      <c r="BE39" s="687"/>
      <c r="BF39" s="687"/>
    </row>
    <row r="40" spans="3:102" x14ac:dyDescent="0.2">
      <c r="C40" s="696"/>
      <c r="D40" s="696"/>
      <c r="E40" s="696"/>
    </row>
    <row r="41" spans="3:102" x14ac:dyDescent="0.2">
      <c r="C41" s="696"/>
      <c r="D41" s="696"/>
      <c r="E41" s="696"/>
    </row>
    <row r="42" spans="3:102" x14ac:dyDescent="0.2">
      <c r="C42" s="696"/>
      <c r="D42" s="696"/>
      <c r="E42" s="696"/>
    </row>
    <row r="43" spans="3:102" x14ac:dyDescent="0.2">
      <c r="C43" s="696"/>
      <c r="D43" s="696"/>
    </row>
    <row r="47" spans="3:102" x14ac:dyDescent="0.2">
      <c r="AX47" s="687"/>
    </row>
    <row r="48" spans="3:102" x14ac:dyDescent="0.2">
      <c r="AX48" s="687"/>
    </row>
    <row r="49" spans="50:50" x14ac:dyDescent="0.2">
      <c r="AX49" s="687"/>
    </row>
    <row r="50" spans="50:50" x14ac:dyDescent="0.2">
      <c r="AX50" s="687"/>
    </row>
    <row r="51" spans="50:50" x14ac:dyDescent="0.2">
      <c r="AX51" s="687"/>
    </row>
  </sheetData>
  <mergeCells count="2">
    <mergeCell ref="B2:H2"/>
    <mergeCell ref="A4:A12"/>
  </mergeCells>
  <pageMargins left="0.511811024" right="0.511811024" top="0.78740157499999996" bottom="0.78740157499999996" header="0.31496062000000002" footer="0.31496062000000002"/>
  <pageSetup paperSize="9" scale="58" orientation="portrait" r:id="rId1"/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BE7CF-1770-49D5-8573-322AA0C527BC}">
  <sheetPr>
    <tabColor theme="6" tint="0.39997558519241921"/>
    <pageSetUpPr fitToPage="1"/>
  </sheetPr>
  <dimension ref="B1:DE51"/>
  <sheetViews>
    <sheetView view="pageBreakPreview" zoomScale="85" zoomScaleNormal="85" zoomScaleSheetLayoutView="85" workbookViewId="0">
      <selection activeCell="L9" sqref="L9"/>
    </sheetView>
  </sheetViews>
  <sheetFormatPr defaultColWidth="10.6640625" defaultRowHeight="15" x14ac:dyDescent="0.2"/>
  <cols>
    <col min="1" max="1" width="4" style="462" customWidth="1"/>
    <col min="2" max="2" width="51.5" style="462" customWidth="1"/>
    <col min="3" max="3" width="18.6640625" style="462" customWidth="1"/>
    <col min="4" max="4" width="15.6640625" style="462" customWidth="1"/>
    <col min="5" max="5" width="19" style="462" customWidth="1"/>
    <col min="6" max="6" width="18.6640625" style="462" customWidth="1"/>
    <col min="7" max="7" width="17" style="462" customWidth="1"/>
    <col min="8" max="8" width="17.33203125" style="462" hidden="1" customWidth="1"/>
    <col min="9" max="20" width="17.1640625" style="462" customWidth="1"/>
    <col min="21" max="21" width="17.6640625" style="462" customWidth="1"/>
    <col min="22" max="16384" width="10.6640625" style="462"/>
  </cols>
  <sheetData>
    <row r="1" spans="2:20" ht="15.75" thickBot="1" x14ac:dyDescent="0.25"/>
    <row r="2" spans="2:20" ht="15.75" thickBot="1" x14ac:dyDescent="0.25">
      <c r="B2" s="1274" t="s">
        <v>497</v>
      </c>
      <c r="C2" s="1275"/>
      <c r="D2" s="1275"/>
      <c r="E2" s="1275"/>
      <c r="F2" s="1275"/>
      <c r="G2" s="1275"/>
      <c r="H2" s="1275"/>
      <c r="I2" s="1275"/>
      <c r="J2" s="1275"/>
      <c r="K2" s="1275"/>
      <c r="L2" s="1275"/>
      <c r="M2" s="1275"/>
      <c r="N2" s="1275"/>
      <c r="O2" s="1275"/>
      <c r="P2" s="1275"/>
      <c r="Q2" s="1275"/>
      <c r="R2" s="1275"/>
      <c r="S2" s="1275"/>
      <c r="T2" s="1276"/>
    </row>
    <row r="3" spans="2:20" ht="15.75" thickBot="1" x14ac:dyDescent="0.25">
      <c r="B3" s="1277" t="s">
        <v>477</v>
      </c>
      <c r="C3" s="1279" t="s">
        <v>589</v>
      </c>
      <c r="D3" s="1280"/>
      <c r="E3" s="1280"/>
      <c r="F3" s="1280"/>
      <c r="G3" s="1280"/>
      <c r="H3" s="1280"/>
      <c r="I3" s="1280"/>
      <c r="J3" s="1280"/>
      <c r="K3" s="1280"/>
      <c r="L3" s="1280"/>
      <c r="M3" s="1280"/>
      <c r="N3" s="1280"/>
      <c r="O3" s="1280"/>
      <c r="P3" s="1280"/>
      <c r="Q3" s="1280"/>
      <c r="R3" s="1280"/>
      <c r="S3" s="1280"/>
      <c r="T3" s="1281"/>
    </row>
    <row r="4" spans="2:20" ht="78" customHeight="1" x14ac:dyDescent="0.2">
      <c r="B4" s="1278"/>
      <c r="C4" s="463" t="s">
        <v>478</v>
      </c>
      <c r="D4" s="464" t="s">
        <v>479</v>
      </c>
      <c r="E4" s="465" t="s">
        <v>480</v>
      </c>
      <c r="F4" s="466" t="s">
        <v>481</v>
      </c>
      <c r="G4" s="464" t="s">
        <v>482</v>
      </c>
      <c r="H4" s="465" t="s">
        <v>483</v>
      </c>
      <c r="I4" s="465" t="s">
        <v>484</v>
      </c>
      <c r="J4" s="467" t="s">
        <v>499</v>
      </c>
      <c r="K4" s="467" t="s">
        <v>485</v>
      </c>
      <c r="L4" s="466" t="s">
        <v>486</v>
      </c>
      <c r="M4" s="468" t="s">
        <v>487</v>
      </c>
      <c r="N4" s="465" t="s">
        <v>488</v>
      </c>
      <c r="O4" s="467" t="s">
        <v>489</v>
      </c>
      <c r="P4" s="466" t="s">
        <v>490</v>
      </c>
      <c r="Q4" s="469" t="s">
        <v>491</v>
      </c>
      <c r="R4" s="465" t="s">
        <v>492</v>
      </c>
      <c r="S4" s="470" t="s">
        <v>493</v>
      </c>
      <c r="T4" s="466" t="s">
        <v>575</v>
      </c>
    </row>
    <row r="5" spans="2:20" ht="24" customHeight="1" x14ac:dyDescent="0.2">
      <c r="B5" s="471" t="s">
        <v>587</v>
      </c>
      <c r="C5" s="555">
        <v>19.149999999999999</v>
      </c>
      <c r="D5" s="476">
        <v>20.75</v>
      </c>
      <c r="E5" s="556">
        <f>TRUNC(C5*0.03*1.3,2)</f>
        <v>0.74</v>
      </c>
      <c r="F5" s="557">
        <f>TRUNC(E5*$C$10,2)</f>
        <v>2.5099999999999998</v>
      </c>
      <c r="G5" s="476">
        <f>C5</f>
        <v>19.149999999999999</v>
      </c>
      <c r="H5" s="477">
        <v>-1</v>
      </c>
      <c r="I5" s="477">
        <f>TRUNC(C5*0.15,2)</f>
        <v>2.87</v>
      </c>
      <c r="J5" s="478">
        <f>TRUNC(((H5*1.1)+(I5*1.3)),2)</f>
        <v>2.63</v>
      </c>
      <c r="K5" s="478">
        <f>IF(C8&gt;30,TRUNC(J5*30,2),TRUNC(J5*$C$9,2))</f>
        <v>78.900000000000006</v>
      </c>
      <c r="L5" s="479">
        <f>IF(C8&gt;30,TRUNC(J5*(C8-30),2),0)</f>
        <v>124</v>
      </c>
      <c r="M5" s="480">
        <f>C5</f>
        <v>19.149999999999999</v>
      </c>
      <c r="N5" s="477">
        <f>TRUNC((M5*0.0012),2)</f>
        <v>0.02</v>
      </c>
      <c r="O5" s="478">
        <f>TRUNC((M5*0.0012)*30,2)</f>
        <v>0.68</v>
      </c>
      <c r="P5" s="479">
        <f>TRUNC((M5*0.0012)*($C$11-30),2)</f>
        <v>8.56</v>
      </c>
      <c r="Q5" s="481">
        <f>TRUNC(C5*0.03,2)</f>
        <v>0.56999999999999995</v>
      </c>
      <c r="R5" s="477">
        <f>TRUNC(Q5*2.5548,2)</f>
        <v>1.45</v>
      </c>
      <c r="S5" s="478">
        <f t="shared" ref="S5" si="0">IF($C$12&gt;30,TRUNC(Q5*30,2),TRUNC(Q5*$C$12,2))</f>
        <v>17.100000000000001</v>
      </c>
      <c r="T5" s="479">
        <f t="shared" ref="T5" si="1">IF($C$12&gt;30,TRUNC(Q5*($C$12-30),2),0)</f>
        <v>20.170000000000002</v>
      </c>
    </row>
    <row r="6" spans="2:20" s="482" customFormat="1" ht="24" customHeight="1" x14ac:dyDescent="0.2">
      <c r="B6" s="471" t="s">
        <v>563</v>
      </c>
      <c r="C6" s="472">
        <v>20.6</v>
      </c>
      <c r="D6" s="473">
        <v>21.97</v>
      </c>
      <c r="E6" s="474">
        <f>TRUNC(C6*0.03*1.3,2)</f>
        <v>0.8</v>
      </c>
      <c r="F6" s="475">
        <f>TRUNC(E6*$C$10,2)</f>
        <v>2.72</v>
      </c>
      <c r="G6" s="476">
        <f>C6</f>
        <v>20.6</v>
      </c>
      <c r="H6" s="477">
        <v>0</v>
      </c>
      <c r="I6" s="477">
        <f>TRUNC(C6*0.15,2)</f>
        <v>3.09</v>
      </c>
      <c r="J6" s="478">
        <f>TRUNC(((H6*1.1)+(I6*1.3)),2)</f>
        <v>4.01</v>
      </c>
      <c r="K6" s="478">
        <f>IF(C9&gt;30,TRUNC(J6*30,2),TRUNC(J6*$C$9,2))</f>
        <v>120.3</v>
      </c>
      <c r="L6" s="479">
        <f>IF(C9&gt;30,TRUNC(J6*(C9-30),2),0)</f>
        <v>141.94999999999999</v>
      </c>
      <c r="M6" s="480">
        <f>C6</f>
        <v>20.6</v>
      </c>
      <c r="N6" s="477">
        <f>TRUNC((M6*0.0012),2)</f>
        <v>0.02</v>
      </c>
      <c r="O6" s="478">
        <f>TRUNC((M6*0.0012)*30,2)</f>
        <v>0.74</v>
      </c>
      <c r="P6" s="479">
        <f>TRUNC((M6*0.0012)*($C$11-30),2)</f>
        <v>9.2100000000000009</v>
      </c>
      <c r="Q6" s="481">
        <f>TRUNC(C6*0.03,2)</f>
        <v>0.61</v>
      </c>
      <c r="R6" s="477">
        <f>TRUNC(Q6*2.5548,2)</f>
        <v>1.55</v>
      </c>
      <c r="S6" s="478">
        <f t="shared" ref="S6:S7" si="2">IF($C$12&gt;30,TRUNC(Q6*30,2),TRUNC(Q6*$C$12,2))</f>
        <v>18.3</v>
      </c>
      <c r="T6" s="479">
        <f t="shared" ref="T6:T7" si="3">IF($C$12&gt;30,TRUNC(Q6*($C$12-30),2),0)</f>
        <v>21.59</v>
      </c>
    </row>
    <row r="7" spans="2:20" s="482" customFormat="1" ht="24" customHeight="1" x14ac:dyDescent="0.2">
      <c r="B7" s="471" t="s">
        <v>564</v>
      </c>
      <c r="C7" s="472">
        <v>37.4</v>
      </c>
      <c r="D7" s="473">
        <v>35.97</v>
      </c>
      <c r="E7" s="474">
        <f>TRUNC(C7*0.03*1.3,2)</f>
        <v>1.45</v>
      </c>
      <c r="F7" s="475">
        <f>TRUNC(E7*$C$10,2)</f>
        <v>4.93</v>
      </c>
      <c r="G7" s="476">
        <f>C7</f>
        <v>37.4</v>
      </c>
      <c r="H7" s="477">
        <v>0</v>
      </c>
      <c r="I7" s="477">
        <f>TRUNC(C7*0.15,2)</f>
        <v>5.61</v>
      </c>
      <c r="J7" s="478">
        <f>TRUNC(((H7*1.1)+(I7*1.3)),2)</f>
        <v>7.29</v>
      </c>
      <c r="K7" s="478">
        <f>IF(C10&gt;30,TRUNC(J7*30,2),TRUNC(J7*$C$9,2))</f>
        <v>476.76</v>
      </c>
      <c r="L7" s="479">
        <f>IF(C10&gt;30,TRUNC(J7*(C10-30),2),0)</f>
        <v>0</v>
      </c>
      <c r="M7" s="480">
        <f>C7</f>
        <v>37.4</v>
      </c>
      <c r="N7" s="477">
        <f>TRUNC((M7*0.0012),2)</f>
        <v>0.04</v>
      </c>
      <c r="O7" s="478">
        <f>TRUNC((M7*0.0012)*30,2)</f>
        <v>1.34</v>
      </c>
      <c r="P7" s="479">
        <f>TRUNC((M7*0.0012)*($C$11-30),2)</f>
        <v>16.73</v>
      </c>
      <c r="Q7" s="481">
        <f>TRUNC(C7*0.03,2)</f>
        <v>1.1200000000000001</v>
      </c>
      <c r="R7" s="477">
        <f>TRUNC(Q7*2.5548,2)</f>
        <v>2.86</v>
      </c>
      <c r="S7" s="478">
        <f t="shared" si="2"/>
        <v>33.6</v>
      </c>
      <c r="T7" s="479">
        <f t="shared" si="3"/>
        <v>39.64</v>
      </c>
    </row>
    <row r="8" spans="2:20" ht="15.75" thickBot="1" x14ac:dyDescent="0.25">
      <c r="B8" s="483" t="s">
        <v>494</v>
      </c>
      <c r="C8" s="484">
        <f>TRUNC(SUM(C5:C7),2)</f>
        <v>77.150000000000006</v>
      </c>
      <c r="D8" s="485">
        <f>TRUNC(SUM(D5:D7),2)</f>
        <v>78.69</v>
      </c>
      <c r="E8" s="486">
        <f>TRUNC(SUM(E5:E7),2)</f>
        <v>2.99</v>
      </c>
      <c r="F8" s="487">
        <f>TRUNC(SUM(F5:F7),2)</f>
        <v>10.16</v>
      </c>
      <c r="G8" s="485">
        <f>TRUNC(SUM(G5:G7),2)</f>
        <v>77.150000000000006</v>
      </c>
      <c r="H8" s="486">
        <f>SUM(H6:H7)</f>
        <v>0</v>
      </c>
      <c r="I8" s="486">
        <f>SUM(I5:I7)</f>
        <v>11.57</v>
      </c>
      <c r="J8" s="488">
        <f>TRUNC(SUM(J5:J7),2)</f>
        <v>13.93</v>
      </c>
      <c r="K8" s="488">
        <f>SUM(K5:K7)</f>
        <v>675.96</v>
      </c>
      <c r="L8" s="487">
        <f>SUM(L5:L7)</f>
        <v>265.95</v>
      </c>
      <c r="M8" s="489">
        <f t="shared" ref="M8:T8" si="4">TRUNC(SUM(M5:M7),2)</f>
        <v>77.150000000000006</v>
      </c>
      <c r="N8" s="486">
        <f t="shared" si="4"/>
        <v>0.08</v>
      </c>
      <c r="O8" s="488">
        <f t="shared" si="4"/>
        <v>2.76</v>
      </c>
      <c r="P8" s="487">
        <f t="shared" si="4"/>
        <v>34.5</v>
      </c>
      <c r="Q8" s="490">
        <f t="shared" si="4"/>
        <v>2.2999999999999998</v>
      </c>
      <c r="R8" s="488">
        <f t="shared" si="4"/>
        <v>5.86</v>
      </c>
      <c r="S8" s="488">
        <f t="shared" si="4"/>
        <v>69</v>
      </c>
      <c r="T8" s="487">
        <f t="shared" si="4"/>
        <v>81.400000000000006</v>
      </c>
    </row>
    <row r="9" spans="2:20" ht="20.100000000000001" customHeight="1" x14ac:dyDescent="0.2">
      <c r="B9" s="491" t="s">
        <v>500</v>
      </c>
      <c r="C9" s="569">
        <f>DMT!F16</f>
        <v>65.400000000000006</v>
      </c>
      <c r="D9" s="493" t="s">
        <v>38</v>
      </c>
    </row>
    <row r="10" spans="2:20" ht="18" customHeight="1" x14ac:dyDescent="0.2">
      <c r="B10" s="491" t="s">
        <v>161</v>
      </c>
      <c r="C10" s="492">
        <f>DMT!F15</f>
        <v>3.4</v>
      </c>
      <c r="D10" s="493" t="s">
        <v>38</v>
      </c>
    </row>
    <row r="11" spans="2:20" ht="18" customHeight="1" x14ac:dyDescent="0.2">
      <c r="B11" s="491" t="s">
        <v>495</v>
      </c>
      <c r="C11" s="492">
        <f>DMT!F9</f>
        <v>402.9</v>
      </c>
      <c r="D11" s="493" t="s">
        <v>38</v>
      </c>
    </row>
    <row r="12" spans="2:20" ht="18" customHeight="1" x14ac:dyDescent="0.2">
      <c r="B12" s="491" t="s">
        <v>496</v>
      </c>
      <c r="C12" s="492">
        <f>DMT!F7</f>
        <v>65.400000000000006</v>
      </c>
      <c r="D12" s="493" t="s">
        <v>38</v>
      </c>
    </row>
    <row r="22" spans="64:109" x14ac:dyDescent="0.2">
      <c r="BL22" s="841"/>
      <c r="BM22" s="841"/>
      <c r="BN22" s="841"/>
      <c r="BO22" s="841"/>
      <c r="BP22" s="841"/>
      <c r="BQ22" s="841"/>
      <c r="BR22" s="841"/>
      <c r="BS22" s="841"/>
      <c r="BT22" s="841"/>
      <c r="BU22" s="841"/>
      <c r="BV22" s="841"/>
      <c r="BW22" s="841"/>
      <c r="BX22" s="841"/>
      <c r="BY22" s="841"/>
      <c r="BZ22" s="841"/>
      <c r="CA22" s="841"/>
      <c r="CB22" s="841"/>
      <c r="CC22" s="841"/>
      <c r="CD22" s="841"/>
      <c r="CE22" s="841"/>
      <c r="CF22" s="841"/>
      <c r="CG22" s="841"/>
      <c r="CH22" s="841"/>
      <c r="CI22" s="841"/>
      <c r="CJ22" s="841"/>
      <c r="CK22" s="841"/>
      <c r="CL22" s="841"/>
      <c r="CM22" s="841"/>
      <c r="CN22" s="841"/>
      <c r="CO22" s="841"/>
      <c r="CP22" s="841"/>
      <c r="CQ22" s="841"/>
      <c r="CR22" s="841"/>
      <c r="CS22" s="841"/>
      <c r="CT22" s="841"/>
      <c r="CU22" s="841"/>
      <c r="CV22" s="841"/>
      <c r="CW22" s="841"/>
      <c r="CX22" s="841"/>
      <c r="CY22" s="841"/>
      <c r="CZ22" s="841"/>
      <c r="DA22" s="841"/>
      <c r="DB22" s="841"/>
      <c r="DC22" s="841"/>
      <c r="DD22" s="841"/>
      <c r="DE22" s="841"/>
    </row>
    <row r="23" spans="64:109" x14ac:dyDescent="0.2">
      <c r="BL23" s="841"/>
      <c r="BM23" s="841"/>
      <c r="BN23" s="841"/>
      <c r="BO23" s="841"/>
      <c r="BP23" s="841"/>
      <c r="BQ23" s="841"/>
      <c r="BR23" s="841"/>
      <c r="BS23" s="841"/>
      <c r="BT23" s="841"/>
      <c r="BU23" s="841"/>
      <c r="BV23" s="841"/>
      <c r="BW23" s="841"/>
      <c r="BX23" s="841"/>
      <c r="BY23" s="841"/>
      <c r="BZ23" s="841"/>
      <c r="CA23" s="841"/>
      <c r="CB23" s="841"/>
      <c r="CC23" s="841"/>
      <c r="CD23" s="841"/>
      <c r="CE23" s="841"/>
      <c r="CF23" s="841"/>
      <c r="CG23" s="841"/>
      <c r="CH23" s="841"/>
      <c r="CI23" s="841"/>
      <c r="CJ23" s="841"/>
      <c r="CK23" s="841"/>
      <c r="CL23" s="841"/>
      <c r="CM23" s="841"/>
      <c r="CN23" s="841"/>
      <c r="CO23" s="841"/>
      <c r="CP23" s="841"/>
      <c r="CQ23" s="841"/>
      <c r="CR23" s="841"/>
      <c r="CS23" s="841"/>
      <c r="CT23" s="841"/>
      <c r="CU23" s="841"/>
      <c r="CV23" s="841"/>
      <c r="CW23" s="841"/>
      <c r="CX23" s="841"/>
      <c r="CY23" s="841"/>
      <c r="CZ23" s="841"/>
      <c r="DA23" s="841"/>
      <c r="DB23" s="841"/>
      <c r="DC23" s="841"/>
      <c r="DD23" s="841"/>
      <c r="DE23" s="841"/>
    </row>
    <row r="24" spans="64:109" x14ac:dyDescent="0.2">
      <c r="BL24" s="841"/>
      <c r="BM24" s="841"/>
      <c r="BN24" s="841"/>
      <c r="BO24" s="841"/>
      <c r="BP24" s="841"/>
      <c r="BQ24" s="841"/>
      <c r="BR24" s="841"/>
      <c r="BS24" s="841"/>
      <c r="BT24" s="841"/>
      <c r="BU24" s="841"/>
      <c r="BV24" s="841"/>
      <c r="BW24" s="841"/>
      <c r="BX24" s="841"/>
      <c r="BY24" s="841"/>
      <c r="BZ24" s="841"/>
      <c r="CA24" s="841"/>
      <c r="CB24" s="841"/>
      <c r="CC24" s="841"/>
      <c r="CD24" s="841"/>
      <c r="CE24" s="841"/>
      <c r="CF24" s="841"/>
      <c r="CG24" s="841"/>
      <c r="CH24" s="841"/>
      <c r="CI24" s="841"/>
      <c r="CJ24" s="841"/>
      <c r="CK24" s="841"/>
      <c r="CL24" s="841"/>
      <c r="CM24" s="841"/>
      <c r="CN24" s="841"/>
      <c r="CO24" s="841"/>
      <c r="CP24" s="841"/>
      <c r="CQ24" s="841"/>
      <c r="CR24" s="841"/>
      <c r="CS24" s="841"/>
      <c r="CT24" s="841"/>
      <c r="CU24" s="841"/>
      <c r="CV24" s="841"/>
      <c r="CW24" s="841"/>
      <c r="CX24" s="841"/>
      <c r="CY24" s="841"/>
      <c r="CZ24" s="841"/>
      <c r="DA24" s="841"/>
      <c r="DB24" s="841"/>
      <c r="DC24" s="841"/>
      <c r="DD24" s="841"/>
      <c r="DE24" s="841"/>
    </row>
    <row r="25" spans="64:109" x14ac:dyDescent="0.2">
      <c r="BL25" s="841"/>
      <c r="BM25" s="841"/>
      <c r="BN25" s="841"/>
      <c r="BO25" s="841"/>
      <c r="BP25" s="841"/>
      <c r="BQ25" s="841"/>
      <c r="BR25" s="841"/>
      <c r="BS25" s="841"/>
      <c r="BT25" s="841"/>
      <c r="BU25" s="841"/>
      <c r="BV25" s="841"/>
      <c r="BW25" s="841"/>
      <c r="BX25" s="841"/>
      <c r="BY25" s="841"/>
      <c r="BZ25" s="841"/>
      <c r="CA25" s="841"/>
      <c r="CB25" s="841"/>
      <c r="CC25" s="841"/>
      <c r="CD25" s="841"/>
      <c r="CE25" s="841"/>
      <c r="CF25" s="841"/>
      <c r="CG25" s="841"/>
      <c r="CH25" s="841"/>
      <c r="CI25" s="841"/>
      <c r="CJ25" s="841"/>
      <c r="CK25" s="841"/>
      <c r="CL25" s="841"/>
      <c r="CM25" s="841"/>
      <c r="CN25" s="841"/>
      <c r="CO25" s="841"/>
      <c r="CP25" s="841"/>
      <c r="CQ25" s="841"/>
      <c r="CR25" s="841"/>
      <c r="CS25" s="841"/>
      <c r="CT25" s="841"/>
      <c r="CU25" s="841"/>
      <c r="CV25" s="841"/>
      <c r="CW25" s="841"/>
      <c r="CX25" s="841"/>
      <c r="CY25" s="841"/>
      <c r="CZ25" s="841"/>
      <c r="DA25" s="841"/>
      <c r="DB25" s="841"/>
      <c r="DC25" s="841"/>
      <c r="DD25" s="841"/>
      <c r="DE25" s="841"/>
    </row>
    <row r="26" spans="64:109" x14ac:dyDescent="0.2">
      <c r="BL26" s="841"/>
      <c r="BM26" s="841"/>
      <c r="BN26" s="841"/>
      <c r="BO26" s="841"/>
      <c r="BP26" s="841"/>
      <c r="BQ26" s="841"/>
      <c r="BR26" s="841"/>
      <c r="BS26" s="841"/>
      <c r="BT26" s="841"/>
      <c r="BU26" s="841"/>
      <c r="BV26" s="841"/>
      <c r="BW26" s="841"/>
      <c r="BX26" s="841"/>
      <c r="BY26" s="841"/>
      <c r="BZ26" s="841"/>
      <c r="CA26" s="841"/>
      <c r="CB26" s="841"/>
      <c r="CC26" s="841"/>
      <c r="CD26" s="841"/>
      <c r="CE26" s="841"/>
      <c r="CF26" s="841"/>
      <c r="CG26" s="841"/>
      <c r="CH26" s="841"/>
      <c r="CI26" s="841"/>
      <c r="CJ26" s="841"/>
      <c r="CK26" s="841"/>
      <c r="CL26" s="841"/>
      <c r="CM26" s="841"/>
      <c r="CN26" s="841"/>
      <c r="CO26" s="841"/>
      <c r="CP26" s="841"/>
      <c r="CQ26" s="841"/>
      <c r="CR26" s="841"/>
      <c r="CS26" s="841"/>
      <c r="CT26" s="841"/>
      <c r="CU26" s="841"/>
      <c r="CV26" s="841"/>
      <c r="CW26" s="841"/>
      <c r="CX26" s="841"/>
      <c r="CY26" s="841"/>
      <c r="CZ26" s="841"/>
      <c r="DA26" s="841"/>
      <c r="DB26" s="841"/>
      <c r="DC26" s="841"/>
      <c r="DD26" s="841"/>
      <c r="DE26" s="841"/>
    </row>
    <row r="27" spans="64:109" x14ac:dyDescent="0.2">
      <c r="BL27" s="841"/>
      <c r="BM27" s="841"/>
      <c r="BN27" s="841"/>
      <c r="BO27" s="841"/>
      <c r="BP27" s="841"/>
      <c r="BQ27" s="841"/>
      <c r="BR27" s="841"/>
      <c r="BS27" s="841"/>
      <c r="BT27" s="841"/>
      <c r="BU27" s="841"/>
      <c r="BV27" s="841"/>
      <c r="BW27" s="841"/>
      <c r="BX27" s="841"/>
      <c r="BY27" s="841"/>
      <c r="BZ27" s="841"/>
      <c r="CA27" s="841"/>
      <c r="CB27" s="841"/>
      <c r="CC27" s="841"/>
      <c r="CD27" s="841"/>
      <c r="CE27" s="841"/>
      <c r="CF27" s="841"/>
      <c r="CG27" s="841"/>
      <c r="CH27" s="841"/>
      <c r="CI27" s="841"/>
      <c r="CJ27" s="841"/>
      <c r="CK27" s="841"/>
      <c r="CL27" s="841"/>
      <c r="CM27" s="841"/>
      <c r="CN27" s="841"/>
      <c r="CO27" s="841"/>
      <c r="CP27" s="841"/>
      <c r="CQ27" s="841"/>
      <c r="CR27" s="841"/>
      <c r="CS27" s="841"/>
      <c r="CT27" s="841"/>
      <c r="CU27" s="841"/>
      <c r="CV27" s="841"/>
      <c r="CW27" s="841"/>
      <c r="CX27" s="841"/>
      <c r="CY27" s="841"/>
      <c r="CZ27" s="841"/>
      <c r="DA27" s="841"/>
      <c r="DB27" s="841"/>
      <c r="DC27" s="841"/>
      <c r="DD27" s="841"/>
      <c r="DE27" s="841"/>
    </row>
    <row r="33" spans="50:102" x14ac:dyDescent="0.2">
      <c r="BK33" s="841"/>
      <c r="BL33" s="841"/>
      <c r="BM33" s="841"/>
      <c r="BN33" s="841"/>
      <c r="BO33" s="841"/>
      <c r="BP33" s="841"/>
      <c r="BQ33" s="841"/>
      <c r="BR33" s="841"/>
      <c r="BS33" s="841"/>
      <c r="BT33" s="841"/>
      <c r="BU33" s="841"/>
      <c r="BV33" s="841"/>
      <c r="BW33" s="841"/>
      <c r="BX33" s="841"/>
      <c r="BY33" s="841"/>
      <c r="BZ33" s="841"/>
      <c r="CA33" s="841"/>
      <c r="CB33" s="841"/>
      <c r="CC33" s="841"/>
      <c r="CD33" s="841"/>
      <c r="CE33" s="841"/>
      <c r="CF33" s="841"/>
      <c r="CG33" s="841"/>
      <c r="CH33" s="841"/>
      <c r="CI33" s="841"/>
      <c r="CJ33" s="841"/>
      <c r="CK33" s="841"/>
      <c r="CL33" s="841"/>
      <c r="CM33" s="841"/>
      <c r="CN33" s="841"/>
      <c r="CO33" s="841"/>
      <c r="CP33" s="841"/>
      <c r="CQ33" s="841"/>
      <c r="CR33" s="841"/>
      <c r="CS33" s="841"/>
      <c r="CT33" s="841"/>
      <c r="CU33" s="841"/>
      <c r="CV33" s="841"/>
      <c r="CW33" s="841"/>
      <c r="CX33" s="841"/>
    </row>
    <row r="35" spans="50:102" x14ac:dyDescent="0.2">
      <c r="BE35" s="841"/>
      <c r="BF35" s="841"/>
    </row>
    <row r="36" spans="50:102" x14ac:dyDescent="0.2">
      <c r="BE36" s="841"/>
      <c r="BF36" s="841"/>
    </row>
    <row r="37" spans="50:102" x14ac:dyDescent="0.2">
      <c r="BE37" s="841"/>
      <c r="BF37" s="841"/>
    </row>
    <row r="38" spans="50:102" x14ac:dyDescent="0.2">
      <c r="BE38" s="841"/>
      <c r="BF38" s="841"/>
    </row>
    <row r="39" spans="50:102" x14ac:dyDescent="0.2">
      <c r="BE39" s="841"/>
      <c r="BF39" s="841"/>
    </row>
    <row r="47" spans="50:102" x14ac:dyDescent="0.2">
      <c r="AX47" s="841"/>
    </row>
    <row r="48" spans="50:102" x14ac:dyDescent="0.2">
      <c r="AX48" s="841"/>
    </row>
    <row r="49" spans="50:50" x14ac:dyDescent="0.2">
      <c r="AX49" s="841"/>
    </row>
    <row r="50" spans="50:50" x14ac:dyDescent="0.2">
      <c r="AX50" s="841"/>
    </row>
    <row r="51" spans="50:50" x14ac:dyDescent="0.2">
      <c r="AX51" s="841"/>
    </row>
  </sheetData>
  <mergeCells count="3">
    <mergeCell ref="B2:T2"/>
    <mergeCell ref="B3:B4"/>
    <mergeCell ref="C3:T3"/>
  </mergeCells>
  <printOptions horizontalCentered="1"/>
  <pageMargins left="0.51181102362204722" right="0.51181102362204722" top="1.1811023622047245" bottom="0.78740157480314965" header="0.31496062992125984" footer="0.31496062992125984"/>
  <pageSetup paperSize="8" scale="63" fitToHeight="0" orientation="landscape" r:id="rId1"/>
  <headerFooter>
    <oddHeader>&amp;L&amp;G&amp;R&amp;G</oddHead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BBA91-92D5-4479-8066-5A13423ECC07}">
  <sheetPr>
    <tabColor theme="6" tint="0.39997558519241921"/>
    <pageSetUpPr fitToPage="1"/>
  </sheetPr>
  <dimension ref="B2:DE51"/>
  <sheetViews>
    <sheetView showGridLines="0" view="pageBreakPreview" zoomScale="85" zoomScaleNormal="85" zoomScaleSheetLayoutView="85" workbookViewId="0">
      <selection activeCell="L9" sqref="L9"/>
    </sheetView>
  </sheetViews>
  <sheetFormatPr defaultColWidth="10.6640625" defaultRowHeight="12.75" x14ac:dyDescent="0.2"/>
  <cols>
    <col min="1" max="1" width="4" style="499" customWidth="1"/>
    <col min="2" max="2" width="44.83203125" style="499" customWidth="1"/>
    <col min="3" max="3" width="10.6640625" style="499" customWidth="1"/>
    <col min="4" max="4" width="15.1640625" style="499" customWidth="1"/>
    <col min="5" max="5" width="4" style="499" customWidth="1"/>
    <col min="6" max="6" width="18.1640625" style="499" customWidth="1"/>
    <col min="7" max="7" width="16.33203125" style="499" customWidth="1"/>
    <col min="8" max="8" width="4" style="499" customWidth="1"/>
    <col min="9" max="9" width="16.1640625" style="499" customWidth="1"/>
    <col min="10" max="11" width="12.6640625" style="499" hidden="1" customWidth="1"/>
    <col min="12" max="12" width="12.6640625" style="499" customWidth="1"/>
    <col min="13" max="13" width="12.6640625" style="499" hidden="1" customWidth="1"/>
    <col min="14" max="14" width="14" style="499" hidden="1" customWidth="1"/>
    <col min="15" max="15" width="21" style="499" hidden="1" customWidth="1"/>
    <col min="16" max="16" width="8.1640625" style="499" hidden="1" customWidth="1"/>
    <col min="17" max="17" width="18.6640625" style="499" hidden="1" customWidth="1"/>
    <col min="18" max="18" width="8.1640625" style="499" hidden="1" customWidth="1"/>
    <col min="19" max="19" width="22.1640625" style="499" customWidth="1"/>
    <col min="20" max="20" width="17.6640625" style="499" customWidth="1"/>
    <col min="21" max="21" width="15.83203125" style="499" customWidth="1"/>
    <col min="22" max="22" width="18.83203125" style="499" hidden="1" customWidth="1"/>
    <col min="23" max="23" width="17.1640625" style="499" hidden="1" customWidth="1"/>
    <col min="24" max="24" width="17.83203125" style="499" hidden="1" customWidth="1"/>
    <col min="25" max="25" width="16.83203125" style="499" hidden="1" customWidth="1"/>
    <col min="26" max="26" width="13.33203125" style="499" hidden="1" customWidth="1"/>
    <col min="27" max="27" width="17.33203125" style="499" hidden="1" customWidth="1"/>
    <col min="28" max="28" width="15.5" style="499" hidden="1" customWidth="1"/>
    <col min="29" max="29" width="16.33203125" style="499" customWidth="1"/>
    <col min="30" max="30" width="18.83203125" style="499" customWidth="1"/>
    <col min="31" max="32" width="18.83203125" style="499" hidden="1" customWidth="1"/>
    <col min="33" max="33" width="13.1640625" style="499" customWidth="1"/>
    <col min="34" max="34" width="18.33203125" style="499" customWidth="1"/>
    <col min="35" max="35" width="19.6640625" style="499" customWidth="1"/>
    <col min="36" max="36" width="17.6640625" style="499" customWidth="1"/>
    <col min="37" max="37" width="21.5" style="499" customWidth="1"/>
    <col min="38" max="38" width="17.83203125" style="499" customWidth="1"/>
    <col min="39" max="16384" width="10.6640625" style="499"/>
  </cols>
  <sheetData>
    <row r="2" spans="2:55" ht="23.25" customHeight="1" x14ac:dyDescent="0.2">
      <c r="B2" s="1285" t="s">
        <v>556</v>
      </c>
      <c r="C2" s="1286"/>
      <c r="D2" s="1286"/>
      <c r="E2" s="1286"/>
      <c r="F2" s="1286"/>
      <c r="G2" s="1286"/>
      <c r="H2" s="1286"/>
      <c r="I2" s="1286"/>
      <c r="J2" s="1286"/>
      <c r="K2" s="1286"/>
      <c r="L2" s="1286"/>
      <c r="M2" s="1286"/>
      <c r="N2" s="1286"/>
      <c r="O2" s="1286"/>
      <c r="P2" s="1286"/>
      <c r="Q2" s="1286"/>
      <c r="R2" s="1286"/>
      <c r="S2" s="1286"/>
      <c r="T2" s="1286"/>
      <c r="U2" s="1286"/>
      <c r="V2" s="1286"/>
      <c r="W2" s="1286"/>
      <c r="X2" s="1286"/>
      <c r="Y2" s="1286"/>
      <c r="Z2" s="1286"/>
      <c r="AA2" s="1286"/>
      <c r="AB2" s="1286"/>
      <c r="AC2" s="1286"/>
      <c r="AD2" s="1286"/>
      <c r="AE2" s="1286"/>
      <c r="AF2" s="1286"/>
      <c r="AG2" s="1286"/>
      <c r="AH2" s="1286"/>
      <c r="AI2" s="1287"/>
      <c r="AJ2" s="512"/>
      <c r="AK2" s="512"/>
      <c r="AL2" s="512"/>
      <c r="AM2" s="512"/>
      <c r="AN2" s="527"/>
      <c r="AO2" s="527"/>
      <c r="AP2" s="527"/>
      <c r="AQ2" s="527"/>
      <c r="AR2" s="527"/>
      <c r="AS2" s="527"/>
      <c r="AT2" s="527"/>
      <c r="AU2" s="527"/>
      <c r="AV2" s="527"/>
      <c r="AW2" s="527"/>
      <c r="AX2" s="527"/>
      <c r="AY2" s="527"/>
      <c r="AZ2" s="527"/>
      <c r="BA2" s="527"/>
      <c r="BB2" s="527"/>
      <c r="BC2" s="527"/>
    </row>
    <row r="3" spans="2:55" ht="69.95" customHeight="1" x14ac:dyDescent="0.2">
      <c r="B3" s="1283" t="s">
        <v>555</v>
      </c>
      <c r="C3" s="1284"/>
      <c r="D3" s="1282" t="s">
        <v>554</v>
      </c>
      <c r="E3" s="1282"/>
      <c r="F3" s="1282"/>
      <c r="G3" s="1282" t="s">
        <v>553</v>
      </c>
      <c r="H3" s="1282"/>
      <c r="I3" s="1282"/>
      <c r="J3" s="526" t="s">
        <v>552</v>
      </c>
      <c r="K3" s="526" t="s">
        <v>551</v>
      </c>
      <c r="L3" s="526" t="s">
        <v>550</v>
      </c>
      <c r="M3" s="526" t="s">
        <v>549</v>
      </c>
      <c r="N3" s="526" t="s">
        <v>548</v>
      </c>
      <c r="O3" s="526" t="s">
        <v>547</v>
      </c>
      <c r="P3" s="526" t="s">
        <v>117</v>
      </c>
      <c r="Q3" s="526" t="s">
        <v>546</v>
      </c>
      <c r="R3" s="526" t="s">
        <v>117</v>
      </c>
      <c r="S3" s="526" t="s">
        <v>545</v>
      </c>
      <c r="T3" s="526" t="s">
        <v>544</v>
      </c>
      <c r="U3" s="526" t="s">
        <v>543</v>
      </c>
      <c r="V3" s="526" t="s">
        <v>117</v>
      </c>
      <c r="W3" s="526" t="s">
        <v>542</v>
      </c>
      <c r="X3" s="526" t="s">
        <v>117</v>
      </c>
      <c r="Y3" s="526" t="s">
        <v>541</v>
      </c>
      <c r="Z3" s="526" t="s">
        <v>540</v>
      </c>
      <c r="AA3" s="526" t="s">
        <v>539</v>
      </c>
      <c r="AB3" s="526" t="s">
        <v>538</v>
      </c>
      <c r="AC3" s="549" t="s">
        <v>578</v>
      </c>
      <c r="AD3" s="526" t="s">
        <v>588</v>
      </c>
      <c r="AE3" s="526" t="s">
        <v>537</v>
      </c>
      <c r="AF3" s="526" t="s">
        <v>536</v>
      </c>
      <c r="AG3" s="526" t="s">
        <v>535</v>
      </c>
      <c r="AH3" s="526" t="s">
        <v>534</v>
      </c>
      <c r="AI3" s="566" t="s">
        <v>576</v>
      </c>
      <c r="AJ3" s="512"/>
      <c r="AK3" s="512"/>
      <c r="AL3" s="512"/>
      <c r="AM3" s="512"/>
      <c r="AN3" s="512"/>
    </row>
    <row r="4" spans="2:55" s="519" customFormat="1" ht="24.95" customHeight="1" x14ac:dyDescent="0.2">
      <c r="B4" s="1289" t="s">
        <v>520</v>
      </c>
      <c r="C4" s="1290"/>
      <c r="D4" s="1293" t="s">
        <v>565</v>
      </c>
      <c r="E4" s="1294" t="s">
        <v>7</v>
      </c>
      <c r="F4" s="1295"/>
      <c r="G4" s="1293" t="s">
        <v>566</v>
      </c>
      <c r="H4" s="1294"/>
      <c r="I4" s="1295"/>
      <c r="J4" s="522">
        <v>0</v>
      </c>
      <c r="K4" s="522">
        <v>0</v>
      </c>
      <c r="L4" s="333">
        <v>48.43</v>
      </c>
      <c r="M4" s="522"/>
      <c r="N4" s="522">
        <f t="shared" ref="N4:N6" si="0">TRUNC((J4*K4)+L4,2)</f>
        <v>48.43</v>
      </c>
      <c r="O4" s="522"/>
      <c r="P4" s="523"/>
      <c r="Q4" s="520">
        <f t="shared" ref="Q4:Q6" si="1">N4*R4</f>
        <v>0</v>
      </c>
      <c r="R4" s="523">
        <v>0</v>
      </c>
      <c r="S4" s="520">
        <f>N4</f>
        <v>48.43</v>
      </c>
      <c r="T4" s="520">
        <v>0.03</v>
      </c>
      <c r="U4" s="520">
        <f>TRUNC(S4*T4,2)</f>
        <v>1.45</v>
      </c>
      <c r="V4" s="523">
        <v>0</v>
      </c>
      <c r="W4" s="522"/>
      <c r="X4" s="523"/>
      <c r="Y4" s="522"/>
      <c r="Z4" s="522"/>
      <c r="AA4" s="522"/>
      <c r="AB4" s="522"/>
      <c r="AC4" s="522">
        <f>U4*1.15</f>
        <v>1.6674999999999998</v>
      </c>
      <c r="AD4" s="522">
        <f>N4</f>
        <v>48.43</v>
      </c>
      <c r="AE4" s="521"/>
      <c r="AF4" s="521"/>
      <c r="AG4" s="525">
        <f>TRUNC((AD4+AF4)*0.00045,2)</f>
        <v>0.02</v>
      </c>
      <c r="AH4" s="562">
        <f t="shared" ref="AH4:AH6" si="2">TRUNC(AD4*0.03,2)</f>
        <v>1.45</v>
      </c>
      <c r="AI4" s="567">
        <f>TRUNC(AH4*2.5548,2)</f>
        <v>3.7</v>
      </c>
      <c r="AJ4" s="524"/>
      <c r="AK4" s="524"/>
      <c r="AL4" s="512"/>
      <c r="AM4" s="512"/>
    </row>
    <row r="5" spans="2:55" s="519" customFormat="1" ht="24.95" customHeight="1" x14ac:dyDescent="0.2">
      <c r="B5" s="1289" t="s">
        <v>522</v>
      </c>
      <c r="C5" s="1290"/>
      <c r="D5" s="1293" t="s">
        <v>520</v>
      </c>
      <c r="E5" s="1294" t="s">
        <v>7</v>
      </c>
      <c r="F5" s="1295"/>
      <c r="G5" s="1293" t="s">
        <v>518</v>
      </c>
      <c r="H5" s="1294"/>
      <c r="I5" s="1295"/>
      <c r="J5" s="522">
        <v>0</v>
      </c>
      <c r="K5" s="522">
        <v>0</v>
      </c>
      <c r="L5" s="333">
        <f>90.83</f>
        <v>90.83</v>
      </c>
      <c r="M5" s="522"/>
      <c r="N5" s="522">
        <f t="shared" si="0"/>
        <v>90.83</v>
      </c>
      <c r="O5" s="522"/>
      <c r="P5" s="523"/>
      <c r="Q5" s="520">
        <f t="shared" si="1"/>
        <v>0</v>
      </c>
      <c r="R5" s="523">
        <v>0</v>
      </c>
      <c r="S5" s="520">
        <f t="shared" ref="S5:S6" si="3">N5</f>
        <v>90.83</v>
      </c>
      <c r="T5" s="520">
        <v>0.03</v>
      </c>
      <c r="U5" s="520">
        <f t="shared" ref="U5:U6" si="4">TRUNC(S5*T5,2)</f>
        <v>2.72</v>
      </c>
      <c r="V5" s="523">
        <v>0</v>
      </c>
      <c r="W5" s="522"/>
      <c r="X5" s="523"/>
      <c r="Y5" s="522"/>
      <c r="Z5" s="522"/>
      <c r="AA5" s="522"/>
      <c r="AB5" s="522"/>
      <c r="AC5" s="522">
        <f t="shared" ref="AC5:AC6" si="5">U5*1.15</f>
        <v>3.1280000000000001</v>
      </c>
      <c r="AD5" s="522">
        <f t="shared" ref="AD5:AD6" si="6">N5</f>
        <v>90.83</v>
      </c>
      <c r="AE5" s="521"/>
      <c r="AF5" s="521"/>
      <c r="AG5" s="525">
        <f t="shared" ref="AG5:AG6" si="7">TRUNC((AD5+AF5)*0.00045,2)</f>
        <v>0.04</v>
      </c>
      <c r="AH5" s="562">
        <f t="shared" si="2"/>
        <v>2.72</v>
      </c>
      <c r="AI5" s="567">
        <f t="shared" ref="AI5:AI6" si="8">TRUNC(AH5*2.5548,2)</f>
        <v>6.94</v>
      </c>
      <c r="AJ5" s="524"/>
      <c r="AK5" s="524"/>
      <c r="AL5" s="512"/>
      <c r="AM5" s="512"/>
    </row>
    <row r="6" spans="2:55" s="519" customFormat="1" ht="24.95" customHeight="1" x14ac:dyDescent="0.2">
      <c r="B6" s="1289" t="s">
        <v>523</v>
      </c>
      <c r="C6" s="1290"/>
      <c r="D6" s="1293" t="s">
        <v>520</v>
      </c>
      <c r="E6" s="1294"/>
      <c r="F6" s="1295"/>
      <c r="G6" s="1293" t="s">
        <v>518</v>
      </c>
      <c r="H6" s="1294" t="s">
        <v>7</v>
      </c>
      <c r="I6" s="1295"/>
      <c r="J6" s="522">
        <v>0</v>
      </c>
      <c r="K6" s="522">
        <v>0</v>
      </c>
      <c r="L6" s="333">
        <v>28.03</v>
      </c>
      <c r="M6" s="522"/>
      <c r="N6" s="522">
        <f t="shared" si="0"/>
        <v>28.03</v>
      </c>
      <c r="O6" s="522"/>
      <c r="P6" s="523"/>
      <c r="Q6" s="520">
        <f t="shared" si="1"/>
        <v>0</v>
      </c>
      <c r="R6" s="523">
        <v>0</v>
      </c>
      <c r="S6" s="520">
        <f t="shared" si="3"/>
        <v>28.03</v>
      </c>
      <c r="T6" s="520">
        <v>0.03</v>
      </c>
      <c r="U6" s="520">
        <f t="shared" si="4"/>
        <v>0.84</v>
      </c>
      <c r="V6" s="523">
        <v>0</v>
      </c>
      <c r="W6" s="522"/>
      <c r="X6" s="523"/>
      <c r="Y6" s="522"/>
      <c r="Z6" s="522"/>
      <c r="AA6" s="522"/>
      <c r="AB6" s="522"/>
      <c r="AC6" s="522">
        <f t="shared" si="5"/>
        <v>0.96599999999999986</v>
      </c>
      <c r="AD6" s="522">
        <f t="shared" si="6"/>
        <v>28.03</v>
      </c>
      <c r="AE6" s="521"/>
      <c r="AF6" s="521"/>
      <c r="AG6" s="520">
        <f t="shared" si="7"/>
        <v>0.01</v>
      </c>
      <c r="AH6" s="562">
        <f t="shared" si="2"/>
        <v>0.84</v>
      </c>
      <c r="AI6" s="568">
        <f t="shared" si="8"/>
        <v>2.14</v>
      </c>
      <c r="AJ6" s="512"/>
      <c r="AK6" s="512"/>
      <c r="AL6" s="512"/>
      <c r="AM6" s="512"/>
    </row>
    <row r="7" spans="2:55" x14ac:dyDescent="0.2">
      <c r="B7" s="1288" t="s">
        <v>494</v>
      </c>
      <c r="C7" s="1288"/>
      <c r="D7" s="1291"/>
      <c r="E7" s="1292"/>
      <c r="F7" s="1292"/>
      <c r="G7" s="1292"/>
      <c r="H7" s="1292"/>
      <c r="I7" s="1296"/>
      <c r="J7" s="563">
        <f>TRUNC(SUM(J4:J6),2)</f>
        <v>0</v>
      </c>
      <c r="K7" s="563">
        <f>TRUNC(SUM(K4:K6),2)</f>
        <v>0</v>
      </c>
      <c r="L7" s="563">
        <f>TRUNC(SUM(L4:L6),2)</f>
        <v>167.29</v>
      </c>
      <c r="M7" s="563"/>
      <c r="N7" s="564">
        <f>TRUNC(SUM(N4:N6),2)</f>
        <v>167.29</v>
      </c>
      <c r="O7" s="564" t="e">
        <f>SUM(#REF!)</f>
        <v>#REF!</v>
      </c>
      <c r="P7" s="564"/>
      <c r="Q7" s="564">
        <f>SUM(Q4:Q6)</f>
        <v>0</v>
      </c>
      <c r="R7" s="564"/>
      <c r="S7" s="564">
        <f>SUM(S4:S6)</f>
        <v>167.29</v>
      </c>
      <c r="T7" s="565"/>
      <c r="U7" s="564">
        <f>SUM(U4:U6)</f>
        <v>5.01</v>
      </c>
      <c r="V7" s="564"/>
      <c r="W7" s="564" t="e">
        <f>SUM(#REF!)</f>
        <v>#REF!</v>
      </c>
      <c r="X7" s="564"/>
      <c r="Y7" s="564" t="e">
        <f>SUM(#REF!)</f>
        <v>#REF!</v>
      </c>
      <c r="Z7" s="564" t="e">
        <f>SUM(#REF!)</f>
        <v>#REF!</v>
      </c>
      <c r="AA7" s="564" t="e">
        <f>SUM(#REF!)</f>
        <v>#REF!</v>
      </c>
      <c r="AB7" s="564" t="e">
        <f>SUM(#REF!)</f>
        <v>#REF!</v>
      </c>
      <c r="AC7" s="564">
        <f>SUM(AC4:AC6)</f>
        <v>5.7614999999999998</v>
      </c>
      <c r="AD7" s="564">
        <f>TRUNC(SUM(AD4:AD6),2)</f>
        <v>167.29</v>
      </c>
      <c r="AE7" s="564">
        <f>SUM(AE4:AE6)</f>
        <v>0</v>
      </c>
      <c r="AF7" s="564">
        <f>SUM(AF4:AF6)</f>
        <v>0</v>
      </c>
      <c r="AG7" s="564">
        <f>TRUNC(SUM(AG4:AG6),2)</f>
        <v>7.0000000000000007E-2</v>
      </c>
      <c r="AH7" s="564">
        <f>TRUNC(SUM(AH4:AH6),2)</f>
        <v>5.01</v>
      </c>
      <c r="AI7" s="565">
        <f>TRUNC(SUM(AI4:AI6),2)</f>
        <v>12.78</v>
      </c>
      <c r="AJ7" s="512"/>
      <c r="AK7" s="512"/>
      <c r="AL7" s="512"/>
      <c r="AM7" s="512"/>
    </row>
    <row r="8" spans="2:55" ht="18" customHeight="1" x14ac:dyDescent="0.2">
      <c r="B8" s="518"/>
      <c r="C8" s="518"/>
      <c r="D8" s="517"/>
      <c r="E8" s="517"/>
      <c r="F8" s="517"/>
      <c r="G8" s="517"/>
      <c r="H8" s="517"/>
      <c r="I8" s="517"/>
      <c r="J8" s="516"/>
      <c r="K8" s="515"/>
      <c r="L8" s="514"/>
      <c r="M8" s="514"/>
      <c r="N8" s="514"/>
      <c r="O8" s="513"/>
      <c r="P8" s="513"/>
      <c r="Q8" s="513"/>
      <c r="R8" s="513"/>
      <c r="S8" s="513"/>
      <c r="T8" s="513"/>
      <c r="U8" s="513"/>
      <c r="V8" s="513"/>
      <c r="W8" s="513"/>
      <c r="X8" s="513"/>
      <c r="Y8" s="513"/>
      <c r="Z8" s="513"/>
      <c r="AA8" s="513"/>
      <c r="AB8" s="513"/>
      <c r="AC8" s="513"/>
      <c r="AD8" s="507"/>
      <c r="AE8" s="504"/>
      <c r="AF8" s="511"/>
      <c r="AG8" s="510"/>
      <c r="AH8" s="509"/>
      <c r="AI8" s="512"/>
      <c r="AJ8" s="512"/>
      <c r="AK8" s="512"/>
      <c r="AL8" s="512"/>
      <c r="AM8" s="512"/>
    </row>
    <row r="9" spans="2:55" ht="18" customHeight="1" x14ac:dyDescent="0.2">
      <c r="B9" s="505" t="s">
        <v>533</v>
      </c>
      <c r="C9" s="502">
        <f>TRUNC(AG7*30,2)</f>
        <v>2.1</v>
      </c>
      <c r="D9" s="501" t="s">
        <v>39</v>
      </c>
      <c r="G9" s="508"/>
      <c r="J9" s="507"/>
      <c r="K9" s="506"/>
      <c r="L9" s="506"/>
      <c r="M9" s="506"/>
      <c r="N9" s="506"/>
      <c r="O9" s="507"/>
      <c r="P9" s="506"/>
      <c r="Q9" s="507"/>
      <c r="R9" s="506"/>
      <c r="S9" s="507"/>
      <c r="W9" s="510">
        <f>TRUNC((0.0615*0.8046)+(0.003*1.15),2)</f>
        <v>0.05</v>
      </c>
      <c r="X9" s="509" t="s">
        <v>531</v>
      </c>
      <c r="Y9" s="507"/>
      <c r="Z9" s="507"/>
      <c r="AA9" s="506"/>
      <c r="AD9" s="506"/>
      <c r="AE9" s="504"/>
      <c r="AF9" s="511"/>
      <c r="AG9" s="510"/>
      <c r="AH9" s="509"/>
    </row>
    <row r="10" spans="2:55" ht="18" customHeight="1" x14ac:dyDescent="0.2">
      <c r="B10" s="505" t="s">
        <v>532</v>
      </c>
      <c r="C10" s="502">
        <f>TRUNC(AG7*(DMT!F8-30),2)</f>
        <v>26.1</v>
      </c>
      <c r="D10" s="501" t="s">
        <v>39</v>
      </c>
      <c r="G10" s="508"/>
      <c r="J10" s="506"/>
      <c r="K10" s="506"/>
      <c r="L10" s="506"/>
      <c r="M10" s="506"/>
      <c r="N10" s="506"/>
      <c r="O10" s="506"/>
      <c r="P10" s="506"/>
      <c r="Q10" s="506"/>
      <c r="R10" s="506"/>
      <c r="S10" s="506"/>
      <c r="W10" s="510">
        <f>TRUNC(0.0615*0.5792,2)</f>
        <v>0.03</v>
      </c>
      <c r="X10" s="509" t="s">
        <v>531</v>
      </c>
      <c r="Y10" s="506"/>
      <c r="Z10" s="506"/>
      <c r="AA10" s="506"/>
    </row>
    <row r="11" spans="2:55" ht="18" customHeight="1" x14ac:dyDescent="0.2">
      <c r="B11" s="505" t="s">
        <v>530</v>
      </c>
      <c r="C11" s="502">
        <f>TRUNC((AH7)*30,2)</f>
        <v>150.30000000000001</v>
      </c>
      <c r="D11" s="501" t="s">
        <v>8</v>
      </c>
      <c r="G11" s="508"/>
      <c r="J11" s="507"/>
      <c r="K11" s="506"/>
      <c r="L11" s="506"/>
      <c r="M11" s="506"/>
      <c r="N11" s="506"/>
      <c r="O11" s="507"/>
      <c r="P11" s="506"/>
      <c r="Q11" s="507"/>
      <c r="R11" s="506"/>
      <c r="S11" s="507"/>
      <c r="T11" s="507"/>
      <c r="U11" s="507"/>
      <c r="V11" s="506"/>
      <c r="W11" s="506"/>
      <c r="X11" s="506"/>
      <c r="Y11" s="507"/>
      <c r="Z11" s="507"/>
      <c r="AA11" s="506"/>
      <c r="AB11" s="506"/>
      <c r="AC11" s="506"/>
      <c r="AD11" s="504"/>
      <c r="AE11" s="504"/>
      <c r="AF11" s="503"/>
      <c r="AG11" s="502"/>
      <c r="AH11" s="501"/>
    </row>
    <row r="12" spans="2:55" ht="18" customHeight="1" x14ac:dyDescent="0.2">
      <c r="B12" s="505" t="s">
        <v>577</v>
      </c>
      <c r="C12" s="502">
        <f>TRUNC((AH7)*(DMT!F7-30),2)</f>
        <v>177.35</v>
      </c>
      <c r="D12" s="501" t="s">
        <v>8</v>
      </c>
      <c r="G12" s="508"/>
      <c r="AD12" s="504"/>
      <c r="AE12" s="504"/>
      <c r="AF12" s="503"/>
      <c r="AG12" s="502"/>
      <c r="AH12" s="501"/>
    </row>
    <row r="13" spans="2:55" ht="31.5" customHeight="1" x14ac:dyDescent="0.2">
      <c r="B13" s="551" t="s">
        <v>583</v>
      </c>
      <c r="C13" s="502">
        <f>TRUNC(U7*1.3*DMT!F15,2)</f>
        <v>22.14</v>
      </c>
      <c r="D13" s="501" t="s">
        <v>8</v>
      </c>
      <c r="J13" s="506"/>
      <c r="K13" s="506"/>
      <c r="L13" s="506"/>
      <c r="M13" s="506"/>
      <c r="N13" s="506"/>
      <c r="O13" s="507"/>
      <c r="P13" s="506"/>
      <c r="Q13" s="506"/>
      <c r="R13" s="506"/>
      <c r="S13" s="506"/>
      <c r="T13" s="506"/>
      <c r="U13" s="506"/>
      <c r="AD13" s="504"/>
      <c r="AE13" s="504"/>
      <c r="AF13" s="504"/>
    </row>
    <row r="14" spans="2:55" ht="18" customHeight="1" x14ac:dyDescent="0.2">
      <c r="B14" s="527"/>
      <c r="C14" s="500"/>
      <c r="O14" s="500"/>
      <c r="AD14" s="504"/>
      <c r="AE14" s="504"/>
      <c r="AF14" s="503"/>
      <c r="AG14" s="502"/>
      <c r="AH14" s="501"/>
    </row>
    <row r="15" spans="2:55" ht="18" customHeight="1" x14ac:dyDescent="0.2">
      <c r="B15" s="505"/>
      <c r="C15" s="500"/>
      <c r="AD15" s="504"/>
      <c r="AE15" s="504"/>
      <c r="AF15" s="503"/>
      <c r="AG15" s="502"/>
      <c r="AH15" s="501"/>
    </row>
    <row r="16" spans="2:55" ht="18" customHeight="1" x14ac:dyDescent="0.2"/>
    <row r="17" spans="3:109" ht="18" customHeight="1" x14ac:dyDescent="0.2">
      <c r="C17" s="500"/>
      <c r="F17" s="500"/>
      <c r="AD17" s="500"/>
      <c r="AE17" s="500"/>
      <c r="AF17" s="500"/>
    </row>
    <row r="18" spans="3:109" ht="18" customHeight="1" x14ac:dyDescent="0.2">
      <c r="C18" s="500"/>
      <c r="F18" s="500"/>
    </row>
    <row r="19" spans="3:109" ht="18" customHeight="1" x14ac:dyDescent="0.2"/>
    <row r="20" spans="3:109" ht="18" customHeight="1" x14ac:dyDescent="0.2"/>
    <row r="21" spans="3:109" ht="18" customHeight="1" x14ac:dyDescent="0.2"/>
    <row r="22" spans="3:109" ht="18" customHeight="1" x14ac:dyDescent="0.2">
      <c r="BL22" s="519"/>
      <c r="BM22" s="519"/>
      <c r="BN22" s="519"/>
      <c r="BO22" s="519"/>
      <c r="BP22" s="519"/>
      <c r="BQ22" s="519"/>
      <c r="BR22" s="519"/>
      <c r="BS22" s="519"/>
      <c r="BT22" s="519"/>
      <c r="BU22" s="519"/>
      <c r="BV22" s="519"/>
      <c r="BW22" s="519"/>
      <c r="BX22" s="519"/>
      <c r="BY22" s="519"/>
      <c r="BZ22" s="519"/>
      <c r="CA22" s="519"/>
      <c r="CB22" s="519"/>
      <c r="CC22" s="519"/>
      <c r="CD22" s="519"/>
      <c r="CE22" s="519"/>
      <c r="CF22" s="519"/>
      <c r="CG22" s="519"/>
      <c r="CH22" s="519"/>
      <c r="CI22" s="519"/>
      <c r="CJ22" s="519"/>
      <c r="CK22" s="519"/>
      <c r="CL22" s="519"/>
      <c r="CM22" s="519"/>
      <c r="CN22" s="519"/>
      <c r="CO22" s="519"/>
      <c r="CP22" s="519"/>
      <c r="CQ22" s="519"/>
      <c r="CR22" s="519"/>
      <c r="CS22" s="519"/>
      <c r="CT22" s="519"/>
      <c r="CU22" s="519"/>
      <c r="CV22" s="519"/>
      <c r="CW22" s="519"/>
      <c r="CX22" s="519"/>
      <c r="CY22" s="519"/>
      <c r="CZ22" s="519"/>
      <c r="DA22" s="519"/>
      <c r="DB22" s="519"/>
      <c r="DC22" s="519"/>
      <c r="DD22" s="519"/>
      <c r="DE22" s="519"/>
    </row>
    <row r="23" spans="3:109" ht="18" customHeight="1" x14ac:dyDescent="0.2">
      <c r="BL23" s="519"/>
      <c r="BM23" s="519"/>
      <c r="BN23" s="519"/>
      <c r="BO23" s="519"/>
      <c r="BP23" s="519"/>
      <c r="BQ23" s="519"/>
      <c r="BR23" s="519"/>
      <c r="BS23" s="519"/>
      <c r="BT23" s="519"/>
      <c r="BU23" s="519"/>
      <c r="BV23" s="519"/>
      <c r="BW23" s="519"/>
      <c r="BX23" s="519"/>
      <c r="BY23" s="519"/>
      <c r="BZ23" s="519"/>
      <c r="CA23" s="519"/>
      <c r="CB23" s="519"/>
      <c r="CC23" s="519"/>
      <c r="CD23" s="519"/>
      <c r="CE23" s="519"/>
      <c r="CF23" s="519"/>
      <c r="CG23" s="519"/>
      <c r="CH23" s="519"/>
      <c r="CI23" s="519"/>
      <c r="CJ23" s="519"/>
      <c r="CK23" s="519"/>
      <c r="CL23" s="519"/>
      <c r="CM23" s="519"/>
      <c r="CN23" s="519"/>
      <c r="CO23" s="519"/>
      <c r="CP23" s="519"/>
      <c r="CQ23" s="519"/>
      <c r="CR23" s="519"/>
      <c r="CS23" s="519"/>
      <c r="CT23" s="519"/>
      <c r="CU23" s="519"/>
      <c r="CV23" s="519"/>
      <c r="CW23" s="519"/>
      <c r="CX23" s="519"/>
      <c r="CY23" s="519"/>
      <c r="CZ23" s="519"/>
      <c r="DA23" s="519"/>
      <c r="DB23" s="519"/>
      <c r="DC23" s="519"/>
      <c r="DD23" s="519"/>
      <c r="DE23" s="519"/>
    </row>
    <row r="24" spans="3:109" ht="18" customHeight="1" x14ac:dyDescent="0.2">
      <c r="BL24" s="519"/>
      <c r="BM24" s="519"/>
      <c r="BN24" s="519"/>
      <c r="BO24" s="519"/>
      <c r="BP24" s="519"/>
      <c r="BQ24" s="519"/>
      <c r="BR24" s="519"/>
      <c r="BS24" s="519"/>
      <c r="BT24" s="519"/>
      <c r="BU24" s="519"/>
      <c r="BV24" s="519"/>
      <c r="BW24" s="519"/>
      <c r="BX24" s="519"/>
      <c r="BY24" s="519"/>
      <c r="BZ24" s="519"/>
      <c r="CA24" s="519"/>
      <c r="CB24" s="519"/>
      <c r="CC24" s="519"/>
      <c r="CD24" s="519"/>
      <c r="CE24" s="519"/>
      <c r="CF24" s="519"/>
      <c r="CG24" s="519"/>
      <c r="CH24" s="519"/>
      <c r="CI24" s="519"/>
      <c r="CJ24" s="519"/>
      <c r="CK24" s="519"/>
      <c r="CL24" s="519"/>
      <c r="CM24" s="519"/>
      <c r="CN24" s="519"/>
      <c r="CO24" s="519"/>
      <c r="CP24" s="519"/>
      <c r="CQ24" s="519"/>
      <c r="CR24" s="519"/>
      <c r="CS24" s="519"/>
      <c r="CT24" s="519"/>
      <c r="CU24" s="519"/>
      <c r="CV24" s="519"/>
      <c r="CW24" s="519"/>
      <c r="CX24" s="519"/>
      <c r="CY24" s="519"/>
      <c r="CZ24" s="519"/>
      <c r="DA24" s="519"/>
      <c r="DB24" s="519"/>
      <c r="DC24" s="519"/>
      <c r="DD24" s="519"/>
      <c r="DE24" s="519"/>
    </row>
    <row r="25" spans="3:109" ht="18" customHeight="1" x14ac:dyDescent="0.2">
      <c r="BL25" s="519"/>
      <c r="BM25" s="519"/>
      <c r="BN25" s="519"/>
      <c r="BO25" s="519"/>
      <c r="BP25" s="519"/>
      <c r="BQ25" s="519"/>
      <c r="BR25" s="519"/>
      <c r="BS25" s="519"/>
      <c r="BT25" s="519"/>
      <c r="BU25" s="519"/>
      <c r="BV25" s="519"/>
      <c r="BW25" s="519"/>
      <c r="BX25" s="519"/>
      <c r="BY25" s="519"/>
      <c r="BZ25" s="519"/>
      <c r="CA25" s="519"/>
      <c r="CB25" s="519"/>
      <c r="CC25" s="519"/>
      <c r="CD25" s="519"/>
      <c r="CE25" s="519"/>
      <c r="CF25" s="519"/>
      <c r="CG25" s="519"/>
      <c r="CH25" s="519"/>
      <c r="CI25" s="519"/>
      <c r="CJ25" s="519"/>
      <c r="CK25" s="519"/>
      <c r="CL25" s="519"/>
      <c r="CM25" s="519"/>
      <c r="CN25" s="519"/>
      <c r="CO25" s="519"/>
      <c r="CP25" s="519"/>
      <c r="CQ25" s="519"/>
      <c r="CR25" s="519"/>
      <c r="CS25" s="519"/>
      <c r="CT25" s="519"/>
      <c r="CU25" s="519"/>
      <c r="CV25" s="519"/>
      <c r="CW25" s="519"/>
      <c r="CX25" s="519"/>
      <c r="CY25" s="519"/>
      <c r="CZ25" s="519"/>
      <c r="DA25" s="519"/>
      <c r="DB25" s="519"/>
      <c r="DC25" s="519"/>
      <c r="DD25" s="519"/>
      <c r="DE25" s="519"/>
    </row>
    <row r="26" spans="3:109" ht="18" customHeight="1" x14ac:dyDescent="0.2">
      <c r="BL26" s="519"/>
      <c r="BM26" s="519"/>
      <c r="BN26" s="519"/>
      <c r="BO26" s="519"/>
      <c r="BP26" s="519"/>
      <c r="BQ26" s="519"/>
      <c r="BR26" s="519"/>
      <c r="BS26" s="519"/>
      <c r="BT26" s="519"/>
      <c r="BU26" s="519"/>
      <c r="BV26" s="519"/>
      <c r="BW26" s="519"/>
      <c r="BX26" s="519"/>
      <c r="BY26" s="519"/>
      <c r="BZ26" s="519"/>
      <c r="CA26" s="519"/>
      <c r="CB26" s="519"/>
      <c r="CC26" s="519"/>
      <c r="CD26" s="519"/>
      <c r="CE26" s="519"/>
      <c r="CF26" s="519"/>
      <c r="CG26" s="519"/>
      <c r="CH26" s="519"/>
      <c r="CI26" s="519"/>
      <c r="CJ26" s="519"/>
      <c r="CK26" s="519"/>
      <c r="CL26" s="519"/>
      <c r="CM26" s="519"/>
      <c r="CN26" s="519"/>
      <c r="CO26" s="519"/>
      <c r="CP26" s="519"/>
      <c r="CQ26" s="519"/>
      <c r="CR26" s="519"/>
      <c r="CS26" s="519"/>
      <c r="CT26" s="519"/>
      <c r="CU26" s="519"/>
      <c r="CV26" s="519"/>
      <c r="CW26" s="519"/>
      <c r="CX26" s="519"/>
      <c r="CY26" s="519"/>
      <c r="CZ26" s="519"/>
      <c r="DA26" s="519"/>
      <c r="DB26" s="519"/>
      <c r="DC26" s="519"/>
      <c r="DD26" s="519"/>
      <c r="DE26" s="519"/>
    </row>
    <row r="27" spans="3:109" ht="18" customHeight="1" x14ac:dyDescent="0.2">
      <c r="BL27" s="519"/>
      <c r="BM27" s="519"/>
      <c r="BN27" s="519"/>
      <c r="BO27" s="519"/>
      <c r="BP27" s="519"/>
      <c r="BQ27" s="519"/>
      <c r="BR27" s="519"/>
      <c r="BS27" s="519"/>
      <c r="BT27" s="519"/>
      <c r="BU27" s="519"/>
      <c r="BV27" s="519"/>
      <c r="BW27" s="519"/>
      <c r="BX27" s="519"/>
      <c r="BY27" s="519"/>
      <c r="BZ27" s="519"/>
      <c r="CA27" s="519"/>
      <c r="CB27" s="519"/>
      <c r="CC27" s="519"/>
      <c r="CD27" s="519"/>
      <c r="CE27" s="519"/>
      <c r="CF27" s="519"/>
      <c r="CG27" s="519"/>
      <c r="CH27" s="519"/>
      <c r="CI27" s="519"/>
      <c r="CJ27" s="519"/>
      <c r="CK27" s="519"/>
      <c r="CL27" s="519"/>
      <c r="CM27" s="519"/>
      <c r="CN27" s="519"/>
      <c r="CO27" s="519"/>
      <c r="CP27" s="519"/>
      <c r="CQ27" s="519"/>
      <c r="CR27" s="519"/>
      <c r="CS27" s="519"/>
      <c r="CT27" s="519"/>
      <c r="CU27" s="519"/>
      <c r="CV27" s="519"/>
      <c r="CW27" s="519"/>
      <c r="CX27" s="519"/>
      <c r="CY27" s="519"/>
      <c r="CZ27" s="519"/>
      <c r="DA27" s="519"/>
      <c r="DB27" s="519"/>
      <c r="DC27" s="519"/>
      <c r="DD27" s="519"/>
      <c r="DE27" s="519"/>
    </row>
    <row r="28" spans="3:109" ht="18" customHeight="1" x14ac:dyDescent="0.2"/>
    <row r="29" spans="3:109" ht="18" customHeight="1" x14ac:dyDescent="0.2"/>
    <row r="33" spans="50:102" x14ac:dyDescent="0.2">
      <c r="BK33" s="519"/>
      <c r="BL33" s="519"/>
      <c r="BM33" s="519"/>
      <c r="BN33" s="519"/>
      <c r="BO33" s="519"/>
      <c r="BP33" s="519"/>
      <c r="BQ33" s="519"/>
      <c r="BR33" s="519"/>
      <c r="BS33" s="519"/>
      <c r="BT33" s="519"/>
      <c r="BU33" s="519"/>
      <c r="BV33" s="519"/>
      <c r="BW33" s="519"/>
      <c r="BX33" s="519"/>
      <c r="BY33" s="519"/>
      <c r="BZ33" s="519"/>
      <c r="CA33" s="519"/>
      <c r="CB33" s="519"/>
      <c r="CC33" s="519"/>
      <c r="CD33" s="519"/>
      <c r="CE33" s="519"/>
      <c r="CF33" s="519"/>
      <c r="CG33" s="519"/>
      <c r="CH33" s="519"/>
      <c r="CI33" s="519"/>
      <c r="CJ33" s="519"/>
      <c r="CK33" s="519"/>
      <c r="CL33" s="519"/>
      <c r="CM33" s="519"/>
      <c r="CN33" s="519"/>
      <c r="CO33" s="519"/>
      <c r="CP33" s="519"/>
      <c r="CQ33" s="519"/>
      <c r="CR33" s="519"/>
      <c r="CS33" s="519"/>
      <c r="CT33" s="519"/>
      <c r="CU33" s="519"/>
      <c r="CV33" s="519"/>
      <c r="CW33" s="519"/>
      <c r="CX33" s="519"/>
    </row>
    <row r="35" spans="50:102" x14ac:dyDescent="0.2">
      <c r="BE35" s="519"/>
      <c r="BF35" s="519"/>
    </row>
    <row r="36" spans="50:102" x14ac:dyDescent="0.2">
      <c r="BE36" s="519"/>
      <c r="BF36" s="519"/>
    </row>
    <row r="37" spans="50:102" x14ac:dyDescent="0.2">
      <c r="BE37" s="519"/>
      <c r="BF37" s="519"/>
    </row>
    <row r="38" spans="50:102" x14ac:dyDescent="0.2">
      <c r="BE38" s="519"/>
      <c r="BF38" s="519"/>
    </row>
    <row r="39" spans="50:102" x14ac:dyDescent="0.2">
      <c r="BE39" s="519"/>
      <c r="BF39" s="519"/>
    </row>
    <row r="47" spans="50:102" x14ac:dyDescent="0.2">
      <c r="AX47" s="519"/>
    </row>
    <row r="48" spans="50:102" x14ac:dyDescent="0.2">
      <c r="AX48" s="519"/>
    </row>
    <row r="49" spans="50:50" x14ac:dyDescent="0.2">
      <c r="AX49" s="519"/>
    </row>
    <row r="50" spans="50:50" x14ac:dyDescent="0.2">
      <c r="AX50" s="519"/>
    </row>
    <row r="51" spans="50:50" x14ac:dyDescent="0.2">
      <c r="AX51" s="519"/>
    </row>
  </sheetData>
  <mergeCells count="16">
    <mergeCell ref="D3:F3"/>
    <mergeCell ref="G3:I3"/>
    <mergeCell ref="B3:C3"/>
    <mergeCell ref="B2:AI2"/>
    <mergeCell ref="B7:C7"/>
    <mergeCell ref="B4:C4"/>
    <mergeCell ref="B5:C5"/>
    <mergeCell ref="B6:C6"/>
    <mergeCell ref="D7:F7"/>
    <mergeCell ref="D4:F4"/>
    <mergeCell ref="G4:I4"/>
    <mergeCell ref="D5:F5"/>
    <mergeCell ref="G5:I5"/>
    <mergeCell ref="G7:I7"/>
    <mergeCell ref="D6:F6"/>
    <mergeCell ref="G6:I6"/>
  </mergeCells>
  <printOptions horizontalCentered="1"/>
  <pageMargins left="0.51181102362204722" right="0.51181102362204722" top="1.1811023622047245" bottom="0.78740157480314965" header="0.31496062992125984" footer="0.31496062992125984"/>
  <pageSetup paperSize="9" scale="53" fitToHeight="0" orientation="landscape" r:id="rId1"/>
  <headerFooter>
    <oddHeader>&amp;L&amp;G&amp;R&amp;G</oddHead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A5A81-BA0C-49EC-98D2-FB611CF474AF}">
  <sheetPr>
    <tabColor theme="6" tint="0.39997558519241921"/>
    <pageSetUpPr fitToPage="1"/>
  </sheetPr>
  <dimension ref="B1:AJ22"/>
  <sheetViews>
    <sheetView showGridLines="0" view="pageBreakPreview" topLeftCell="A2" zoomScale="85" zoomScaleNormal="80" zoomScaleSheetLayoutView="85" workbookViewId="0">
      <selection activeCell="L9" sqref="L9"/>
    </sheetView>
  </sheetViews>
  <sheetFormatPr defaultRowHeight="12.75" x14ac:dyDescent="0.2"/>
  <cols>
    <col min="1" max="1" width="3.6640625" style="31" customWidth="1"/>
    <col min="2" max="2" width="46" style="31" customWidth="1"/>
    <col min="3" max="3" width="8.83203125" style="32" customWidth="1"/>
    <col min="4" max="4" width="2.1640625" style="31" customWidth="1"/>
    <col min="5" max="5" width="8.83203125" style="33" customWidth="1"/>
    <col min="6" max="6" width="8.83203125" style="32" customWidth="1"/>
    <col min="7" max="7" width="2.33203125" style="32" customWidth="1"/>
    <col min="8" max="8" width="8.83203125" style="34" customWidth="1"/>
    <col min="9" max="9" width="14.83203125" style="35" customWidth="1"/>
    <col min="10" max="11" width="14.83203125" style="31" customWidth="1"/>
    <col min="12" max="13" width="18.83203125" style="31" customWidth="1"/>
    <col min="14" max="19" width="16.83203125" style="31" customWidth="1"/>
    <col min="20" max="20" width="24.83203125" style="31" hidden="1" customWidth="1"/>
    <col min="21" max="21" width="17.1640625" style="31" hidden="1" customWidth="1"/>
    <col min="22" max="23" width="14.33203125" style="31" hidden="1" customWidth="1"/>
    <col min="24" max="24" width="23.6640625" style="31" customWidth="1"/>
    <col min="25" max="27" width="18.83203125" style="31" customWidth="1"/>
    <col min="28" max="32" width="16.83203125" style="31" customWidth="1"/>
    <col min="33" max="33" width="20.6640625" style="31" customWidth="1"/>
    <col min="34" max="36" width="16.83203125" style="31" customWidth="1"/>
    <col min="37" max="37" width="12.33203125" style="31" customWidth="1"/>
    <col min="38" max="272" width="9.33203125" style="31"/>
    <col min="273" max="273" width="2.6640625" style="31" customWidth="1"/>
    <col min="274" max="274" width="5" style="31" customWidth="1"/>
    <col min="275" max="275" width="43.1640625" style="31" customWidth="1"/>
    <col min="276" max="276" width="14.83203125" style="31" customWidth="1"/>
    <col min="277" max="277" width="0" style="31" hidden="1" customWidth="1"/>
    <col min="278" max="278" width="14.6640625" style="31" customWidth="1"/>
    <col min="279" max="279" width="11.33203125" style="31" customWidth="1"/>
    <col min="280" max="280" width="13.33203125" style="31" customWidth="1"/>
    <col min="281" max="281" width="9.6640625" style="31" customWidth="1"/>
    <col min="282" max="282" width="17.1640625" style="31" customWidth="1"/>
    <col min="283" max="283" width="8.83203125" style="31" customWidth="1"/>
    <col min="284" max="284" width="10.83203125" style="31" customWidth="1"/>
    <col min="285" max="285" width="11.6640625" style="31" customWidth="1"/>
    <col min="286" max="286" width="12.6640625" style="31" customWidth="1"/>
    <col min="287" max="287" width="13.33203125" style="31" customWidth="1"/>
    <col min="288" max="288" width="10.1640625" style="31" customWidth="1"/>
    <col min="289" max="289" width="11.5" style="31" customWidth="1"/>
    <col min="290" max="291" width="12" style="31" customWidth="1"/>
    <col min="292" max="292" width="9.6640625" style="31" customWidth="1"/>
    <col min="293" max="293" width="2.5" style="31" customWidth="1"/>
    <col min="294" max="528" width="9.33203125" style="31"/>
    <col min="529" max="529" width="2.6640625" style="31" customWidth="1"/>
    <col min="530" max="530" width="5" style="31" customWidth="1"/>
    <col min="531" max="531" width="43.1640625" style="31" customWidth="1"/>
    <col min="532" max="532" width="14.83203125" style="31" customWidth="1"/>
    <col min="533" max="533" width="0" style="31" hidden="1" customWidth="1"/>
    <col min="534" max="534" width="14.6640625" style="31" customWidth="1"/>
    <col min="535" max="535" width="11.33203125" style="31" customWidth="1"/>
    <col min="536" max="536" width="13.33203125" style="31" customWidth="1"/>
    <col min="537" max="537" width="9.6640625" style="31" customWidth="1"/>
    <col min="538" max="538" width="17.1640625" style="31" customWidth="1"/>
    <col min="539" max="539" width="8.83203125" style="31" customWidth="1"/>
    <col min="540" max="540" width="10.83203125" style="31" customWidth="1"/>
    <col min="541" max="541" width="11.6640625" style="31" customWidth="1"/>
    <col min="542" max="542" width="12.6640625" style="31" customWidth="1"/>
    <col min="543" max="543" width="13.33203125" style="31" customWidth="1"/>
    <col min="544" max="544" width="10.1640625" style="31" customWidth="1"/>
    <col min="545" max="545" width="11.5" style="31" customWidth="1"/>
    <col min="546" max="547" width="12" style="31" customWidth="1"/>
    <col min="548" max="548" width="9.6640625" style="31" customWidth="1"/>
    <col min="549" max="549" width="2.5" style="31" customWidth="1"/>
    <col min="550" max="784" width="9.33203125" style="31"/>
    <col min="785" max="785" width="2.6640625" style="31" customWidth="1"/>
    <col min="786" max="786" width="5" style="31" customWidth="1"/>
    <col min="787" max="787" width="43.1640625" style="31" customWidth="1"/>
    <col min="788" max="788" width="14.83203125" style="31" customWidth="1"/>
    <col min="789" max="789" width="0" style="31" hidden="1" customWidth="1"/>
    <col min="790" max="790" width="14.6640625" style="31" customWidth="1"/>
    <col min="791" max="791" width="11.33203125" style="31" customWidth="1"/>
    <col min="792" max="792" width="13.33203125" style="31" customWidth="1"/>
    <col min="793" max="793" width="9.6640625" style="31" customWidth="1"/>
    <col min="794" max="794" width="17.1640625" style="31" customWidth="1"/>
    <col min="795" max="795" width="8.83203125" style="31" customWidth="1"/>
    <col min="796" max="796" width="10.83203125" style="31" customWidth="1"/>
    <col min="797" max="797" width="11.6640625" style="31" customWidth="1"/>
    <col min="798" max="798" width="12.6640625" style="31" customWidth="1"/>
    <col min="799" max="799" width="13.33203125" style="31" customWidth="1"/>
    <col min="800" max="800" width="10.1640625" style="31" customWidth="1"/>
    <col min="801" max="801" width="11.5" style="31" customWidth="1"/>
    <col min="802" max="803" width="12" style="31" customWidth="1"/>
    <col min="804" max="804" width="9.6640625" style="31" customWidth="1"/>
    <col min="805" max="805" width="2.5" style="31" customWidth="1"/>
    <col min="806" max="1040" width="9.33203125" style="31"/>
    <col min="1041" max="1041" width="2.6640625" style="31" customWidth="1"/>
    <col min="1042" max="1042" width="5" style="31" customWidth="1"/>
    <col min="1043" max="1043" width="43.1640625" style="31" customWidth="1"/>
    <col min="1044" max="1044" width="14.83203125" style="31" customWidth="1"/>
    <col min="1045" max="1045" width="0" style="31" hidden="1" customWidth="1"/>
    <col min="1046" max="1046" width="14.6640625" style="31" customWidth="1"/>
    <col min="1047" max="1047" width="11.33203125" style="31" customWidth="1"/>
    <col min="1048" max="1048" width="13.33203125" style="31" customWidth="1"/>
    <col min="1049" max="1049" width="9.6640625" style="31" customWidth="1"/>
    <col min="1050" max="1050" width="17.1640625" style="31" customWidth="1"/>
    <col min="1051" max="1051" width="8.83203125" style="31" customWidth="1"/>
    <col min="1052" max="1052" width="10.83203125" style="31" customWidth="1"/>
    <col min="1053" max="1053" width="11.6640625" style="31" customWidth="1"/>
    <col min="1054" max="1054" width="12.6640625" style="31" customWidth="1"/>
    <col min="1055" max="1055" width="13.33203125" style="31" customWidth="1"/>
    <col min="1056" max="1056" width="10.1640625" style="31" customWidth="1"/>
    <col min="1057" max="1057" width="11.5" style="31" customWidth="1"/>
    <col min="1058" max="1059" width="12" style="31" customWidth="1"/>
    <col min="1060" max="1060" width="9.6640625" style="31" customWidth="1"/>
    <col min="1061" max="1061" width="2.5" style="31" customWidth="1"/>
    <col min="1062" max="1296" width="9.33203125" style="31"/>
    <col min="1297" max="1297" width="2.6640625" style="31" customWidth="1"/>
    <col min="1298" max="1298" width="5" style="31" customWidth="1"/>
    <col min="1299" max="1299" width="43.1640625" style="31" customWidth="1"/>
    <col min="1300" max="1300" width="14.83203125" style="31" customWidth="1"/>
    <col min="1301" max="1301" width="0" style="31" hidden="1" customWidth="1"/>
    <col min="1302" max="1302" width="14.6640625" style="31" customWidth="1"/>
    <col min="1303" max="1303" width="11.33203125" style="31" customWidth="1"/>
    <col min="1304" max="1304" width="13.33203125" style="31" customWidth="1"/>
    <col min="1305" max="1305" width="9.6640625" style="31" customWidth="1"/>
    <col min="1306" max="1306" width="17.1640625" style="31" customWidth="1"/>
    <col min="1307" max="1307" width="8.83203125" style="31" customWidth="1"/>
    <col min="1308" max="1308" width="10.83203125" style="31" customWidth="1"/>
    <col min="1309" max="1309" width="11.6640625" style="31" customWidth="1"/>
    <col min="1310" max="1310" width="12.6640625" style="31" customWidth="1"/>
    <col min="1311" max="1311" width="13.33203125" style="31" customWidth="1"/>
    <col min="1312" max="1312" width="10.1640625" style="31" customWidth="1"/>
    <col min="1313" max="1313" width="11.5" style="31" customWidth="1"/>
    <col min="1314" max="1315" width="12" style="31" customWidth="1"/>
    <col min="1316" max="1316" width="9.6640625" style="31" customWidth="1"/>
    <col min="1317" max="1317" width="2.5" style="31" customWidth="1"/>
    <col min="1318" max="1552" width="9.33203125" style="31"/>
    <col min="1553" max="1553" width="2.6640625" style="31" customWidth="1"/>
    <col min="1554" max="1554" width="5" style="31" customWidth="1"/>
    <col min="1555" max="1555" width="43.1640625" style="31" customWidth="1"/>
    <col min="1556" max="1556" width="14.83203125" style="31" customWidth="1"/>
    <col min="1557" max="1557" width="0" style="31" hidden="1" customWidth="1"/>
    <col min="1558" max="1558" width="14.6640625" style="31" customWidth="1"/>
    <col min="1559" max="1559" width="11.33203125" style="31" customWidth="1"/>
    <col min="1560" max="1560" width="13.33203125" style="31" customWidth="1"/>
    <col min="1561" max="1561" width="9.6640625" style="31" customWidth="1"/>
    <col min="1562" max="1562" width="17.1640625" style="31" customWidth="1"/>
    <col min="1563" max="1563" width="8.83203125" style="31" customWidth="1"/>
    <col min="1564" max="1564" width="10.83203125" style="31" customWidth="1"/>
    <col min="1565" max="1565" width="11.6640625" style="31" customWidth="1"/>
    <col min="1566" max="1566" width="12.6640625" style="31" customWidth="1"/>
    <col min="1567" max="1567" width="13.33203125" style="31" customWidth="1"/>
    <col min="1568" max="1568" width="10.1640625" style="31" customWidth="1"/>
    <col min="1569" max="1569" width="11.5" style="31" customWidth="1"/>
    <col min="1570" max="1571" width="12" style="31" customWidth="1"/>
    <col min="1572" max="1572" width="9.6640625" style="31" customWidth="1"/>
    <col min="1573" max="1573" width="2.5" style="31" customWidth="1"/>
    <col min="1574" max="1808" width="9.33203125" style="31"/>
    <col min="1809" max="1809" width="2.6640625" style="31" customWidth="1"/>
    <col min="1810" max="1810" width="5" style="31" customWidth="1"/>
    <col min="1811" max="1811" width="43.1640625" style="31" customWidth="1"/>
    <col min="1812" max="1812" width="14.83203125" style="31" customWidth="1"/>
    <col min="1813" max="1813" width="0" style="31" hidden="1" customWidth="1"/>
    <col min="1814" max="1814" width="14.6640625" style="31" customWidth="1"/>
    <col min="1815" max="1815" width="11.33203125" style="31" customWidth="1"/>
    <col min="1816" max="1816" width="13.33203125" style="31" customWidth="1"/>
    <col min="1817" max="1817" width="9.6640625" style="31" customWidth="1"/>
    <col min="1818" max="1818" width="17.1640625" style="31" customWidth="1"/>
    <col min="1819" max="1819" width="8.83203125" style="31" customWidth="1"/>
    <col min="1820" max="1820" width="10.83203125" style="31" customWidth="1"/>
    <col min="1821" max="1821" width="11.6640625" style="31" customWidth="1"/>
    <col min="1822" max="1822" width="12.6640625" style="31" customWidth="1"/>
    <col min="1823" max="1823" width="13.33203125" style="31" customWidth="1"/>
    <col min="1824" max="1824" width="10.1640625" style="31" customWidth="1"/>
    <col min="1825" max="1825" width="11.5" style="31" customWidth="1"/>
    <col min="1826" max="1827" width="12" style="31" customWidth="1"/>
    <col min="1828" max="1828" width="9.6640625" style="31" customWidth="1"/>
    <col min="1829" max="1829" width="2.5" style="31" customWidth="1"/>
    <col min="1830" max="2064" width="9.33203125" style="31"/>
    <col min="2065" max="2065" width="2.6640625" style="31" customWidth="1"/>
    <col min="2066" max="2066" width="5" style="31" customWidth="1"/>
    <col min="2067" max="2067" width="43.1640625" style="31" customWidth="1"/>
    <col min="2068" max="2068" width="14.83203125" style="31" customWidth="1"/>
    <col min="2069" max="2069" width="0" style="31" hidden="1" customWidth="1"/>
    <col min="2070" max="2070" width="14.6640625" style="31" customWidth="1"/>
    <col min="2071" max="2071" width="11.33203125" style="31" customWidth="1"/>
    <col min="2072" max="2072" width="13.33203125" style="31" customWidth="1"/>
    <col min="2073" max="2073" width="9.6640625" style="31" customWidth="1"/>
    <col min="2074" max="2074" width="17.1640625" style="31" customWidth="1"/>
    <col min="2075" max="2075" width="8.83203125" style="31" customWidth="1"/>
    <col min="2076" max="2076" width="10.83203125" style="31" customWidth="1"/>
    <col min="2077" max="2077" width="11.6640625" style="31" customWidth="1"/>
    <col min="2078" max="2078" width="12.6640625" style="31" customWidth="1"/>
    <col min="2079" max="2079" width="13.33203125" style="31" customWidth="1"/>
    <col min="2080" max="2080" width="10.1640625" style="31" customWidth="1"/>
    <col min="2081" max="2081" width="11.5" style="31" customWidth="1"/>
    <col min="2082" max="2083" width="12" style="31" customWidth="1"/>
    <col min="2084" max="2084" width="9.6640625" style="31" customWidth="1"/>
    <col min="2085" max="2085" width="2.5" style="31" customWidth="1"/>
    <col min="2086" max="2320" width="9.33203125" style="31"/>
    <col min="2321" max="2321" width="2.6640625" style="31" customWidth="1"/>
    <col min="2322" max="2322" width="5" style="31" customWidth="1"/>
    <col min="2323" max="2323" width="43.1640625" style="31" customWidth="1"/>
    <col min="2324" max="2324" width="14.83203125" style="31" customWidth="1"/>
    <col min="2325" max="2325" width="0" style="31" hidden="1" customWidth="1"/>
    <col min="2326" max="2326" width="14.6640625" style="31" customWidth="1"/>
    <col min="2327" max="2327" width="11.33203125" style="31" customWidth="1"/>
    <col min="2328" max="2328" width="13.33203125" style="31" customWidth="1"/>
    <col min="2329" max="2329" width="9.6640625" style="31" customWidth="1"/>
    <col min="2330" max="2330" width="17.1640625" style="31" customWidth="1"/>
    <col min="2331" max="2331" width="8.83203125" style="31" customWidth="1"/>
    <col min="2332" max="2332" width="10.83203125" style="31" customWidth="1"/>
    <col min="2333" max="2333" width="11.6640625" style="31" customWidth="1"/>
    <col min="2334" max="2334" width="12.6640625" style="31" customWidth="1"/>
    <col min="2335" max="2335" width="13.33203125" style="31" customWidth="1"/>
    <col min="2336" max="2336" width="10.1640625" style="31" customWidth="1"/>
    <col min="2337" max="2337" width="11.5" style="31" customWidth="1"/>
    <col min="2338" max="2339" width="12" style="31" customWidth="1"/>
    <col min="2340" max="2340" width="9.6640625" style="31" customWidth="1"/>
    <col min="2341" max="2341" width="2.5" style="31" customWidth="1"/>
    <col min="2342" max="2576" width="9.33203125" style="31"/>
    <col min="2577" max="2577" width="2.6640625" style="31" customWidth="1"/>
    <col min="2578" max="2578" width="5" style="31" customWidth="1"/>
    <col min="2579" max="2579" width="43.1640625" style="31" customWidth="1"/>
    <col min="2580" max="2580" width="14.83203125" style="31" customWidth="1"/>
    <col min="2581" max="2581" width="0" style="31" hidden="1" customWidth="1"/>
    <col min="2582" max="2582" width="14.6640625" style="31" customWidth="1"/>
    <col min="2583" max="2583" width="11.33203125" style="31" customWidth="1"/>
    <col min="2584" max="2584" width="13.33203125" style="31" customWidth="1"/>
    <col min="2585" max="2585" width="9.6640625" style="31" customWidth="1"/>
    <col min="2586" max="2586" width="17.1640625" style="31" customWidth="1"/>
    <col min="2587" max="2587" width="8.83203125" style="31" customWidth="1"/>
    <col min="2588" max="2588" width="10.83203125" style="31" customWidth="1"/>
    <col min="2589" max="2589" width="11.6640625" style="31" customWidth="1"/>
    <col min="2590" max="2590" width="12.6640625" style="31" customWidth="1"/>
    <col min="2591" max="2591" width="13.33203125" style="31" customWidth="1"/>
    <col min="2592" max="2592" width="10.1640625" style="31" customWidth="1"/>
    <col min="2593" max="2593" width="11.5" style="31" customWidth="1"/>
    <col min="2594" max="2595" width="12" style="31" customWidth="1"/>
    <col min="2596" max="2596" width="9.6640625" style="31" customWidth="1"/>
    <col min="2597" max="2597" width="2.5" style="31" customWidth="1"/>
    <col min="2598" max="2832" width="9.33203125" style="31"/>
    <col min="2833" max="2833" width="2.6640625" style="31" customWidth="1"/>
    <col min="2834" max="2834" width="5" style="31" customWidth="1"/>
    <col min="2835" max="2835" width="43.1640625" style="31" customWidth="1"/>
    <col min="2836" max="2836" width="14.83203125" style="31" customWidth="1"/>
    <col min="2837" max="2837" width="0" style="31" hidden="1" customWidth="1"/>
    <col min="2838" max="2838" width="14.6640625" style="31" customWidth="1"/>
    <col min="2839" max="2839" width="11.33203125" style="31" customWidth="1"/>
    <col min="2840" max="2840" width="13.33203125" style="31" customWidth="1"/>
    <col min="2841" max="2841" width="9.6640625" style="31" customWidth="1"/>
    <col min="2842" max="2842" width="17.1640625" style="31" customWidth="1"/>
    <col min="2843" max="2843" width="8.83203125" style="31" customWidth="1"/>
    <col min="2844" max="2844" width="10.83203125" style="31" customWidth="1"/>
    <col min="2845" max="2845" width="11.6640625" style="31" customWidth="1"/>
    <col min="2846" max="2846" width="12.6640625" style="31" customWidth="1"/>
    <col min="2847" max="2847" width="13.33203125" style="31" customWidth="1"/>
    <col min="2848" max="2848" width="10.1640625" style="31" customWidth="1"/>
    <col min="2849" max="2849" width="11.5" style="31" customWidth="1"/>
    <col min="2850" max="2851" width="12" style="31" customWidth="1"/>
    <col min="2852" max="2852" width="9.6640625" style="31" customWidth="1"/>
    <col min="2853" max="2853" width="2.5" style="31" customWidth="1"/>
    <col min="2854" max="3088" width="9.33203125" style="31"/>
    <col min="3089" max="3089" width="2.6640625" style="31" customWidth="1"/>
    <col min="3090" max="3090" width="5" style="31" customWidth="1"/>
    <col min="3091" max="3091" width="43.1640625" style="31" customWidth="1"/>
    <col min="3092" max="3092" width="14.83203125" style="31" customWidth="1"/>
    <col min="3093" max="3093" width="0" style="31" hidden="1" customWidth="1"/>
    <col min="3094" max="3094" width="14.6640625" style="31" customWidth="1"/>
    <col min="3095" max="3095" width="11.33203125" style="31" customWidth="1"/>
    <col min="3096" max="3096" width="13.33203125" style="31" customWidth="1"/>
    <col min="3097" max="3097" width="9.6640625" style="31" customWidth="1"/>
    <col min="3098" max="3098" width="17.1640625" style="31" customWidth="1"/>
    <col min="3099" max="3099" width="8.83203125" style="31" customWidth="1"/>
    <col min="3100" max="3100" width="10.83203125" style="31" customWidth="1"/>
    <col min="3101" max="3101" width="11.6640625" style="31" customWidth="1"/>
    <col min="3102" max="3102" width="12.6640625" style="31" customWidth="1"/>
    <col min="3103" max="3103" width="13.33203125" style="31" customWidth="1"/>
    <col min="3104" max="3104" width="10.1640625" style="31" customWidth="1"/>
    <col min="3105" max="3105" width="11.5" style="31" customWidth="1"/>
    <col min="3106" max="3107" width="12" style="31" customWidth="1"/>
    <col min="3108" max="3108" width="9.6640625" style="31" customWidth="1"/>
    <col min="3109" max="3109" width="2.5" style="31" customWidth="1"/>
    <col min="3110" max="3344" width="9.33203125" style="31"/>
    <col min="3345" max="3345" width="2.6640625" style="31" customWidth="1"/>
    <col min="3346" max="3346" width="5" style="31" customWidth="1"/>
    <col min="3347" max="3347" width="43.1640625" style="31" customWidth="1"/>
    <col min="3348" max="3348" width="14.83203125" style="31" customWidth="1"/>
    <col min="3349" max="3349" width="0" style="31" hidden="1" customWidth="1"/>
    <col min="3350" max="3350" width="14.6640625" style="31" customWidth="1"/>
    <col min="3351" max="3351" width="11.33203125" style="31" customWidth="1"/>
    <col min="3352" max="3352" width="13.33203125" style="31" customWidth="1"/>
    <col min="3353" max="3353" width="9.6640625" style="31" customWidth="1"/>
    <col min="3354" max="3354" width="17.1640625" style="31" customWidth="1"/>
    <col min="3355" max="3355" width="8.83203125" style="31" customWidth="1"/>
    <col min="3356" max="3356" width="10.83203125" style="31" customWidth="1"/>
    <col min="3357" max="3357" width="11.6640625" style="31" customWidth="1"/>
    <col min="3358" max="3358" width="12.6640625" style="31" customWidth="1"/>
    <col min="3359" max="3359" width="13.33203125" style="31" customWidth="1"/>
    <col min="3360" max="3360" width="10.1640625" style="31" customWidth="1"/>
    <col min="3361" max="3361" width="11.5" style="31" customWidth="1"/>
    <col min="3362" max="3363" width="12" style="31" customWidth="1"/>
    <col min="3364" max="3364" width="9.6640625" style="31" customWidth="1"/>
    <col min="3365" max="3365" width="2.5" style="31" customWidth="1"/>
    <col min="3366" max="3600" width="9.33203125" style="31"/>
    <col min="3601" max="3601" width="2.6640625" style="31" customWidth="1"/>
    <col min="3602" max="3602" width="5" style="31" customWidth="1"/>
    <col min="3603" max="3603" width="43.1640625" style="31" customWidth="1"/>
    <col min="3604" max="3604" width="14.83203125" style="31" customWidth="1"/>
    <col min="3605" max="3605" width="0" style="31" hidden="1" customWidth="1"/>
    <col min="3606" max="3606" width="14.6640625" style="31" customWidth="1"/>
    <col min="3607" max="3607" width="11.33203125" style="31" customWidth="1"/>
    <col min="3608" max="3608" width="13.33203125" style="31" customWidth="1"/>
    <col min="3609" max="3609" width="9.6640625" style="31" customWidth="1"/>
    <col min="3610" max="3610" width="17.1640625" style="31" customWidth="1"/>
    <col min="3611" max="3611" width="8.83203125" style="31" customWidth="1"/>
    <col min="3612" max="3612" width="10.83203125" style="31" customWidth="1"/>
    <col min="3613" max="3613" width="11.6640625" style="31" customWidth="1"/>
    <col min="3614" max="3614" width="12.6640625" style="31" customWidth="1"/>
    <col min="3615" max="3615" width="13.33203125" style="31" customWidth="1"/>
    <col min="3616" max="3616" width="10.1640625" style="31" customWidth="1"/>
    <col min="3617" max="3617" width="11.5" style="31" customWidth="1"/>
    <col min="3618" max="3619" width="12" style="31" customWidth="1"/>
    <col min="3620" max="3620" width="9.6640625" style="31" customWidth="1"/>
    <col min="3621" max="3621" width="2.5" style="31" customWidth="1"/>
    <col min="3622" max="3856" width="9.33203125" style="31"/>
    <col min="3857" max="3857" width="2.6640625" style="31" customWidth="1"/>
    <col min="3858" max="3858" width="5" style="31" customWidth="1"/>
    <col min="3859" max="3859" width="43.1640625" style="31" customWidth="1"/>
    <col min="3860" max="3860" width="14.83203125" style="31" customWidth="1"/>
    <col min="3861" max="3861" width="0" style="31" hidden="1" customWidth="1"/>
    <col min="3862" max="3862" width="14.6640625" style="31" customWidth="1"/>
    <col min="3863" max="3863" width="11.33203125" style="31" customWidth="1"/>
    <col min="3864" max="3864" width="13.33203125" style="31" customWidth="1"/>
    <col min="3865" max="3865" width="9.6640625" style="31" customWidth="1"/>
    <col min="3866" max="3866" width="17.1640625" style="31" customWidth="1"/>
    <col min="3867" max="3867" width="8.83203125" style="31" customWidth="1"/>
    <col min="3868" max="3868" width="10.83203125" style="31" customWidth="1"/>
    <col min="3869" max="3869" width="11.6640625" style="31" customWidth="1"/>
    <col min="3870" max="3870" width="12.6640625" style="31" customWidth="1"/>
    <col min="3871" max="3871" width="13.33203125" style="31" customWidth="1"/>
    <col min="3872" max="3872" width="10.1640625" style="31" customWidth="1"/>
    <col min="3873" max="3873" width="11.5" style="31" customWidth="1"/>
    <col min="3874" max="3875" width="12" style="31" customWidth="1"/>
    <col min="3876" max="3876" width="9.6640625" style="31" customWidth="1"/>
    <col min="3877" max="3877" width="2.5" style="31" customWidth="1"/>
    <col min="3878" max="4112" width="9.33203125" style="31"/>
    <col min="4113" max="4113" width="2.6640625" style="31" customWidth="1"/>
    <col min="4114" max="4114" width="5" style="31" customWidth="1"/>
    <col min="4115" max="4115" width="43.1640625" style="31" customWidth="1"/>
    <col min="4116" max="4116" width="14.83203125" style="31" customWidth="1"/>
    <col min="4117" max="4117" width="0" style="31" hidden="1" customWidth="1"/>
    <col min="4118" max="4118" width="14.6640625" style="31" customWidth="1"/>
    <col min="4119" max="4119" width="11.33203125" style="31" customWidth="1"/>
    <col min="4120" max="4120" width="13.33203125" style="31" customWidth="1"/>
    <col min="4121" max="4121" width="9.6640625" style="31" customWidth="1"/>
    <col min="4122" max="4122" width="17.1640625" style="31" customWidth="1"/>
    <col min="4123" max="4123" width="8.83203125" style="31" customWidth="1"/>
    <col min="4124" max="4124" width="10.83203125" style="31" customWidth="1"/>
    <col min="4125" max="4125" width="11.6640625" style="31" customWidth="1"/>
    <col min="4126" max="4126" width="12.6640625" style="31" customWidth="1"/>
    <col min="4127" max="4127" width="13.33203125" style="31" customWidth="1"/>
    <col min="4128" max="4128" width="10.1640625" style="31" customWidth="1"/>
    <col min="4129" max="4129" width="11.5" style="31" customWidth="1"/>
    <col min="4130" max="4131" width="12" style="31" customWidth="1"/>
    <col min="4132" max="4132" width="9.6640625" style="31" customWidth="1"/>
    <col min="4133" max="4133" width="2.5" style="31" customWidth="1"/>
    <col min="4134" max="4368" width="9.33203125" style="31"/>
    <col min="4369" max="4369" width="2.6640625" style="31" customWidth="1"/>
    <col min="4370" max="4370" width="5" style="31" customWidth="1"/>
    <col min="4371" max="4371" width="43.1640625" style="31" customWidth="1"/>
    <col min="4372" max="4372" width="14.83203125" style="31" customWidth="1"/>
    <col min="4373" max="4373" width="0" style="31" hidden="1" customWidth="1"/>
    <col min="4374" max="4374" width="14.6640625" style="31" customWidth="1"/>
    <col min="4375" max="4375" width="11.33203125" style="31" customWidth="1"/>
    <col min="4376" max="4376" width="13.33203125" style="31" customWidth="1"/>
    <col min="4377" max="4377" width="9.6640625" style="31" customWidth="1"/>
    <col min="4378" max="4378" width="17.1640625" style="31" customWidth="1"/>
    <col min="4379" max="4379" width="8.83203125" style="31" customWidth="1"/>
    <col min="4380" max="4380" width="10.83203125" style="31" customWidth="1"/>
    <col min="4381" max="4381" width="11.6640625" style="31" customWidth="1"/>
    <col min="4382" max="4382" width="12.6640625" style="31" customWidth="1"/>
    <col min="4383" max="4383" width="13.33203125" style="31" customWidth="1"/>
    <col min="4384" max="4384" width="10.1640625" style="31" customWidth="1"/>
    <col min="4385" max="4385" width="11.5" style="31" customWidth="1"/>
    <col min="4386" max="4387" width="12" style="31" customWidth="1"/>
    <col min="4388" max="4388" width="9.6640625" style="31" customWidth="1"/>
    <col min="4389" max="4389" width="2.5" style="31" customWidth="1"/>
    <col min="4390" max="4624" width="9.33203125" style="31"/>
    <col min="4625" max="4625" width="2.6640625" style="31" customWidth="1"/>
    <col min="4626" max="4626" width="5" style="31" customWidth="1"/>
    <col min="4627" max="4627" width="43.1640625" style="31" customWidth="1"/>
    <col min="4628" max="4628" width="14.83203125" style="31" customWidth="1"/>
    <col min="4629" max="4629" width="0" style="31" hidden="1" customWidth="1"/>
    <col min="4630" max="4630" width="14.6640625" style="31" customWidth="1"/>
    <col min="4631" max="4631" width="11.33203125" style="31" customWidth="1"/>
    <col min="4632" max="4632" width="13.33203125" style="31" customWidth="1"/>
    <col min="4633" max="4633" width="9.6640625" style="31" customWidth="1"/>
    <col min="4634" max="4634" width="17.1640625" style="31" customWidth="1"/>
    <col min="4635" max="4635" width="8.83203125" style="31" customWidth="1"/>
    <col min="4636" max="4636" width="10.83203125" style="31" customWidth="1"/>
    <col min="4637" max="4637" width="11.6640625" style="31" customWidth="1"/>
    <col min="4638" max="4638" width="12.6640625" style="31" customWidth="1"/>
    <col min="4639" max="4639" width="13.33203125" style="31" customWidth="1"/>
    <col min="4640" max="4640" width="10.1640625" style="31" customWidth="1"/>
    <col min="4641" max="4641" width="11.5" style="31" customWidth="1"/>
    <col min="4642" max="4643" width="12" style="31" customWidth="1"/>
    <col min="4644" max="4644" width="9.6640625" style="31" customWidth="1"/>
    <col min="4645" max="4645" width="2.5" style="31" customWidth="1"/>
    <col min="4646" max="4880" width="9.33203125" style="31"/>
    <col min="4881" max="4881" width="2.6640625" style="31" customWidth="1"/>
    <col min="4882" max="4882" width="5" style="31" customWidth="1"/>
    <col min="4883" max="4883" width="43.1640625" style="31" customWidth="1"/>
    <col min="4884" max="4884" width="14.83203125" style="31" customWidth="1"/>
    <col min="4885" max="4885" width="0" style="31" hidden="1" customWidth="1"/>
    <col min="4886" max="4886" width="14.6640625" style="31" customWidth="1"/>
    <col min="4887" max="4887" width="11.33203125" style="31" customWidth="1"/>
    <col min="4888" max="4888" width="13.33203125" style="31" customWidth="1"/>
    <col min="4889" max="4889" width="9.6640625" style="31" customWidth="1"/>
    <col min="4890" max="4890" width="17.1640625" style="31" customWidth="1"/>
    <col min="4891" max="4891" width="8.83203125" style="31" customWidth="1"/>
    <col min="4892" max="4892" width="10.83203125" style="31" customWidth="1"/>
    <col min="4893" max="4893" width="11.6640625" style="31" customWidth="1"/>
    <col min="4894" max="4894" width="12.6640625" style="31" customWidth="1"/>
    <col min="4895" max="4895" width="13.33203125" style="31" customWidth="1"/>
    <col min="4896" max="4896" width="10.1640625" style="31" customWidth="1"/>
    <col min="4897" max="4897" width="11.5" style="31" customWidth="1"/>
    <col min="4898" max="4899" width="12" style="31" customWidth="1"/>
    <col min="4900" max="4900" width="9.6640625" style="31" customWidth="1"/>
    <col min="4901" max="4901" width="2.5" style="31" customWidth="1"/>
    <col min="4902" max="5136" width="9.33203125" style="31"/>
    <col min="5137" max="5137" width="2.6640625" style="31" customWidth="1"/>
    <col min="5138" max="5138" width="5" style="31" customWidth="1"/>
    <col min="5139" max="5139" width="43.1640625" style="31" customWidth="1"/>
    <col min="5140" max="5140" width="14.83203125" style="31" customWidth="1"/>
    <col min="5141" max="5141" width="0" style="31" hidden="1" customWidth="1"/>
    <col min="5142" max="5142" width="14.6640625" style="31" customWidth="1"/>
    <col min="5143" max="5143" width="11.33203125" style="31" customWidth="1"/>
    <col min="5144" max="5144" width="13.33203125" style="31" customWidth="1"/>
    <col min="5145" max="5145" width="9.6640625" style="31" customWidth="1"/>
    <col min="5146" max="5146" width="17.1640625" style="31" customWidth="1"/>
    <col min="5147" max="5147" width="8.83203125" style="31" customWidth="1"/>
    <col min="5148" max="5148" width="10.83203125" style="31" customWidth="1"/>
    <col min="5149" max="5149" width="11.6640625" style="31" customWidth="1"/>
    <col min="5150" max="5150" width="12.6640625" style="31" customWidth="1"/>
    <col min="5151" max="5151" width="13.33203125" style="31" customWidth="1"/>
    <col min="5152" max="5152" width="10.1640625" style="31" customWidth="1"/>
    <col min="5153" max="5153" width="11.5" style="31" customWidth="1"/>
    <col min="5154" max="5155" width="12" style="31" customWidth="1"/>
    <col min="5156" max="5156" width="9.6640625" style="31" customWidth="1"/>
    <col min="5157" max="5157" width="2.5" style="31" customWidth="1"/>
    <col min="5158" max="5392" width="9.33203125" style="31"/>
    <col min="5393" max="5393" width="2.6640625" style="31" customWidth="1"/>
    <col min="5394" max="5394" width="5" style="31" customWidth="1"/>
    <col min="5395" max="5395" width="43.1640625" style="31" customWidth="1"/>
    <col min="5396" max="5396" width="14.83203125" style="31" customWidth="1"/>
    <col min="5397" max="5397" width="0" style="31" hidden="1" customWidth="1"/>
    <col min="5398" max="5398" width="14.6640625" style="31" customWidth="1"/>
    <col min="5399" max="5399" width="11.33203125" style="31" customWidth="1"/>
    <col min="5400" max="5400" width="13.33203125" style="31" customWidth="1"/>
    <col min="5401" max="5401" width="9.6640625" style="31" customWidth="1"/>
    <col min="5402" max="5402" width="17.1640625" style="31" customWidth="1"/>
    <col min="5403" max="5403" width="8.83203125" style="31" customWidth="1"/>
    <col min="5404" max="5404" width="10.83203125" style="31" customWidth="1"/>
    <col min="5405" max="5405" width="11.6640625" style="31" customWidth="1"/>
    <col min="5406" max="5406" width="12.6640625" style="31" customWidth="1"/>
    <col min="5407" max="5407" width="13.33203125" style="31" customWidth="1"/>
    <col min="5408" max="5408" width="10.1640625" style="31" customWidth="1"/>
    <col min="5409" max="5409" width="11.5" style="31" customWidth="1"/>
    <col min="5410" max="5411" width="12" style="31" customWidth="1"/>
    <col min="5412" max="5412" width="9.6640625" style="31" customWidth="1"/>
    <col min="5413" max="5413" width="2.5" style="31" customWidth="1"/>
    <col min="5414" max="5648" width="9.33203125" style="31"/>
    <col min="5649" max="5649" width="2.6640625" style="31" customWidth="1"/>
    <col min="5650" max="5650" width="5" style="31" customWidth="1"/>
    <col min="5651" max="5651" width="43.1640625" style="31" customWidth="1"/>
    <col min="5652" max="5652" width="14.83203125" style="31" customWidth="1"/>
    <col min="5653" max="5653" width="0" style="31" hidden="1" customWidth="1"/>
    <col min="5654" max="5654" width="14.6640625" style="31" customWidth="1"/>
    <col min="5655" max="5655" width="11.33203125" style="31" customWidth="1"/>
    <col min="5656" max="5656" width="13.33203125" style="31" customWidth="1"/>
    <col min="5657" max="5657" width="9.6640625" style="31" customWidth="1"/>
    <col min="5658" max="5658" width="17.1640625" style="31" customWidth="1"/>
    <col min="5659" max="5659" width="8.83203125" style="31" customWidth="1"/>
    <col min="5660" max="5660" width="10.83203125" style="31" customWidth="1"/>
    <col min="5661" max="5661" width="11.6640625" style="31" customWidth="1"/>
    <col min="5662" max="5662" width="12.6640625" style="31" customWidth="1"/>
    <col min="5663" max="5663" width="13.33203125" style="31" customWidth="1"/>
    <col min="5664" max="5664" width="10.1640625" style="31" customWidth="1"/>
    <col min="5665" max="5665" width="11.5" style="31" customWidth="1"/>
    <col min="5666" max="5667" width="12" style="31" customWidth="1"/>
    <col min="5668" max="5668" width="9.6640625" style="31" customWidth="1"/>
    <col min="5669" max="5669" width="2.5" style="31" customWidth="1"/>
    <col min="5670" max="5904" width="9.33203125" style="31"/>
    <col min="5905" max="5905" width="2.6640625" style="31" customWidth="1"/>
    <col min="5906" max="5906" width="5" style="31" customWidth="1"/>
    <col min="5907" max="5907" width="43.1640625" style="31" customWidth="1"/>
    <col min="5908" max="5908" width="14.83203125" style="31" customWidth="1"/>
    <col min="5909" max="5909" width="0" style="31" hidden="1" customWidth="1"/>
    <col min="5910" max="5910" width="14.6640625" style="31" customWidth="1"/>
    <col min="5911" max="5911" width="11.33203125" style="31" customWidth="1"/>
    <col min="5912" max="5912" width="13.33203125" style="31" customWidth="1"/>
    <col min="5913" max="5913" width="9.6640625" style="31" customWidth="1"/>
    <col min="5914" max="5914" width="17.1640625" style="31" customWidth="1"/>
    <col min="5915" max="5915" width="8.83203125" style="31" customWidth="1"/>
    <col min="5916" max="5916" width="10.83203125" style="31" customWidth="1"/>
    <col min="5917" max="5917" width="11.6640625" style="31" customWidth="1"/>
    <col min="5918" max="5918" width="12.6640625" style="31" customWidth="1"/>
    <col min="5919" max="5919" width="13.33203125" style="31" customWidth="1"/>
    <col min="5920" max="5920" width="10.1640625" style="31" customWidth="1"/>
    <col min="5921" max="5921" width="11.5" style="31" customWidth="1"/>
    <col min="5922" max="5923" width="12" style="31" customWidth="1"/>
    <col min="5924" max="5924" width="9.6640625" style="31" customWidth="1"/>
    <col min="5925" max="5925" width="2.5" style="31" customWidth="1"/>
    <col min="5926" max="6160" width="9.33203125" style="31"/>
    <col min="6161" max="6161" width="2.6640625" style="31" customWidth="1"/>
    <col min="6162" max="6162" width="5" style="31" customWidth="1"/>
    <col min="6163" max="6163" width="43.1640625" style="31" customWidth="1"/>
    <col min="6164" max="6164" width="14.83203125" style="31" customWidth="1"/>
    <col min="6165" max="6165" width="0" style="31" hidden="1" customWidth="1"/>
    <col min="6166" max="6166" width="14.6640625" style="31" customWidth="1"/>
    <col min="6167" max="6167" width="11.33203125" style="31" customWidth="1"/>
    <col min="6168" max="6168" width="13.33203125" style="31" customWidth="1"/>
    <col min="6169" max="6169" width="9.6640625" style="31" customWidth="1"/>
    <col min="6170" max="6170" width="17.1640625" style="31" customWidth="1"/>
    <col min="6171" max="6171" width="8.83203125" style="31" customWidth="1"/>
    <col min="6172" max="6172" width="10.83203125" style="31" customWidth="1"/>
    <col min="6173" max="6173" width="11.6640625" style="31" customWidth="1"/>
    <col min="6174" max="6174" width="12.6640625" style="31" customWidth="1"/>
    <col min="6175" max="6175" width="13.33203125" style="31" customWidth="1"/>
    <col min="6176" max="6176" width="10.1640625" style="31" customWidth="1"/>
    <col min="6177" max="6177" width="11.5" style="31" customWidth="1"/>
    <col min="6178" max="6179" width="12" style="31" customWidth="1"/>
    <col min="6180" max="6180" width="9.6640625" style="31" customWidth="1"/>
    <col min="6181" max="6181" width="2.5" style="31" customWidth="1"/>
    <col min="6182" max="6416" width="9.33203125" style="31"/>
    <col min="6417" max="6417" width="2.6640625" style="31" customWidth="1"/>
    <col min="6418" max="6418" width="5" style="31" customWidth="1"/>
    <col min="6419" max="6419" width="43.1640625" style="31" customWidth="1"/>
    <col min="6420" max="6420" width="14.83203125" style="31" customWidth="1"/>
    <col min="6421" max="6421" width="0" style="31" hidden="1" customWidth="1"/>
    <col min="6422" max="6422" width="14.6640625" style="31" customWidth="1"/>
    <col min="6423" max="6423" width="11.33203125" style="31" customWidth="1"/>
    <col min="6424" max="6424" width="13.33203125" style="31" customWidth="1"/>
    <col min="6425" max="6425" width="9.6640625" style="31" customWidth="1"/>
    <col min="6426" max="6426" width="17.1640625" style="31" customWidth="1"/>
    <col min="6427" max="6427" width="8.83203125" style="31" customWidth="1"/>
    <col min="6428" max="6428" width="10.83203125" style="31" customWidth="1"/>
    <col min="6429" max="6429" width="11.6640625" style="31" customWidth="1"/>
    <col min="6430" max="6430" width="12.6640625" style="31" customWidth="1"/>
    <col min="6431" max="6431" width="13.33203125" style="31" customWidth="1"/>
    <col min="6432" max="6432" width="10.1640625" style="31" customWidth="1"/>
    <col min="6433" max="6433" width="11.5" style="31" customWidth="1"/>
    <col min="6434" max="6435" width="12" style="31" customWidth="1"/>
    <col min="6436" max="6436" width="9.6640625" style="31" customWidth="1"/>
    <col min="6437" max="6437" width="2.5" style="31" customWidth="1"/>
    <col min="6438" max="6672" width="9.33203125" style="31"/>
    <col min="6673" max="6673" width="2.6640625" style="31" customWidth="1"/>
    <col min="6674" max="6674" width="5" style="31" customWidth="1"/>
    <col min="6675" max="6675" width="43.1640625" style="31" customWidth="1"/>
    <col min="6676" max="6676" width="14.83203125" style="31" customWidth="1"/>
    <col min="6677" max="6677" width="0" style="31" hidden="1" customWidth="1"/>
    <col min="6678" max="6678" width="14.6640625" style="31" customWidth="1"/>
    <col min="6679" max="6679" width="11.33203125" style="31" customWidth="1"/>
    <col min="6680" max="6680" width="13.33203125" style="31" customWidth="1"/>
    <col min="6681" max="6681" width="9.6640625" style="31" customWidth="1"/>
    <col min="6682" max="6682" width="17.1640625" style="31" customWidth="1"/>
    <col min="6683" max="6683" width="8.83203125" style="31" customWidth="1"/>
    <col min="6684" max="6684" width="10.83203125" style="31" customWidth="1"/>
    <col min="6685" max="6685" width="11.6640625" style="31" customWidth="1"/>
    <col min="6686" max="6686" width="12.6640625" style="31" customWidth="1"/>
    <col min="6687" max="6687" width="13.33203125" style="31" customWidth="1"/>
    <col min="6688" max="6688" width="10.1640625" style="31" customWidth="1"/>
    <col min="6689" max="6689" width="11.5" style="31" customWidth="1"/>
    <col min="6690" max="6691" width="12" style="31" customWidth="1"/>
    <col min="6692" max="6692" width="9.6640625" style="31" customWidth="1"/>
    <col min="6693" max="6693" width="2.5" style="31" customWidth="1"/>
    <col min="6694" max="6928" width="9.33203125" style="31"/>
    <col min="6929" max="6929" width="2.6640625" style="31" customWidth="1"/>
    <col min="6930" max="6930" width="5" style="31" customWidth="1"/>
    <col min="6931" max="6931" width="43.1640625" style="31" customWidth="1"/>
    <col min="6932" max="6932" width="14.83203125" style="31" customWidth="1"/>
    <col min="6933" max="6933" width="0" style="31" hidden="1" customWidth="1"/>
    <col min="6934" max="6934" width="14.6640625" style="31" customWidth="1"/>
    <col min="6935" max="6935" width="11.33203125" style="31" customWidth="1"/>
    <col min="6936" max="6936" width="13.33203125" style="31" customWidth="1"/>
    <col min="6937" max="6937" width="9.6640625" style="31" customWidth="1"/>
    <col min="6938" max="6938" width="17.1640625" style="31" customWidth="1"/>
    <col min="6939" max="6939" width="8.83203125" style="31" customWidth="1"/>
    <col min="6940" max="6940" width="10.83203125" style="31" customWidth="1"/>
    <col min="6941" max="6941" width="11.6640625" style="31" customWidth="1"/>
    <col min="6942" max="6942" width="12.6640625" style="31" customWidth="1"/>
    <col min="6943" max="6943" width="13.33203125" style="31" customWidth="1"/>
    <col min="6944" max="6944" width="10.1640625" style="31" customWidth="1"/>
    <col min="6945" max="6945" width="11.5" style="31" customWidth="1"/>
    <col min="6946" max="6947" width="12" style="31" customWidth="1"/>
    <col min="6948" max="6948" width="9.6640625" style="31" customWidth="1"/>
    <col min="6949" max="6949" width="2.5" style="31" customWidth="1"/>
    <col min="6950" max="7184" width="9.33203125" style="31"/>
    <col min="7185" max="7185" width="2.6640625" style="31" customWidth="1"/>
    <col min="7186" max="7186" width="5" style="31" customWidth="1"/>
    <col min="7187" max="7187" width="43.1640625" style="31" customWidth="1"/>
    <col min="7188" max="7188" width="14.83203125" style="31" customWidth="1"/>
    <col min="7189" max="7189" width="0" style="31" hidden="1" customWidth="1"/>
    <col min="7190" max="7190" width="14.6640625" style="31" customWidth="1"/>
    <col min="7191" max="7191" width="11.33203125" style="31" customWidth="1"/>
    <col min="7192" max="7192" width="13.33203125" style="31" customWidth="1"/>
    <col min="7193" max="7193" width="9.6640625" style="31" customWidth="1"/>
    <col min="7194" max="7194" width="17.1640625" style="31" customWidth="1"/>
    <col min="7195" max="7195" width="8.83203125" style="31" customWidth="1"/>
    <col min="7196" max="7196" width="10.83203125" style="31" customWidth="1"/>
    <col min="7197" max="7197" width="11.6640625" style="31" customWidth="1"/>
    <col min="7198" max="7198" width="12.6640625" style="31" customWidth="1"/>
    <col min="7199" max="7199" width="13.33203125" style="31" customWidth="1"/>
    <col min="7200" max="7200" width="10.1640625" style="31" customWidth="1"/>
    <col min="7201" max="7201" width="11.5" style="31" customWidth="1"/>
    <col min="7202" max="7203" width="12" style="31" customWidth="1"/>
    <col min="7204" max="7204" width="9.6640625" style="31" customWidth="1"/>
    <col min="7205" max="7205" width="2.5" style="31" customWidth="1"/>
    <col min="7206" max="7440" width="9.33203125" style="31"/>
    <col min="7441" max="7441" width="2.6640625" style="31" customWidth="1"/>
    <col min="7442" max="7442" width="5" style="31" customWidth="1"/>
    <col min="7443" max="7443" width="43.1640625" style="31" customWidth="1"/>
    <col min="7444" max="7444" width="14.83203125" style="31" customWidth="1"/>
    <col min="7445" max="7445" width="0" style="31" hidden="1" customWidth="1"/>
    <col min="7446" max="7446" width="14.6640625" style="31" customWidth="1"/>
    <col min="7447" max="7447" width="11.33203125" style="31" customWidth="1"/>
    <col min="7448" max="7448" width="13.33203125" style="31" customWidth="1"/>
    <col min="7449" max="7449" width="9.6640625" style="31" customWidth="1"/>
    <col min="7450" max="7450" width="17.1640625" style="31" customWidth="1"/>
    <col min="7451" max="7451" width="8.83203125" style="31" customWidth="1"/>
    <col min="7452" max="7452" width="10.83203125" style="31" customWidth="1"/>
    <col min="7453" max="7453" width="11.6640625" style="31" customWidth="1"/>
    <col min="7454" max="7454" width="12.6640625" style="31" customWidth="1"/>
    <col min="7455" max="7455" width="13.33203125" style="31" customWidth="1"/>
    <col min="7456" max="7456" width="10.1640625" style="31" customWidth="1"/>
    <col min="7457" max="7457" width="11.5" style="31" customWidth="1"/>
    <col min="7458" max="7459" width="12" style="31" customWidth="1"/>
    <col min="7460" max="7460" width="9.6640625" style="31" customWidth="1"/>
    <col min="7461" max="7461" width="2.5" style="31" customWidth="1"/>
    <col min="7462" max="7696" width="9.33203125" style="31"/>
    <col min="7697" max="7697" width="2.6640625" style="31" customWidth="1"/>
    <col min="7698" max="7698" width="5" style="31" customWidth="1"/>
    <col min="7699" max="7699" width="43.1640625" style="31" customWidth="1"/>
    <col min="7700" max="7700" width="14.83203125" style="31" customWidth="1"/>
    <col min="7701" max="7701" width="0" style="31" hidden="1" customWidth="1"/>
    <col min="7702" max="7702" width="14.6640625" style="31" customWidth="1"/>
    <col min="7703" max="7703" width="11.33203125" style="31" customWidth="1"/>
    <col min="7704" max="7704" width="13.33203125" style="31" customWidth="1"/>
    <col min="7705" max="7705" width="9.6640625" style="31" customWidth="1"/>
    <col min="7706" max="7706" width="17.1640625" style="31" customWidth="1"/>
    <col min="7707" max="7707" width="8.83203125" style="31" customWidth="1"/>
    <col min="7708" max="7708" width="10.83203125" style="31" customWidth="1"/>
    <col min="7709" max="7709" width="11.6640625" style="31" customWidth="1"/>
    <col min="7710" max="7710" width="12.6640625" style="31" customWidth="1"/>
    <col min="7711" max="7711" width="13.33203125" style="31" customWidth="1"/>
    <col min="7712" max="7712" width="10.1640625" style="31" customWidth="1"/>
    <col min="7713" max="7713" width="11.5" style="31" customWidth="1"/>
    <col min="7714" max="7715" width="12" style="31" customWidth="1"/>
    <col min="7716" max="7716" width="9.6640625" style="31" customWidth="1"/>
    <col min="7717" max="7717" width="2.5" style="31" customWidth="1"/>
    <col min="7718" max="7952" width="9.33203125" style="31"/>
    <col min="7953" max="7953" width="2.6640625" style="31" customWidth="1"/>
    <col min="7954" max="7954" width="5" style="31" customWidth="1"/>
    <col min="7955" max="7955" width="43.1640625" style="31" customWidth="1"/>
    <col min="7956" max="7956" width="14.83203125" style="31" customWidth="1"/>
    <col min="7957" max="7957" width="0" style="31" hidden="1" customWidth="1"/>
    <col min="7958" max="7958" width="14.6640625" style="31" customWidth="1"/>
    <col min="7959" max="7959" width="11.33203125" style="31" customWidth="1"/>
    <col min="7960" max="7960" width="13.33203125" style="31" customWidth="1"/>
    <col min="7961" max="7961" width="9.6640625" style="31" customWidth="1"/>
    <col min="7962" max="7962" width="17.1640625" style="31" customWidth="1"/>
    <col min="7963" max="7963" width="8.83203125" style="31" customWidth="1"/>
    <col min="7964" max="7964" width="10.83203125" style="31" customWidth="1"/>
    <col min="7965" max="7965" width="11.6640625" style="31" customWidth="1"/>
    <col min="7966" max="7966" width="12.6640625" style="31" customWidth="1"/>
    <col min="7967" max="7967" width="13.33203125" style="31" customWidth="1"/>
    <col min="7968" max="7968" width="10.1640625" style="31" customWidth="1"/>
    <col min="7969" max="7969" width="11.5" style="31" customWidth="1"/>
    <col min="7970" max="7971" width="12" style="31" customWidth="1"/>
    <col min="7972" max="7972" width="9.6640625" style="31" customWidth="1"/>
    <col min="7973" max="7973" width="2.5" style="31" customWidth="1"/>
    <col min="7974" max="8208" width="9.33203125" style="31"/>
    <col min="8209" max="8209" width="2.6640625" style="31" customWidth="1"/>
    <col min="8210" max="8210" width="5" style="31" customWidth="1"/>
    <col min="8211" max="8211" width="43.1640625" style="31" customWidth="1"/>
    <col min="8212" max="8212" width="14.83203125" style="31" customWidth="1"/>
    <col min="8213" max="8213" width="0" style="31" hidden="1" customWidth="1"/>
    <col min="8214" max="8214" width="14.6640625" style="31" customWidth="1"/>
    <col min="8215" max="8215" width="11.33203125" style="31" customWidth="1"/>
    <col min="8216" max="8216" width="13.33203125" style="31" customWidth="1"/>
    <col min="8217" max="8217" width="9.6640625" style="31" customWidth="1"/>
    <col min="8218" max="8218" width="17.1640625" style="31" customWidth="1"/>
    <col min="8219" max="8219" width="8.83203125" style="31" customWidth="1"/>
    <col min="8220" max="8220" width="10.83203125" style="31" customWidth="1"/>
    <col min="8221" max="8221" width="11.6640625" style="31" customWidth="1"/>
    <col min="8222" max="8222" width="12.6640625" style="31" customWidth="1"/>
    <col min="8223" max="8223" width="13.33203125" style="31" customWidth="1"/>
    <col min="8224" max="8224" width="10.1640625" style="31" customWidth="1"/>
    <col min="8225" max="8225" width="11.5" style="31" customWidth="1"/>
    <col min="8226" max="8227" width="12" style="31" customWidth="1"/>
    <col min="8228" max="8228" width="9.6640625" style="31" customWidth="1"/>
    <col min="8229" max="8229" width="2.5" style="31" customWidth="1"/>
    <col min="8230" max="8464" width="9.33203125" style="31"/>
    <col min="8465" max="8465" width="2.6640625" style="31" customWidth="1"/>
    <col min="8466" max="8466" width="5" style="31" customWidth="1"/>
    <col min="8467" max="8467" width="43.1640625" style="31" customWidth="1"/>
    <col min="8468" max="8468" width="14.83203125" style="31" customWidth="1"/>
    <col min="8469" max="8469" width="0" style="31" hidden="1" customWidth="1"/>
    <col min="8470" max="8470" width="14.6640625" style="31" customWidth="1"/>
    <col min="8471" max="8471" width="11.33203125" style="31" customWidth="1"/>
    <col min="8472" max="8472" width="13.33203125" style="31" customWidth="1"/>
    <col min="8473" max="8473" width="9.6640625" style="31" customWidth="1"/>
    <col min="8474" max="8474" width="17.1640625" style="31" customWidth="1"/>
    <col min="8475" max="8475" width="8.83203125" style="31" customWidth="1"/>
    <col min="8476" max="8476" width="10.83203125" style="31" customWidth="1"/>
    <col min="8477" max="8477" width="11.6640625" style="31" customWidth="1"/>
    <col min="8478" max="8478" width="12.6640625" style="31" customWidth="1"/>
    <col min="8479" max="8479" width="13.33203125" style="31" customWidth="1"/>
    <col min="8480" max="8480" width="10.1640625" style="31" customWidth="1"/>
    <col min="8481" max="8481" width="11.5" style="31" customWidth="1"/>
    <col min="8482" max="8483" width="12" style="31" customWidth="1"/>
    <col min="8484" max="8484" width="9.6640625" style="31" customWidth="1"/>
    <col min="8485" max="8485" width="2.5" style="31" customWidth="1"/>
    <col min="8486" max="8720" width="9.33203125" style="31"/>
    <col min="8721" max="8721" width="2.6640625" style="31" customWidth="1"/>
    <col min="8722" max="8722" width="5" style="31" customWidth="1"/>
    <col min="8723" max="8723" width="43.1640625" style="31" customWidth="1"/>
    <col min="8724" max="8724" width="14.83203125" style="31" customWidth="1"/>
    <col min="8725" max="8725" width="0" style="31" hidden="1" customWidth="1"/>
    <col min="8726" max="8726" width="14.6640625" style="31" customWidth="1"/>
    <col min="8727" max="8727" width="11.33203125" style="31" customWidth="1"/>
    <col min="8728" max="8728" width="13.33203125" style="31" customWidth="1"/>
    <col min="8729" max="8729" width="9.6640625" style="31" customWidth="1"/>
    <col min="8730" max="8730" width="17.1640625" style="31" customWidth="1"/>
    <col min="8731" max="8731" width="8.83203125" style="31" customWidth="1"/>
    <col min="8732" max="8732" width="10.83203125" style="31" customWidth="1"/>
    <col min="8733" max="8733" width="11.6640625" style="31" customWidth="1"/>
    <col min="8734" max="8734" width="12.6640625" style="31" customWidth="1"/>
    <col min="8735" max="8735" width="13.33203125" style="31" customWidth="1"/>
    <col min="8736" max="8736" width="10.1640625" style="31" customWidth="1"/>
    <col min="8737" max="8737" width="11.5" style="31" customWidth="1"/>
    <col min="8738" max="8739" width="12" style="31" customWidth="1"/>
    <col min="8740" max="8740" width="9.6640625" style="31" customWidth="1"/>
    <col min="8741" max="8741" width="2.5" style="31" customWidth="1"/>
    <col min="8742" max="8976" width="9.33203125" style="31"/>
    <col min="8977" max="8977" width="2.6640625" style="31" customWidth="1"/>
    <col min="8978" max="8978" width="5" style="31" customWidth="1"/>
    <col min="8979" max="8979" width="43.1640625" style="31" customWidth="1"/>
    <col min="8980" max="8980" width="14.83203125" style="31" customWidth="1"/>
    <col min="8981" max="8981" width="0" style="31" hidden="1" customWidth="1"/>
    <col min="8982" max="8982" width="14.6640625" style="31" customWidth="1"/>
    <col min="8983" max="8983" width="11.33203125" style="31" customWidth="1"/>
    <col min="8984" max="8984" width="13.33203125" style="31" customWidth="1"/>
    <col min="8985" max="8985" width="9.6640625" style="31" customWidth="1"/>
    <col min="8986" max="8986" width="17.1640625" style="31" customWidth="1"/>
    <col min="8987" max="8987" width="8.83203125" style="31" customWidth="1"/>
    <col min="8988" max="8988" width="10.83203125" style="31" customWidth="1"/>
    <col min="8989" max="8989" width="11.6640625" style="31" customWidth="1"/>
    <col min="8990" max="8990" width="12.6640625" style="31" customWidth="1"/>
    <col min="8991" max="8991" width="13.33203125" style="31" customWidth="1"/>
    <col min="8992" max="8992" width="10.1640625" style="31" customWidth="1"/>
    <col min="8993" max="8993" width="11.5" style="31" customWidth="1"/>
    <col min="8994" max="8995" width="12" style="31" customWidth="1"/>
    <col min="8996" max="8996" width="9.6640625" style="31" customWidth="1"/>
    <col min="8997" max="8997" width="2.5" style="31" customWidth="1"/>
    <col min="8998" max="9232" width="9.33203125" style="31"/>
    <col min="9233" max="9233" width="2.6640625" style="31" customWidth="1"/>
    <col min="9234" max="9234" width="5" style="31" customWidth="1"/>
    <col min="9235" max="9235" width="43.1640625" style="31" customWidth="1"/>
    <col min="9236" max="9236" width="14.83203125" style="31" customWidth="1"/>
    <col min="9237" max="9237" width="0" style="31" hidden="1" customWidth="1"/>
    <col min="9238" max="9238" width="14.6640625" style="31" customWidth="1"/>
    <col min="9239" max="9239" width="11.33203125" style="31" customWidth="1"/>
    <col min="9240" max="9240" width="13.33203125" style="31" customWidth="1"/>
    <col min="9241" max="9241" width="9.6640625" style="31" customWidth="1"/>
    <col min="9242" max="9242" width="17.1640625" style="31" customWidth="1"/>
    <col min="9243" max="9243" width="8.83203125" style="31" customWidth="1"/>
    <col min="9244" max="9244" width="10.83203125" style="31" customWidth="1"/>
    <col min="9245" max="9245" width="11.6640625" style="31" customWidth="1"/>
    <col min="9246" max="9246" width="12.6640625" style="31" customWidth="1"/>
    <col min="9247" max="9247" width="13.33203125" style="31" customWidth="1"/>
    <col min="9248" max="9248" width="10.1640625" style="31" customWidth="1"/>
    <col min="9249" max="9249" width="11.5" style="31" customWidth="1"/>
    <col min="9250" max="9251" width="12" style="31" customWidth="1"/>
    <col min="9252" max="9252" width="9.6640625" style="31" customWidth="1"/>
    <col min="9253" max="9253" width="2.5" style="31" customWidth="1"/>
    <col min="9254" max="9488" width="9.33203125" style="31"/>
    <col min="9489" max="9489" width="2.6640625" style="31" customWidth="1"/>
    <col min="9490" max="9490" width="5" style="31" customWidth="1"/>
    <col min="9491" max="9491" width="43.1640625" style="31" customWidth="1"/>
    <col min="9492" max="9492" width="14.83203125" style="31" customWidth="1"/>
    <col min="9493" max="9493" width="0" style="31" hidden="1" customWidth="1"/>
    <col min="9494" max="9494" width="14.6640625" style="31" customWidth="1"/>
    <col min="9495" max="9495" width="11.33203125" style="31" customWidth="1"/>
    <col min="9496" max="9496" width="13.33203125" style="31" customWidth="1"/>
    <col min="9497" max="9497" width="9.6640625" style="31" customWidth="1"/>
    <col min="9498" max="9498" width="17.1640625" style="31" customWidth="1"/>
    <col min="9499" max="9499" width="8.83203125" style="31" customWidth="1"/>
    <col min="9500" max="9500" width="10.83203125" style="31" customWidth="1"/>
    <col min="9501" max="9501" width="11.6640625" style="31" customWidth="1"/>
    <col min="9502" max="9502" width="12.6640625" style="31" customWidth="1"/>
    <col min="9503" max="9503" width="13.33203125" style="31" customWidth="1"/>
    <col min="9504" max="9504" width="10.1640625" style="31" customWidth="1"/>
    <col min="9505" max="9505" width="11.5" style="31" customWidth="1"/>
    <col min="9506" max="9507" width="12" style="31" customWidth="1"/>
    <col min="9508" max="9508" width="9.6640625" style="31" customWidth="1"/>
    <col min="9509" max="9509" width="2.5" style="31" customWidth="1"/>
    <col min="9510" max="9744" width="9.33203125" style="31"/>
    <col min="9745" max="9745" width="2.6640625" style="31" customWidth="1"/>
    <col min="9746" max="9746" width="5" style="31" customWidth="1"/>
    <col min="9747" max="9747" width="43.1640625" style="31" customWidth="1"/>
    <col min="9748" max="9748" width="14.83203125" style="31" customWidth="1"/>
    <col min="9749" max="9749" width="0" style="31" hidden="1" customWidth="1"/>
    <col min="9750" max="9750" width="14.6640625" style="31" customWidth="1"/>
    <col min="9751" max="9751" width="11.33203125" style="31" customWidth="1"/>
    <col min="9752" max="9752" width="13.33203125" style="31" customWidth="1"/>
    <col min="9753" max="9753" width="9.6640625" style="31" customWidth="1"/>
    <col min="9754" max="9754" width="17.1640625" style="31" customWidth="1"/>
    <col min="9755" max="9755" width="8.83203125" style="31" customWidth="1"/>
    <col min="9756" max="9756" width="10.83203125" style="31" customWidth="1"/>
    <col min="9757" max="9757" width="11.6640625" style="31" customWidth="1"/>
    <col min="9758" max="9758" width="12.6640625" style="31" customWidth="1"/>
    <col min="9759" max="9759" width="13.33203125" style="31" customWidth="1"/>
    <col min="9760" max="9760" width="10.1640625" style="31" customWidth="1"/>
    <col min="9761" max="9761" width="11.5" style="31" customWidth="1"/>
    <col min="9762" max="9763" width="12" style="31" customWidth="1"/>
    <col min="9764" max="9764" width="9.6640625" style="31" customWidth="1"/>
    <col min="9765" max="9765" width="2.5" style="31" customWidth="1"/>
    <col min="9766" max="10000" width="9.33203125" style="31"/>
    <col min="10001" max="10001" width="2.6640625" style="31" customWidth="1"/>
    <col min="10002" max="10002" width="5" style="31" customWidth="1"/>
    <col min="10003" max="10003" width="43.1640625" style="31" customWidth="1"/>
    <col min="10004" max="10004" width="14.83203125" style="31" customWidth="1"/>
    <col min="10005" max="10005" width="0" style="31" hidden="1" customWidth="1"/>
    <col min="10006" max="10006" width="14.6640625" style="31" customWidth="1"/>
    <col min="10007" max="10007" width="11.33203125" style="31" customWidth="1"/>
    <col min="10008" max="10008" width="13.33203125" style="31" customWidth="1"/>
    <col min="10009" max="10009" width="9.6640625" style="31" customWidth="1"/>
    <col min="10010" max="10010" width="17.1640625" style="31" customWidth="1"/>
    <col min="10011" max="10011" width="8.83203125" style="31" customWidth="1"/>
    <col min="10012" max="10012" width="10.83203125" style="31" customWidth="1"/>
    <col min="10013" max="10013" width="11.6640625" style="31" customWidth="1"/>
    <col min="10014" max="10014" width="12.6640625" style="31" customWidth="1"/>
    <col min="10015" max="10015" width="13.33203125" style="31" customWidth="1"/>
    <col min="10016" max="10016" width="10.1640625" style="31" customWidth="1"/>
    <col min="10017" max="10017" width="11.5" style="31" customWidth="1"/>
    <col min="10018" max="10019" width="12" style="31" customWidth="1"/>
    <col min="10020" max="10020" width="9.6640625" style="31" customWidth="1"/>
    <col min="10021" max="10021" width="2.5" style="31" customWidth="1"/>
    <col min="10022" max="10256" width="9.33203125" style="31"/>
    <col min="10257" max="10257" width="2.6640625" style="31" customWidth="1"/>
    <col min="10258" max="10258" width="5" style="31" customWidth="1"/>
    <col min="10259" max="10259" width="43.1640625" style="31" customWidth="1"/>
    <col min="10260" max="10260" width="14.83203125" style="31" customWidth="1"/>
    <col min="10261" max="10261" width="0" style="31" hidden="1" customWidth="1"/>
    <col min="10262" max="10262" width="14.6640625" style="31" customWidth="1"/>
    <col min="10263" max="10263" width="11.33203125" style="31" customWidth="1"/>
    <col min="10264" max="10264" width="13.33203125" style="31" customWidth="1"/>
    <col min="10265" max="10265" width="9.6640625" style="31" customWidth="1"/>
    <col min="10266" max="10266" width="17.1640625" style="31" customWidth="1"/>
    <col min="10267" max="10267" width="8.83203125" style="31" customWidth="1"/>
    <col min="10268" max="10268" width="10.83203125" style="31" customWidth="1"/>
    <col min="10269" max="10269" width="11.6640625" style="31" customWidth="1"/>
    <col min="10270" max="10270" width="12.6640625" style="31" customWidth="1"/>
    <col min="10271" max="10271" width="13.33203125" style="31" customWidth="1"/>
    <col min="10272" max="10272" width="10.1640625" style="31" customWidth="1"/>
    <col min="10273" max="10273" width="11.5" style="31" customWidth="1"/>
    <col min="10274" max="10275" width="12" style="31" customWidth="1"/>
    <col min="10276" max="10276" width="9.6640625" style="31" customWidth="1"/>
    <col min="10277" max="10277" width="2.5" style="31" customWidth="1"/>
    <col min="10278" max="10512" width="9.33203125" style="31"/>
    <col min="10513" max="10513" width="2.6640625" style="31" customWidth="1"/>
    <col min="10514" max="10514" width="5" style="31" customWidth="1"/>
    <col min="10515" max="10515" width="43.1640625" style="31" customWidth="1"/>
    <col min="10516" max="10516" width="14.83203125" style="31" customWidth="1"/>
    <col min="10517" max="10517" width="0" style="31" hidden="1" customWidth="1"/>
    <col min="10518" max="10518" width="14.6640625" style="31" customWidth="1"/>
    <col min="10519" max="10519" width="11.33203125" style="31" customWidth="1"/>
    <col min="10520" max="10520" width="13.33203125" style="31" customWidth="1"/>
    <col min="10521" max="10521" width="9.6640625" style="31" customWidth="1"/>
    <col min="10522" max="10522" width="17.1640625" style="31" customWidth="1"/>
    <col min="10523" max="10523" width="8.83203125" style="31" customWidth="1"/>
    <col min="10524" max="10524" width="10.83203125" style="31" customWidth="1"/>
    <col min="10525" max="10525" width="11.6640625" style="31" customWidth="1"/>
    <col min="10526" max="10526" width="12.6640625" style="31" customWidth="1"/>
    <col min="10527" max="10527" width="13.33203125" style="31" customWidth="1"/>
    <col min="10528" max="10528" width="10.1640625" style="31" customWidth="1"/>
    <col min="10529" max="10529" width="11.5" style="31" customWidth="1"/>
    <col min="10530" max="10531" width="12" style="31" customWidth="1"/>
    <col min="10532" max="10532" width="9.6640625" style="31" customWidth="1"/>
    <col min="10533" max="10533" width="2.5" style="31" customWidth="1"/>
    <col min="10534" max="10768" width="9.33203125" style="31"/>
    <col min="10769" max="10769" width="2.6640625" style="31" customWidth="1"/>
    <col min="10770" max="10770" width="5" style="31" customWidth="1"/>
    <col min="10771" max="10771" width="43.1640625" style="31" customWidth="1"/>
    <col min="10772" max="10772" width="14.83203125" style="31" customWidth="1"/>
    <col min="10773" max="10773" width="0" style="31" hidden="1" customWidth="1"/>
    <col min="10774" max="10774" width="14.6640625" style="31" customWidth="1"/>
    <col min="10775" max="10775" width="11.33203125" style="31" customWidth="1"/>
    <col min="10776" max="10776" width="13.33203125" style="31" customWidth="1"/>
    <col min="10777" max="10777" width="9.6640625" style="31" customWidth="1"/>
    <col min="10778" max="10778" width="17.1640625" style="31" customWidth="1"/>
    <col min="10779" max="10779" width="8.83203125" style="31" customWidth="1"/>
    <col min="10780" max="10780" width="10.83203125" style="31" customWidth="1"/>
    <col min="10781" max="10781" width="11.6640625" style="31" customWidth="1"/>
    <col min="10782" max="10782" width="12.6640625" style="31" customWidth="1"/>
    <col min="10783" max="10783" width="13.33203125" style="31" customWidth="1"/>
    <col min="10784" max="10784" width="10.1640625" style="31" customWidth="1"/>
    <col min="10785" max="10785" width="11.5" style="31" customWidth="1"/>
    <col min="10786" max="10787" width="12" style="31" customWidth="1"/>
    <col min="10788" max="10788" width="9.6640625" style="31" customWidth="1"/>
    <col min="10789" max="10789" width="2.5" style="31" customWidth="1"/>
    <col min="10790" max="11024" width="9.33203125" style="31"/>
    <col min="11025" max="11025" width="2.6640625" style="31" customWidth="1"/>
    <col min="11026" max="11026" width="5" style="31" customWidth="1"/>
    <col min="11027" max="11027" width="43.1640625" style="31" customWidth="1"/>
    <col min="11028" max="11028" width="14.83203125" style="31" customWidth="1"/>
    <col min="11029" max="11029" width="0" style="31" hidden="1" customWidth="1"/>
    <col min="11030" max="11030" width="14.6640625" style="31" customWidth="1"/>
    <col min="11031" max="11031" width="11.33203125" style="31" customWidth="1"/>
    <col min="11032" max="11032" width="13.33203125" style="31" customWidth="1"/>
    <col min="11033" max="11033" width="9.6640625" style="31" customWidth="1"/>
    <col min="11034" max="11034" width="17.1640625" style="31" customWidth="1"/>
    <col min="11035" max="11035" width="8.83203125" style="31" customWidth="1"/>
    <col min="11036" max="11036" width="10.83203125" style="31" customWidth="1"/>
    <col min="11037" max="11037" width="11.6640625" style="31" customWidth="1"/>
    <col min="11038" max="11038" width="12.6640625" style="31" customWidth="1"/>
    <col min="11039" max="11039" width="13.33203125" style="31" customWidth="1"/>
    <col min="11040" max="11040" width="10.1640625" style="31" customWidth="1"/>
    <col min="11041" max="11041" width="11.5" style="31" customWidth="1"/>
    <col min="11042" max="11043" width="12" style="31" customWidth="1"/>
    <col min="11044" max="11044" width="9.6640625" style="31" customWidth="1"/>
    <col min="11045" max="11045" width="2.5" style="31" customWidth="1"/>
    <col min="11046" max="11280" width="9.33203125" style="31"/>
    <col min="11281" max="11281" width="2.6640625" style="31" customWidth="1"/>
    <col min="11282" max="11282" width="5" style="31" customWidth="1"/>
    <col min="11283" max="11283" width="43.1640625" style="31" customWidth="1"/>
    <col min="11284" max="11284" width="14.83203125" style="31" customWidth="1"/>
    <col min="11285" max="11285" width="0" style="31" hidden="1" customWidth="1"/>
    <col min="11286" max="11286" width="14.6640625" style="31" customWidth="1"/>
    <col min="11287" max="11287" width="11.33203125" style="31" customWidth="1"/>
    <col min="11288" max="11288" width="13.33203125" style="31" customWidth="1"/>
    <col min="11289" max="11289" width="9.6640625" style="31" customWidth="1"/>
    <col min="11290" max="11290" width="17.1640625" style="31" customWidth="1"/>
    <col min="11291" max="11291" width="8.83203125" style="31" customWidth="1"/>
    <col min="11292" max="11292" width="10.83203125" style="31" customWidth="1"/>
    <col min="11293" max="11293" width="11.6640625" style="31" customWidth="1"/>
    <col min="11294" max="11294" width="12.6640625" style="31" customWidth="1"/>
    <col min="11295" max="11295" width="13.33203125" style="31" customWidth="1"/>
    <col min="11296" max="11296" width="10.1640625" style="31" customWidth="1"/>
    <col min="11297" max="11297" width="11.5" style="31" customWidth="1"/>
    <col min="11298" max="11299" width="12" style="31" customWidth="1"/>
    <col min="11300" max="11300" width="9.6640625" style="31" customWidth="1"/>
    <col min="11301" max="11301" width="2.5" style="31" customWidth="1"/>
    <col min="11302" max="11536" width="9.33203125" style="31"/>
    <col min="11537" max="11537" width="2.6640625" style="31" customWidth="1"/>
    <col min="11538" max="11538" width="5" style="31" customWidth="1"/>
    <col min="11539" max="11539" width="43.1640625" style="31" customWidth="1"/>
    <col min="11540" max="11540" width="14.83203125" style="31" customWidth="1"/>
    <col min="11541" max="11541" width="0" style="31" hidden="1" customWidth="1"/>
    <col min="11542" max="11542" width="14.6640625" style="31" customWidth="1"/>
    <col min="11543" max="11543" width="11.33203125" style="31" customWidth="1"/>
    <col min="11544" max="11544" width="13.33203125" style="31" customWidth="1"/>
    <col min="11545" max="11545" width="9.6640625" style="31" customWidth="1"/>
    <col min="11546" max="11546" width="17.1640625" style="31" customWidth="1"/>
    <col min="11547" max="11547" width="8.83203125" style="31" customWidth="1"/>
    <col min="11548" max="11548" width="10.83203125" style="31" customWidth="1"/>
    <col min="11549" max="11549" width="11.6640625" style="31" customWidth="1"/>
    <col min="11550" max="11550" width="12.6640625" style="31" customWidth="1"/>
    <col min="11551" max="11551" width="13.33203125" style="31" customWidth="1"/>
    <col min="11552" max="11552" width="10.1640625" style="31" customWidth="1"/>
    <col min="11553" max="11553" width="11.5" style="31" customWidth="1"/>
    <col min="11554" max="11555" width="12" style="31" customWidth="1"/>
    <col min="11556" max="11556" width="9.6640625" style="31" customWidth="1"/>
    <col min="11557" max="11557" width="2.5" style="31" customWidth="1"/>
    <col min="11558" max="11792" width="9.33203125" style="31"/>
    <col min="11793" max="11793" width="2.6640625" style="31" customWidth="1"/>
    <col min="11794" max="11794" width="5" style="31" customWidth="1"/>
    <col min="11795" max="11795" width="43.1640625" style="31" customWidth="1"/>
    <col min="11796" max="11796" width="14.83203125" style="31" customWidth="1"/>
    <col min="11797" max="11797" width="0" style="31" hidden="1" customWidth="1"/>
    <col min="11798" max="11798" width="14.6640625" style="31" customWidth="1"/>
    <col min="11799" max="11799" width="11.33203125" style="31" customWidth="1"/>
    <col min="11800" max="11800" width="13.33203125" style="31" customWidth="1"/>
    <col min="11801" max="11801" width="9.6640625" style="31" customWidth="1"/>
    <col min="11802" max="11802" width="17.1640625" style="31" customWidth="1"/>
    <col min="11803" max="11803" width="8.83203125" style="31" customWidth="1"/>
    <col min="11804" max="11804" width="10.83203125" style="31" customWidth="1"/>
    <col min="11805" max="11805" width="11.6640625" style="31" customWidth="1"/>
    <col min="11806" max="11806" width="12.6640625" style="31" customWidth="1"/>
    <col min="11807" max="11807" width="13.33203125" style="31" customWidth="1"/>
    <col min="11808" max="11808" width="10.1640625" style="31" customWidth="1"/>
    <col min="11809" max="11809" width="11.5" style="31" customWidth="1"/>
    <col min="11810" max="11811" width="12" style="31" customWidth="1"/>
    <col min="11812" max="11812" width="9.6640625" style="31" customWidth="1"/>
    <col min="11813" max="11813" width="2.5" style="31" customWidth="1"/>
    <col min="11814" max="12048" width="9.33203125" style="31"/>
    <col min="12049" max="12049" width="2.6640625" style="31" customWidth="1"/>
    <col min="12050" max="12050" width="5" style="31" customWidth="1"/>
    <col min="12051" max="12051" width="43.1640625" style="31" customWidth="1"/>
    <col min="12052" max="12052" width="14.83203125" style="31" customWidth="1"/>
    <col min="12053" max="12053" width="0" style="31" hidden="1" customWidth="1"/>
    <col min="12054" max="12054" width="14.6640625" style="31" customWidth="1"/>
    <col min="12055" max="12055" width="11.33203125" style="31" customWidth="1"/>
    <col min="12056" max="12056" width="13.33203125" style="31" customWidth="1"/>
    <col min="12057" max="12057" width="9.6640625" style="31" customWidth="1"/>
    <col min="12058" max="12058" width="17.1640625" style="31" customWidth="1"/>
    <col min="12059" max="12059" width="8.83203125" style="31" customWidth="1"/>
    <col min="12060" max="12060" width="10.83203125" style="31" customWidth="1"/>
    <col min="12061" max="12061" width="11.6640625" style="31" customWidth="1"/>
    <col min="12062" max="12062" width="12.6640625" style="31" customWidth="1"/>
    <col min="12063" max="12063" width="13.33203125" style="31" customWidth="1"/>
    <col min="12064" max="12064" width="10.1640625" style="31" customWidth="1"/>
    <col min="12065" max="12065" width="11.5" style="31" customWidth="1"/>
    <col min="12066" max="12067" width="12" style="31" customWidth="1"/>
    <col min="12068" max="12068" width="9.6640625" style="31" customWidth="1"/>
    <col min="12069" max="12069" width="2.5" style="31" customWidth="1"/>
    <col min="12070" max="12304" width="9.33203125" style="31"/>
    <col min="12305" max="12305" width="2.6640625" style="31" customWidth="1"/>
    <col min="12306" max="12306" width="5" style="31" customWidth="1"/>
    <col min="12307" max="12307" width="43.1640625" style="31" customWidth="1"/>
    <col min="12308" max="12308" width="14.83203125" style="31" customWidth="1"/>
    <col min="12309" max="12309" width="0" style="31" hidden="1" customWidth="1"/>
    <col min="12310" max="12310" width="14.6640625" style="31" customWidth="1"/>
    <col min="12311" max="12311" width="11.33203125" style="31" customWidth="1"/>
    <col min="12312" max="12312" width="13.33203125" style="31" customWidth="1"/>
    <col min="12313" max="12313" width="9.6640625" style="31" customWidth="1"/>
    <col min="12314" max="12314" width="17.1640625" style="31" customWidth="1"/>
    <col min="12315" max="12315" width="8.83203125" style="31" customWidth="1"/>
    <col min="12316" max="12316" width="10.83203125" style="31" customWidth="1"/>
    <col min="12317" max="12317" width="11.6640625" style="31" customWidth="1"/>
    <col min="12318" max="12318" width="12.6640625" style="31" customWidth="1"/>
    <col min="12319" max="12319" width="13.33203125" style="31" customWidth="1"/>
    <col min="12320" max="12320" width="10.1640625" style="31" customWidth="1"/>
    <col min="12321" max="12321" width="11.5" style="31" customWidth="1"/>
    <col min="12322" max="12323" width="12" style="31" customWidth="1"/>
    <col min="12324" max="12324" width="9.6640625" style="31" customWidth="1"/>
    <col min="12325" max="12325" width="2.5" style="31" customWidth="1"/>
    <col min="12326" max="12560" width="9.33203125" style="31"/>
    <col min="12561" max="12561" width="2.6640625" style="31" customWidth="1"/>
    <col min="12562" max="12562" width="5" style="31" customWidth="1"/>
    <col min="12563" max="12563" width="43.1640625" style="31" customWidth="1"/>
    <col min="12564" max="12564" width="14.83203125" style="31" customWidth="1"/>
    <col min="12565" max="12565" width="0" style="31" hidden="1" customWidth="1"/>
    <col min="12566" max="12566" width="14.6640625" style="31" customWidth="1"/>
    <col min="12567" max="12567" width="11.33203125" style="31" customWidth="1"/>
    <col min="12568" max="12568" width="13.33203125" style="31" customWidth="1"/>
    <col min="12569" max="12569" width="9.6640625" style="31" customWidth="1"/>
    <col min="12570" max="12570" width="17.1640625" style="31" customWidth="1"/>
    <col min="12571" max="12571" width="8.83203125" style="31" customWidth="1"/>
    <col min="12572" max="12572" width="10.83203125" style="31" customWidth="1"/>
    <col min="12573" max="12573" width="11.6640625" style="31" customWidth="1"/>
    <col min="12574" max="12574" width="12.6640625" style="31" customWidth="1"/>
    <col min="12575" max="12575" width="13.33203125" style="31" customWidth="1"/>
    <col min="12576" max="12576" width="10.1640625" style="31" customWidth="1"/>
    <col min="12577" max="12577" width="11.5" style="31" customWidth="1"/>
    <col min="12578" max="12579" width="12" style="31" customWidth="1"/>
    <col min="12580" max="12580" width="9.6640625" style="31" customWidth="1"/>
    <col min="12581" max="12581" width="2.5" style="31" customWidth="1"/>
    <col min="12582" max="12816" width="9.33203125" style="31"/>
    <col min="12817" max="12817" width="2.6640625" style="31" customWidth="1"/>
    <col min="12818" max="12818" width="5" style="31" customWidth="1"/>
    <col min="12819" max="12819" width="43.1640625" style="31" customWidth="1"/>
    <col min="12820" max="12820" width="14.83203125" style="31" customWidth="1"/>
    <col min="12821" max="12821" width="0" style="31" hidden="1" customWidth="1"/>
    <col min="12822" max="12822" width="14.6640625" style="31" customWidth="1"/>
    <col min="12823" max="12823" width="11.33203125" style="31" customWidth="1"/>
    <col min="12824" max="12824" width="13.33203125" style="31" customWidth="1"/>
    <col min="12825" max="12825" width="9.6640625" style="31" customWidth="1"/>
    <col min="12826" max="12826" width="17.1640625" style="31" customWidth="1"/>
    <col min="12827" max="12827" width="8.83203125" style="31" customWidth="1"/>
    <col min="12828" max="12828" width="10.83203125" style="31" customWidth="1"/>
    <col min="12829" max="12829" width="11.6640625" style="31" customWidth="1"/>
    <col min="12830" max="12830" width="12.6640625" style="31" customWidth="1"/>
    <col min="12831" max="12831" width="13.33203125" style="31" customWidth="1"/>
    <col min="12832" max="12832" width="10.1640625" style="31" customWidth="1"/>
    <col min="12833" max="12833" width="11.5" style="31" customWidth="1"/>
    <col min="12834" max="12835" width="12" style="31" customWidth="1"/>
    <col min="12836" max="12836" width="9.6640625" style="31" customWidth="1"/>
    <col min="12837" max="12837" width="2.5" style="31" customWidth="1"/>
    <col min="12838" max="13072" width="9.33203125" style="31"/>
    <col min="13073" max="13073" width="2.6640625" style="31" customWidth="1"/>
    <col min="13074" max="13074" width="5" style="31" customWidth="1"/>
    <col min="13075" max="13075" width="43.1640625" style="31" customWidth="1"/>
    <col min="13076" max="13076" width="14.83203125" style="31" customWidth="1"/>
    <col min="13077" max="13077" width="0" style="31" hidden="1" customWidth="1"/>
    <col min="13078" max="13078" width="14.6640625" style="31" customWidth="1"/>
    <col min="13079" max="13079" width="11.33203125" style="31" customWidth="1"/>
    <col min="13080" max="13080" width="13.33203125" style="31" customWidth="1"/>
    <col min="13081" max="13081" width="9.6640625" style="31" customWidth="1"/>
    <col min="13082" max="13082" width="17.1640625" style="31" customWidth="1"/>
    <col min="13083" max="13083" width="8.83203125" style="31" customWidth="1"/>
    <col min="13084" max="13084" width="10.83203125" style="31" customWidth="1"/>
    <col min="13085" max="13085" width="11.6640625" style="31" customWidth="1"/>
    <col min="13086" max="13086" width="12.6640625" style="31" customWidth="1"/>
    <col min="13087" max="13087" width="13.33203125" style="31" customWidth="1"/>
    <col min="13088" max="13088" width="10.1640625" style="31" customWidth="1"/>
    <col min="13089" max="13089" width="11.5" style="31" customWidth="1"/>
    <col min="13090" max="13091" width="12" style="31" customWidth="1"/>
    <col min="13092" max="13092" width="9.6640625" style="31" customWidth="1"/>
    <col min="13093" max="13093" width="2.5" style="31" customWidth="1"/>
    <col min="13094" max="13328" width="9.33203125" style="31"/>
    <col min="13329" max="13329" width="2.6640625" style="31" customWidth="1"/>
    <col min="13330" max="13330" width="5" style="31" customWidth="1"/>
    <col min="13331" max="13331" width="43.1640625" style="31" customWidth="1"/>
    <col min="13332" max="13332" width="14.83203125" style="31" customWidth="1"/>
    <col min="13333" max="13333" width="0" style="31" hidden="1" customWidth="1"/>
    <col min="13334" max="13334" width="14.6640625" style="31" customWidth="1"/>
    <col min="13335" max="13335" width="11.33203125" style="31" customWidth="1"/>
    <col min="13336" max="13336" width="13.33203125" style="31" customWidth="1"/>
    <col min="13337" max="13337" width="9.6640625" style="31" customWidth="1"/>
    <col min="13338" max="13338" width="17.1640625" style="31" customWidth="1"/>
    <col min="13339" max="13339" width="8.83203125" style="31" customWidth="1"/>
    <col min="13340" max="13340" width="10.83203125" style="31" customWidth="1"/>
    <col min="13341" max="13341" width="11.6640625" style="31" customWidth="1"/>
    <col min="13342" max="13342" width="12.6640625" style="31" customWidth="1"/>
    <col min="13343" max="13343" width="13.33203125" style="31" customWidth="1"/>
    <col min="13344" max="13344" width="10.1640625" style="31" customWidth="1"/>
    <col min="13345" max="13345" width="11.5" style="31" customWidth="1"/>
    <col min="13346" max="13347" width="12" style="31" customWidth="1"/>
    <col min="13348" max="13348" width="9.6640625" style="31" customWidth="1"/>
    <col min="13349" max="13349" width="2.5" style="31" customWidth="1"/>
    <col min="13350" max="13584" width="9.33203125" style="31"/>
    <col min="13585" max="13585" width="2.6640625" style="31" customWidth="1"/>
    <col min="13586" max="13586" width="5" style="31" customWidth="1"/>
    <col min="13587" max="13587" width="43.1640625" style="31" customWidth="1"/>
    <col min="13588" max="13588" width="14.83203125" style="31" customWidth="1"/>
    <col min="13589" max="13589" width="0" style="31" hidden="1" customWidth="1"/>
    <col min="13590" max="13590" width="14.6640625" style="31" customWidth="1"/>
    <col min="13591" max="13591" width="11.33203125" style="31" customWidth="1"/>
    <col min="13592" max="13592" width="13.33203125" style="31" customWidth="1"/>
    <col min="13593" max="13593" width="9.6640625" style="31" customWidth="1"/>
    <col min="13594" max="13594" width="17.1640625" style="31" customWidth="1"/>
    <col min="13595" max="13595" width="8.83203125" style="31" customWidth="1"/>
    <col min="13596" max="13596" width="10.83203125" style="31" customWidth="1"/>
    <col min="13597" max="13597" width="11.6640625" style="31" customWidth="1"/>
    <col min="13598" max="13598" width="12.6640625" style="31" customWidth="1"/>
    <col min="13599" max="13599" width="13.33203125" style="31" customWidth="1"/>
    <col min="13600" max="13600" width="10.1640625" style="31" customWidth="1"/>
    <col min="13601" max="13601" width="11.5" style="31" customWidth="1"/>
    <col min="13602" max="13603" width="12" style="31" customWidth="1"/>
    <col min="13604" max="13604" width="9.6640625" style="31" customWidth="1"/>
    <col min="13605" max="13605" width="2.5" style="31" customWidth="1"/>
    <col min="13606" max="13840" width="9.33203125" style="31"/>
    <col min="13841" max="13841" width="2.6640625" style="31" customWidth="1"/>
    <col min="13842" max="13842" width="5" style="31" customWidth="1"/>
    <col min="13843" max="13843" width="43.1640625" style="31" customWidth="1"/>
    <col min="13844" max="13844" width="14.83203125" style="31" customWidth="1"/>
    <col min="13845" max="13845" width="0" style="31" hidden="1" customWidth="1"/>
    <col min="13846" max="13846" width="14.6640625" style="31" customWidth="1"/>
    <col min="13847" max="13847" width="11.33203125" style="31" customWidth="1"/>
    <col min="13848" max="13848" width="13.33203125" style="31" customWidth="1"/>
    <col min="13849" max="13849" width="9.6640625" style="31" customWidth="1"/>
    <col min="13850" max="13850" width="17.1640625" style="31" customWidth="1"/>
    <col min="13851" max="13851" width="8.83203125" style="31" customWidth="1"/>
    <col min="13852" max="13852" width="10.83203125" style="31" customWidth="1"/>
    <col min="13853" max="13853" width="11.6640625" style="31" customWidth="1"/>
    <col min="13854" max="13854" width="12.6640625" style="31" customWidth="1"/>
    <col min="13855" max="13855" width="13.33203125" style="31" customWidth="1"/>
    <col min="13856" max="13856" width="10.1640625" style="31" customWidth="1"/>
    <col min="13857" max="13857" width="11.5" style="31" customWidth="1"/>
    <col min="13858" max="13859" width="12" style="31" customWidth="1"/>
    <col min="13860" max="13860" width="9.6640625" style="31" customWidth="1"/>
    <col min="13861" max="13861" width="2.5" style="31" customWidth="1"/>
    <col min="13862" max="14096" width="9.33203125" style="31"/>
    <col min="14097" max="14097" width="2.6640625" style="31" customWidth="1"/>
    <col min="14098" max="14098" width="5" style="31" customWidth="1"/>
    <col min="14099" max="14099" width="43.1640625" style="31" customWidth="1"/>
    <col min="14100" max="14100" width="14.83203125" style="31" customWidth="1"/>
    <col min="14101" max="14101" width="0" style="31" hidden="1" customWidth="1"/>
    <col min="14102" max="14102" width="14.6640625" style="31" customWidth="1"/>
    <col min="14103" max="14103" width="11.33203125" style="31" customWidth="1"/>
    <col min="14104" max="14104" width="13.33203125" style="31" customWidth="1"/>
    <col min="14105" max="14105" width="9.6640625" style="31" customWidth="1"/>
    <col min="14106" max="14106" width="17.1640625" style="31" customWidth="1"/>
    <col min="14107" max="14107" width="8.83203125" style="31" customWidth="1"/>
    <col min="14108" max="14108" width="10.83203125" style="31" customWidth="1"/>
    <col min="14109" max="14109" width="11.6640625" style="31" customWidth="1"/>
    <col min="14110" max="14110" width="12.6640625" style="31" customWidth="1"/>
    <col min="14111" max="14111" width="13.33203125" style="31" customWidth="1"/>
    <col min="14112" max="14112" width="10.1640625" style="31" customWidth="1"/>
    <col min="14113" max="14113" width="11.5" style="31" customWidth="1"/>
    <col min="14114" max="14115" width="12" style="31" customWidth="1"/>
    <col min="14116" max="14116" width="9.6640625" style="31" customWidth="1"/>
    <col min="14117" max="14117" width="2.5" style="31" customWidth="1"/>
    <col min="14118" max="14352" width="9.33203125" style="31"/>
    <col min="14353" max="14353" width="2.6640625" style="31" customWidth="1"/>
    <col min="14354" max="14354" width="5" style="31" customWidth="1"/>
    <col min="14355" max="14355" width="43.1640625" style="31" customWidth="1"/>
    <col min="14356" max="14356" width="14.83203125" style="31" customWidth="1"/>
    <col min="14357" max="14357" width="0" style="31" hidden="1" customWidth="1"/>
    <col min="14358" max="14358" width="14.6640625" style="31" customWidth="1"/>
    <col min="14359" max="14359" width="11.33203125" style="31" customWidth="1"/>
    <col min="14360" max="14360" width="13.33203125" style="31" customWidth="1"/>
    <col min="14361" max="14361" width="9.6640625" style="31" customWidth="1"/>
    <col min="14362" max="14362" width="17.1640625" style="31" customWidth="1"/>
    <col min="14363" max="14363" width="8.83203125" style="31" customWidth="1"/>
    <col min="14364" max="14364" width="10.83203125" style="31" customWidth="1"/>
    <col min="14365" max="14365" width="11.6640625" style="31" customWidth="1"/>
    <col min="14366" max="14366" width="12.6640625" style="31" customWidth="1"/>
    <col min="14367" max="14367" width="13.33203125" style="31" customWidth="1"/>
    <col min="14368" max="14368" width="10.1640625" style="31" customWidth="1"/>
    <col min="14369" max="14369" width="11.5" style="31" customWidth="1"/>
    <col min="14370" max="14371" width="12" style="31" customWidth="1"/>
    <col min="14372" max="14372" width="9.6640625" style="31" customWidth="1"/>
    <col min="14373" max="14373" width="2.5" style="31" customWidth="1"/>
    <col min="14374" max="14608" width="9.33203125" style="31"/>
    <col min="14609" max="14609" width="2.6640625" style="31" customWidth="1"/>
    <col min="14610" max="14610" width="5" style="31" customWidth="1"/>
    <col min="14611" max="14611" width="43.1640625" style="31" customWidth="1"/>
    <col min="14612" max="14612" width="14.83203125" style="31" customWidth="1"/>
    <col min="14613" max="14613" width="0" style="31" hidden="1" customWidth="1"/>
    <col min="14614" max="14614" width="14.6640625" style="31" customWidth="1"/>
    <col min="14615" max="14615" width="11.33203125" style="31" customWidth="1"/>
    <col min="14616" max="14616" width="13.33203125" style="31" customWidth="1"/>
    <col min="14617" max="14617" width="9.6640625" style="31" customWidth="1"/>
    <col min="14618" max="14618" width="17.1640625" style="31" customWidth="1"/>
    <col min="14619" max="14619" width="8.83203125" style="31" customWidth="1"/>
    <col min="14620" max="14620" width="10.83203125" style="31" customWidth="1"/>
    <col min="14621" max="14621" width="11.6640625" style="31" customWidth="1"/>
    <col min="14622" max="14622" width="12.6640625" style="31" customWidth="1"/>
    <col min="14623" max="14623" width="13.33203125" style="31" customWidth="1"/>
    <col min="14624" max="14624" width="10.1640625" style="31" customWidth="1"/>
    <col min="14625" max="14625" width="11.5" style="31" customWidth="1"/>
    <col min="14626" max="14627" width="12" style="31" customWidth="1"/>
    <col min="14628" max="14628" width="9.6640625" style="31" customWidth="1"/>
    <col min="14629" max="14629" width="2.5" style="31" customWidth="1"/>
    <col min="14630" max="14864" width="9.33203125" style="31"/>
    <col min="14865" max="14865" width="2.6640625" style="31" customWidth="1"/>
    <col min="14866" max="14866" width="5" style="31" customWidth="1"/>
    <col min="14867" max="14867" width="43.1640625" style="31" customWidth="1"/>
    <col min="14868" max="14868" width="14.83203125" style="31" customWidth="1"/>
    <col min="14869" max="14869" width="0" style="31" hidden="1" customWidth="1"/>
    <col min="14870" max="14870" width="14.6640625" style="31" customWidth="1"/>
    <col min="14871" max="14871" width="11.33203125" style="31" customWidth="1"/>
    <col min="14872" max="14872" width="13.33203125" style="31" customWidth="1"/>
    <col min="14873" max="14873" width="9.6640625" style="31" customWidth="1"/>
    <col min="14874" max="14874" width="17.1640625" style="31" customWidth="1"/>
    <col min="14875" max="14875" width="8.83203125" style="31" customWidth="1"/>
    <col min="14876" max="14876" width="10.83203125" style="31" customWidth="1"/>
    <col min="14877" max="14877" width="11.6640625" style="31" customWidth="1"/>
    <col min="14878" max="14878" width="12.6640625" style="31" customWidth="1"/>
    <col min="14879" max="14879" width="13.33203125" style="31" customWidth="1"/>
    <col min="14880" max="14880" width="10.1640625" style="31" customWidth="1"/>
    <col min="14881" max="14881" width="11.5" style="31" customWidth="1"/>
    <col min="14882" max="14883" width="12" style="31" customWidth="1"/>
    <col min="14884" max="14884" width="9.6640625" style="31" customWidth="1"/>
    <col min="14885" max="14885" width="2.5" style="31" customWidth="1"/>
    <col min="14886" max="15120" width="9.33203125" style="31"/>
    <col min="15121" max="15121" width="2.6640625" style="31" customWidth="1"/>
    <col min="15122" max="15122" width="5" style="31" customWidth="1"/>
    <col min="15123" max="15123" width="43.1640625" style="31" customWidth="1"/>
    <col min="15124" max="15124" width="14.83203125" style="31" customWidth="1"/>
    <col min="15125" max="15125" width="0" style="31" hidden="1" customWidth="1"/>
    <col min="15126" max="15126" width="14.6640625" style="31" customWidth="1"/>
    <col min="15127" max="15127" width="11.33203125" style="31" customWidth="1"/>
    <col min="15128" max="15128" width="13.33203125" style="31" customWidth="1"/>
    <col min="15129" max="15129" width="9.6640625" style="31" customWidth="1"/>
    <col min="15130" max="15130" width="17.1640625" style="31" customWidth="1"/>
    <col min="15131" max="15131" width="8.83203125" style="31" customWidth="1"/>
    <col min="15132" max="15132" width="10.83203125" style="31" customWidth="1"/>
    <col min="15133" max="15133" width="11.6640625" style="31" customWidth="1"/>
    <col min="15134" max="15134" width="12.6640625" style="31" customWidth="1"/>
    <col min="15135" max="15135" width="13.33203125" style="31" customWidth="1"/>
    <col min="15136" max="15136" width="10.1640625" style="31" customWidth="1"/>
    <col min="15137" max="15137" width="11.5" style="31" customWidth="1"/>
    <col min="15138" max="15139" width="12" style="31" customWidth="1"/>
    <col min="15140" max="15140" width="9.6640625" style="31" customWidth="1"/>
    <col min="15141" max="15141" width="2.5" style="31" customWidth="1"/>
    <col min="15142" max="15376" width="9.33203125" style="31"/>
    <col min="15377" max="15377" width="2.6640625" style="31" customWidth="1"/>
    <col min="15378" max="15378" width="5" style="31" customWidth="1"/>
    <col min="15379" max="15379" width="43.1640625" style="31" customWidth="1"/>
    <col min="15380" max="15380" width="14.83203125" style="31" customWidth="1"/>
    <col min="15381" max="15381" width="0" style="31" hidden="1" customWidth="1"/>
    <col min="15382" max="15382" width="14.6640625" style="31" customWidth="1"/>
    <col min="15383" max="15383" width="11.33203125" style="31" customWidth="1"/>
    <col min="15384" max="15384" width="13.33203125" style="31" customWidth="1"/>
    <col min="15385" max="15385" width="9.6640625" style="31" customWidth="1"/>
    <col min="15386" max="15386" width="17.1640625" style="31" customWidth="1"/>
    <col min="15387" max="15387" width="8.83203125" style="31" customWidth="1"/>
    <col min="15388" max="15388" width="10.83203125" style="31" customWidth="1"/>
    <col min="15389" max="15389" width="11.6640625" style="31" customWidth="1"/>
    <col min="15390" max="15390" width="12.6640625" style="31" customWidth="1"/>
    <col min="15391" max="15391" width="13.33203125" style="31" customWidth="1"/>
    <col min="15392" max="15392" width="10.1640625" style="31" customWidth="1"/>
    <col min="15393" max="15393" width="11.5" style="31" customWidth="1"/>
    <col min="15394" max="15395" width="12" style="31" customWidth="1"/>
    <col min="15396" max="15396" width="9.6640625" style="31" customWidth="1"/>
    <col min="15397" max="15397" width="2.5" style="31" customWidth="1"/>
    <col min="15398" max="15632" width="9.33203125" style="31"/>
    <col min="15633" max="15633" width="2.6640625" style="31" customWidth="1"/>
    <col min="15634" max="15634" width="5" style="31" customWidth="1"/>
    <col min="15635" max="15635" width="43.1640625" style="31" customWidth="1"/>
    <col min="15636" max="15636" width="14.83203125" style="31" customWidth="1"/>
    <col min="15637" max="15637" width="0" style="31" hidden="1" customWidth="1"/>
    <col min="15638" max="15638" width="14.6640625" style="31" customWidth="1"/>
    <col min="15639" max="15639" width="11.33203125" style="31" customWidth="1"/>
    <col min="15640" max="15640" width="13.33203125" style="31" customWidth="1"/>
    <col min="15641" max="15641" width="9.6640625" style="31" customWidth="1"/>
    <col min="15642" max="15642" width="17.1640625" style="31" customWidth="1"/>
    <col min="15643" max="15643" width="8.83203125" style="31" customWidth="1"/>
    <col min="15644" max="15644" width="10.83203125" style="31" customWidth="1"/>
    <col min="15645" max="15645" width="11.6640625" style="31" customWidth="1"/>
    <col min="15646" max="15646" width="12.6640625" style="31" customWidth="1"/>
    <col min="15647" max="15647" width="13.33203125" style="31" customWidth="1"/>
    <col min="15648" max="15648" width="10.1640625" style="31" customWidth="1"/>
    <col min="15649" max="15649" width="11.5" style="31" customWidth="1"/>
    <col min="15650" max="15651" width="12" style="31" customWidth="1"/>
    <col min="15652" max="15652" width="9.6640625" style="31" customWidth="1"/>
    <col min="15653" max="15653" width="2.5" style="31" customWidth="1"/>
    <col min="15654" max="15888" width="9.33203125" style="31"/>
    <col min="15889" max="15889" width="2.6640625" style="31" customWidth="1"/>
    <col min="15890" max="15890" width="5" style="31" customWidth="1"/>
    <col min="15891" max="15891" width="43.1640625" style="31" customWidth="1"/>
    <col min="15892" max="15892" width="14.83203125" style="31" customWidth="1"/>
    <col min="15893" max="15893" width="0" style="31" hidden="1" customWidth="1"/>
    <col min="15894" max="15894" width="14.6640625" style="31" customWidth="1"/>
    <col min="15895" max="15895" width="11.33203125" style="31" customWidth="1"/>
    <col min="15896" max="15896" width="13.33203125" style="31" customWidth="1"/>
    <col min="15897" max="15897" width="9.6640625" style="31" customWidth="1"/>
    <col min="15898" max="15898" width="17.1640625" style="31" customWidth="1"/>
    <col min="15899" max="15899" width="8.83203125" style="31" customWidth="1"/>
    <col min="15900" max="15900" width="10.83203125" style="31" customWidth="1"/>
    <col min="15901" max="15901" width="11.6640625" style="31" customWidth="1"/>
    <col min="15902" max="15902" width="12.6640625" style="31" customWidth="1"/>
    <col min="15903" max="15903" width="13.33203125" style="31" customWidth="1"/>
    <col min="15904" max="15904" width="10.1640625" style="31" customWidth="1"/>
    <col min="15905" max="15905" width="11.5" style="31" customWidth="1"/>
    <col min="15906" max="15907" width="12" style="31" customWidth="1"/>
    <col min="15908" max="15908" width="9.6640625" style="31" customWidth="1"/>
    <col min="15909" max="15909" width="2.5" style="31" customWidth="1"/>
    <col min="15910" max="16144" width="9.33203125" style="31"/>
    <col min="16145" max="16145" width="2.6640625" style="31" customWidth="1"/>
    <col min="16146" max="16146" width="5" style="31" customWidth="1"/>
    <col min="16147" max="16147" width="43.1640625" style="31" customWidth="1"/>
    <col min="16148" max="16148" width="14.83203125" style="31" customWidth="1"/>
    <col min="16149" max="16149" width="0" style="31" hidden="1" customWidth="1"/>
    <col min="16150" max="16150" width="14.6640625" style="31" customWidth="1"/>
    <col min="16151" max="16151" width="11.33203125" style="31" customWidth="1"/>
    <col min="16152" max="16152" width="13.33203125" style="31" customWidth="1"/>
    <col min="16153" max="16153" width="9.6640625" style="31" customWidth="1"/>
    <col min="16154" max="16154" width="17.1640625" style="31" customWidth="1"/>
    <col min="16155" max="16155" width="8.83203125" style="31" customWidth="1"/>
    <col min="16156" max="16156" width="10.83203125" style="31" customWidth="1"/>
    <col min="16157" max="16157" width="11.6640625" style="31" customWidth="1"/>
    <col min="16158" max="16158" width="12.6640625" style="31" customWidth="1"/>
    <col min="16159" max="16159" width="13.33203125" style="31" customWidth="1"/>
    <col min="16160" max="16160" width="10.1640625" style="31" customWidth="1"/>
    <col min="16161" max="16161" width="11.5" style="31" customWidth="1"/>
    <col min="16162" max="16163" width="12" style="31" customWidth="1"/>
    <col min="16164" max="16164" width="9.6640625" style="31" customWidth="1"/>
    <col min="16165" max="16165" width="2.5" style="31" customWidth="1"/>
    <col min="16166" max="16384" width="9.33203125" style="31"/>
  </cols>
  <sheetData>
    <row r="1" spans="2:36" ht="27" customHeight="1" thickBot="1" x14ac:dyDescent="0.25"/>
    <row r="2" spans="2:36" ht="30" customHeight="1" thickBot="1" x14ac:dyDescent="0.25">
      <c r="B2" s="1297" t="s">
        <v>498</v>
      </c>
      <c r="C2" s="1298"/>
      <c r="D2" s="1298"/>
      <c r="E2" s="1298"/>
      <c r="F2" s="1298"/>
      <c r="G2" s="1298"/>
      <c r="H2" s="1298"/>
      <c r="I2" s="1298"/>
      <c r="J2" s="1298"/>
      <c r="K2" s="1298"/>
      <c r="L2" s="1298"/>
      <c r="M2" s="1298"/>
      <c r="N2" s="1298"/>
      <c r="O2" s="1298"/>
      <c r="P2" s="1298"/>
      <c r="Q2" s="1298"/>
      <c r="R2" s="1298"/>
      <c r="S2" s="1298"/>
      <c r="T2" s="1298"/>
      <c r="U2" s="1298"/>
      <c r="V2" s="1298"/>
      <c r="W2" s="1298"/>
      <c r="X2" s="1298"/>
      <c r="Y2" s="1298"/>
      <c r="Z2" s="1298"/>
      <c r="AA2" s="1298"/>
      <c r="AB2" s="1298"/>
      <c r="AC2" s="1298"/>
      <c r="AD2" s="1298"/>
      <c r="AE2" s="1298"/>
      <c r="AF2" s="1298"/>
      <c r="AG2" s="1298"/>
      <c r="AH2" s="1298"/>
      <c r="AI2" s="1298"/>
      <c r="AJ2" s="1299"/>
    </row>
    <row r="3" spans="2:36" s="32" customFormat="1" ht="18.75" customHeight="1" x14ac:dyDescent="0.2">
      <c r="B3" s="1300" t="s">
        <v>280</v>
      </c>
      <c r="C3" s="1302" t="s">
        <v>281</v>
      </c>
      <c r="D3" s="1302"/>
      <c r="E3" s="1302"/>
      <c r="F3" s="1302"/>
      <c r="G3" s="1302"/>
      <c r="H3" s="1302"/>
      <c r="I3" s="1303" t="s">
        <v>287</v>
      </c>
      <c r="J3" s="1302" t="s">
        <v>284</v>
      </c>
      <c r="K3" s="1302"/>
      <c r="L3" s="1302" t="s">
        <v>286</v>
      </c>
      <c r="M3" s="1302"/>
      <c r="N3" s="1302"/>
      <c r="O3" s="1304" t="s">
        <v>288</v>
      </c>
      <c r="P3" s="1304"/>
      <c r="Q3" s="1304" t="s">
        <v>289</v>
      </c>
      <c r="R3" s="1304"/>
      <c r="S3" s="1304"/>
      <c r="T3" s="1304" t="s">
        <v>290</v>
      </c>
      <c r="U3" s="1304"/>
      <c r="V3" s="1304"/>
      <c r="W3" s="1304"/>
      <c r="X3" s="1304" t="s">
        <v>291</v>
      </c>
      <c r="Y3" s="1304"/>
      <c r="Z3" s="1304"/>
      <c r="AA3" s="1304"/>
      <c r="AB3" s="1304" t="s">
        <v>279</v>
      </c>
      <c r="AC3" s="1304"/>
      <c r="AD3" s="1304" t="s">
        <v>292</v>
      </c>
      <c r="AE3" s="1304"/>
      <c r="AF3" s="1304"/>
      <c r="AG3" s="1304"/>
      <c r="AH3" s="1304" t="s">
        <v>293</v>
      </c>
      <c r="AI3" s="1304"/>
      <c r="AJ3" s="1305"/>
    </row>
    <row r="4" spans="2:36" s="32" customFormat="1" ht="15.75" customHeight="1" x14ac:dyDescent="0.2">
      <c r="B4" s="1301"/>
      <c r="C4" s="1194" t="s">
        <v>5</v>
      </c>
      <c r="D4" s="1194"/>
      <c r="E4" s="1194"/>
      <c r="F4" s="1194" t="s">
        <v>6</v>
      </c>
      <c r="G4" s="1194"/>
      <c r="H4" s="1194"/>
      <c r="I4" s="1195"/>
      <c r="J4" s="1194"/>
      <c r="K4" s="1194"/>
      <c r="L4" s="1194"/>
      <c r="M4" s="1194"/>
      <c r="N4" s="1194"/>
      <c r="O4" s="1193" t="s">
        <v>274</v>
      </c>
      <c r="P4" s="1193" t="s">
        <v>163</v>
      </c>
      <c r="Q4" s="1193" t="s">
        <v>275</v>
      </c>
      <c r="R4" s="1193" t="s">
        <v>276</v>
      </c>
      <c r="S4" s="1193" t="s">
        <v>277</v>
      </c>
      <c r="T4" s="1193" t="s">
        <v>146</v>
      </c>
      <c r="U4" s="1193" t="s">
        <v>162</v>
      </c>
      <c r="V4" s="1193" t="s">
        <v>163</v>
      </c>
      <c r="W4" s="1193" t="s">
        <v>278</v>
      </c>
      <c r="X4" s="1193" t="s">
        <v>146</v>
      </c>
      <c r="Y4" s="1193" t="s">
        <v>162</v>
      </c>
      <c r="Z4" s="1193" t="s">
        <v>163</v>
      </c>
      <c r="AA4" s="1193" t="s">
        <v>278</v>
      </c>
      <c r="AB4" s="1193" t="s">
        <v>163</v>
      </c>
      <c r="AC4" s="1193" t="s">
        <v>297</v>
      </c>
      <c r="AD4" s="1193" t="s">
        <v>162</v>
      </c>
      <c r="AE4" s="1193" t="s">
        <v>163</v>
      </c>
      <c r="AF4" s="1193" t="s">
        <v>294</v>
      </c>
      <c r="AG4" s="1193" t="s">
        <v>298</v>
      </c>
      <c r="AH4" s="1193" t="s">
        <v>296</v>
      </c>
      <c r="AI4" s="1193" t="s">
        <v>153</v>
      </c>
      <c r="AJ4" s="1306" t="s">
        <v>295</v>
      </c>
    </row>
    <row r="5" spans="2:36" s="32" customFormat="1" ht="51" x14ac:dyDescent="0.2">
      <c r="B5" s="1301"/>
      <c r="C5" s="1194"/>
      <c r="D5" s="1194"/>
      <c r="E5" s="1194"/>
      <c r="F5" s="1194"/>
      <c r="G5" s="1194"/>
      <c r="H5" s="1194"/>
      <c r="I5" s="1195"/>
      <c r="J5" s="332" t="s">
        <v>282</v>
      </c>
      <c r="K5" s="332" t="s">
        <v>283</v>
      </c>
      <c r="L5" s="332" t="s">
        <v>367</v>
      </c>
      <c r="M5" s="332" t="s">
        <v>366</v>
      </c>
      <c r="N5" s="332" t="s">
        <v>285</v>
      </c>
      <c r="O5" s="1193"/>
      <c r="P5" s="1193"/>
      <c r="Q5" s="1193"/>
      <c r="R5" s="1193"/>
      <c r="S5" s="1193"/>
      <c r="T5" s="1193"/>
      <c r="U5" s="1193"/>
      <c r="V5" s="1193"/>
      <c r="W5" s="1193"/>
      <c r="X5" s="1193"/>
      <c r="Y5" s="1193"/>
      <c r="Z5" s="1193"/>
      <c r="AA5" s="1193"/>
      <c r="AB5" s="1193"/>
      <c r="AC5" s="1193"/>
      <c r="AD5" s="1193"/>
      <c r="AE5" s="1193"/>
      <c r="AF5" s="1193"/>
      <c r="AG5" s="1193"/>
      <c r="AH5" s="1193"/>
      <c r="AI5" s="1193"/>
      <c r="AJ5" s="1306"/>
    </row>
    <row r="6" spans="2:36" ht="20.100000000000001" customHeight="1" x14ac:dyDescent="0.2">
      <c r="B6" s="528" t="s">
        <v>519</v>
      </c>
      <c r="C6" s="336">
        <v>0</v>
      </c>
      <c r="D6" s="337" t="s">
        <v>7</v>
      </c>
      <c r="E6" s="333">
        <v>0</v>
      </c>
      <c r="F6" s="336">
        <v>2</v>
      </c>
      <c r="G6" s="337" t="s">
        <v>7</v>
      </c>
      <c r="H6" s="333">
        <v>11.78</v>
      </c>
      <c r="I6" s="333">
        <f>(F6*20+H6)-(C6*20+E6)</f>
        <v>51.78</v>
      </c>
      <c r="J6" s="333">
        <v>7</v>
      </c>
      <c r="K6" s="333">
        <f t="shared" ref="K6:K11" si="0">+J6-0.6</f>
        <v>6.4</v>
      </c>
      <c r="L6" s="333">
        <v>4.7942</v>
      </c>
      <c r="M6" s="333">
        <v>0</v>
      </c>
      <c r="N6" s="333">
        <f t="shared" ref="N6:N11" si="1">+K6*I6+L6-M6</f>
        <v>336.18620000000004</v>
      </c>
      <c r="O6" s="10">
        <f>+J6+(2*0.22)</f>
        <v>7.44</v>
      </c>
      <c r="P6" s="10">
        <f>O6*I6+1.1*L6-M6</f>
        <v>390.51682</v>
      </c>
      <c r="Q6" s="10">
        <v>125.51</v>
      </c>
      <c r="R6" s="10">
        <v>0</v>
      </c>
      <c r="S6" s="10">
        <f>Q6-(R6*1.3)</f>
        <v>125.51</v>
      </c>
      <c r="T6" s="10">
        <f>J6+(2*0.12)</f>
        <v>7.24</v>
      </c>
      <c r="U6" s="10">
        <v>0</v>
      </c>
      <c r="V6" s="10">
        <v>0</v>
      </c>
      <c r="W6" s="10">
        <f>V6*U6</f>
        <v>0</v>
      </c>
      <c r="X6" s="10">
        <f>J6+(2*0.12)</f>
        <v>7.24</v>
      </c>
      <c r="Y6" s="10">
        <v>0.15</v>
      </c>
      <c r="Z6" s="10">
        <f t="shared" ref="Z6:Z11" si="2">X6*I6+L6*1.1</f>
        <v>380.16082</v>
      </c>
      <c r="AA6" s="10">
        <f t="shared" ref="AA6:AA11" si="3">Z6*Y6</f>
        <v>57.024122999999996</v>
      </c>
      <c r="AB6" s="10">
        <f t="shared" ref="AB6:AB11" si="4">N6</f>
        <v>336.18620000000004</v>
      </c>
      <c r="AC6" s="10">
        <f t="shared" ref="AC6:AC11" si="5">AB6*0.0012</f>
        <v>0.40342344000000002</v>
      </c>
      <c r="AD6" s="338">
        <v>2.9999999999999801E-2</v>
      </c>
      <c r="AE6" s="10">
        <f t="shared" ref="AE6:AE11" si="6">N6</f>
        <v>336.18620000000004</v>
      </c>
      <c r="AF6" s="10">
        <f t="shared" ref="AF6:AF11" si="7">+AE6*AD6</f>
        <v>10.085585999999934</v>
      </c>
      <c r="AG6" s="10">
        <f t="shared" ref="AG6:AG11" si="8">2.5548*AF6</f>
        <v>25.766655112799832</v>
      </c>
      <c r="AH6" s="334">
        <v>0</v>
      </c>
      <c r="AI6" s="334">
        <v>128.66</v>
      </c>
      <c r="AJ6" s="335">
        <v>7</v>
      </c>
    </row>
    <row r="7" spans="2:36" ht="20.100000000000001" customHeight="1" x14ac:dyDescent="0.2">
      <c r="B7" s="529" t="s">
        <v>557</v>
      </c>
      <c r="C7" s="336">
        <v>0</v>
      </c>
      <c r="D7" s="337" t="s">
        <v>7</v>
      </c>
      <c r="E7" s="333">
        <v>3.5</v>
      </c>
      <c r="F7" s="336">
        <v>38</v>
      </c>
      <c r="G7" s="337" t="s">
        <v>7</v>
      </c>
      <c r="H7" s="333">
        <v>11.32</v>
      </c>
      <c r="I7" s="333">
        <f t="shared" ref="I7:I11" si="9">(F7*20+H7)-(C7*20+E7)</f>
        <v>767.82</v>
      </c>
      <c r="J7" s="333">
        <v>7</v>
      </c>
      <c r="K7" s="333">
        <f t="shared" si="0"/>
        <v>6.4</v>
      </c>
      <c r="L7" s="333">
        <f>5.9+62.68+5.32+5.23+5.35+5.38+4.8+5.38+52.88</f>
        <v>152.91999999999999</v>
      </c>
      <c r="M7" s="333">
        <v>0</v>
      </c>
      <c r="N7" s="333">
        <f t="shared" si="1"/>
        <v>5066.9680000000008</v>
      </c>
      <c r="O7" s="10">
        <f t="shared" ref="O7:O11" si="10">+J7+(2*0.22)</f>
        <v>7.44</v>
      </c>
      <c r="P7" s="10">
        <f t="shared" ref="P7:P11" si="11">O7*I7+1.1*L7-M7</f>
        <v>5880.7928000000011</v>
      </c>
      <c r="Q7" s="1308">
        <v>1665.83</v>
      </c>
      <c r="R7" s="1308">
        <v>193.22</v>
      </c>
      <c r="S7" s="1308">
        <f>Q7-(R7*1.3)</f>
        <v>1414.644</v>
      </c>
      <c r="T7" s="10">
        <f t="shared" ref="T7:T11" si="12">J7+(2*0.12)</f>
        <v>7.24</v>
      </c>
      <c r="U7" s="10">
        <v>0</v>
      </c>
      <c r="V7" s="10">
        <v>0</v>
      </c>
      <c r="W7" s="10">
        <f t="shared" ref="W7:W11" si="13">V7*U7</f>
        <v>0</v>
      </c>
      <c r="X7" s="10">
        <f t="shared" ref="X7:X11" si="14">J7+(2*0.12)</f>
        <v>7.24</v>
      </c>
      <c r="Y7" s="10">
        <v>0.15</v>
      </c>
      <c r="Z7" s="10">
        <f t="shared" si="2"/>
        <v>5727.2288000000008</v>
      </c>
      <c r="AA7" s="10">
        <f t="shared" si="3"/>
        <v>859.08432000000005</v>
      </c>
      <c r="AB7" s="10">
        <f t="shared" si="4"/>
        <v>5066.9680000000008</v>
      </c>
      <c r="AC7" s="10">
        <f t="shared" si="5"/>
        <v>6.0803616000000007</v>
      </c>
      <c r="AD7" s="338">
        <v>2.9999999999999801E-2</v>
      </c>
      <c r="AE7" s="10">
        <f t="shared" si="6"/>
        <v>5066.9680000000008</v>
      </c>
      <c r="AF7" s="10">
        <f t="shared" si="7"/>
        <v>152.009039999999</v>
      </c>
      <c r="AG7" s="10">
        <f t="shared" si="8"/>
        <v>388.35269539199749</v>
      </c>
      <c r="AH7" s="334">
        <v>0</v>
      </c>
      <c r="AI7" s="334">
        <f>1219.34+16.04</f>
        <v>1235.3799999999999</v>
      </c>
      <c r="AJ7" s="335">
        <v>0</v>
      </c>
    </row>
    <row r="8" spans="2:36" ht="20.100000000000001" customHeight="1" x14ac:dyDescent="0.2">
      <c r="B8" s="529" t="s">
        <v>558</v>
      </c>
      <c r="C8" s="336">
        <v>46</v>
      </c>
      <c r="D8" s="337" t="s">
        <v>7</v>
      </c>
      <c r="E8" s="333">
        <v>2.0499999999999998</v>
      </c>
      <c r="F8" s="336">
        <v>55</v>
      </c>
      <c r="G8" s="337" t="s">
        <v>7</v>
      </c>
      <c r="H8" s="333">
        <v>15.92</v>
      </c>
      <c r="I8" s="333">
        <f t="shared" si="9"/>
        <v>193.87000000000012</v>
      </c>
      <c r="J8" s="333">
        <v>7</v>
      </c>
      <c r="K8" s="333">
        <f t="shared" si="0"/>
        <v>6.4</v>
      </c>
      <c r="L8" s="333">
        <f>45.43+69.28</f>
        <v>114.71000000000001</v>
      </c>
      <c r="M8" s="333">
        <v>0</v>
      </c>
      <c r="N8" s="333">
        <f t="shared" si="1"/>
        <v>1355.478000000001</v>
      </c>
      <c r="O8" s="10">
        <f t="shared" si="10"/>
        <v>7.44</v>
      </c>
      <c r="P8" s="10">
        <f t="shared" si="11"/>
        <v>1568.573800000001</v>
      </c>
      <c r="Q8" s="1309"/>
      <c r="R8" s="1309"/>
      <c r="S8" s="1309"/>
      <c r="T8" s="10">
        <f t="shared" si="12"/>
        <v>7.24</v>
      </c>
      <c r="U8" s="10">
        <v>0</v>
      </c>
      <c r="V8" s="10">
        <v>0</v>
      </c>
      <c r="W8" s="10">
        <f t="shared" si="13"/>
        <v>0</v>
      </c>
      <c r="X8" s="10">
        <f t="shared" si="14"/>
        <v>7.24</v>
      </c>
      <c r="Y8" s="10">
        <v>0.15</v>
      </c>
      <c r="Z8" s="10">
        <f t="shared" si="2"/>
        <v>1529.7998000000009</v>
      </c>
      <c r="AA8" s="10">
        <f t="shared" si="3"/>
        <v>229.46997000000013</v>
      </c>
      <c r="AB8" s="10">
        <f t="shared" si="4"/>
        <v>1355.478000000001</v>
      </c>
      <c r="AC8" s="10">
        <f t="shared" si="5"/>
        <v>1.6265736000000011</v>
      </c>
      <c r="AD8" s="338">
        <v>2.9999999999999801E-2</v>
      </c>
      <c r="AE8" s="10">
        <f t="shared" si="6"/>
        <v>1355.478000000001</v>
      </c>
      <c r="AF8" s="10">
        <f t="shared" si="7"/>
        <v>40.664339999999761</v>
      </c>
      <c r="AG8" s="10">
        <f t="shared" si="8"/>
        <v>103.88925583199939</v>
      </c>
      <c r="AH8" s="334">
        <v>0</v>
      </c>
      <c r="AI8" s="334">
        <v>396.26</v>
      </c>
      <c r="AJ8" s="335">
        <v>7</v>
      </c>
    </row>
    <row r="9" spans="2:36" ht="20.100000000000001" customHeight="1" x14ac:dyDescent="0.2">
      <c r="B9" s="528" t="s">
        <v>521</v>
      </c>
      <c r="C9" s="336">
        <v>0</v>
      </c>
      <c r="D9" s="337" t="s">
        <v>7</v>
      </c>
      <c r="E9" s="333">
        <v>3.55</v>
      </c>
      <c r="F9" s="336">
        <v>2</v>
      </c>
      <c r="G9" s="337" t="s">
        <v>7</v>
      </c>
      <c r="H9" s="333">
        <v>6.09</v>
      </c>
      <c r="I9" s="333">
        <f t="shared" si="9"/>
        <v>42.540000000000006</v>
      </c>
      <c r="J9" s="333">
        <v>7</v>
      </c>
      <c r="K9" s="333">
        <f t="shared" si="0"/>
        <v>6.4</v>
      </c>
      <c r="L9" s="333">
        <v>44.07</v>
      </c>
      <c r="M9" s="333">
        <v>0</v>
      </c>
      <c r="N9" s="333">
        <f t="shared" si="1"/>
        <v>316.32600000000002</v>
      </c>
      <c r="O9" s="10">
        <f t="shared" si="10"/>
        <v>7.44</v>
      </c>
      <c r="P9" s="10">
        <f t="shared" si="11"/>
        <v>364.97460000000012</v>
      </c>
      <c r="Q9" s="10">
        <v>75.72</v>
      </c>
      <c r="R9" s="10">
        <v>0</v>
      </c>
      <c r="S9" s="10">
        <f t="shared" ref="S9:S11" si="15">Q9-(R9*1.3)</f>
        <v>75.72</v>
      </c>
      <c r="T9" s="10">
        <f t="shared" si="12"/>
        <v>7.24</v>
      </c>
      <c r="U9" s="10">
        <v>0</v>
      </c>
      <c r="V9" s="10">
        <v>0</v>
      </c>
      <c r="W9" s="10">
        <f t="shared" si="13"/>
        <v>0</v>
      </c>
      <c r="X9" s="10">
        <f t="shared" si="14"/>
        <v>7.24</v>
      </c>
      <c r="Y9" s="10">
        <v>0.15</v>
      </c>
      <c r="Z9" s="10">
        <f t="shared" si="2"/>
        <v>356.46660000000008</v>
      </c>
      <c r="AA9" s="10">
        <f t="shared" si="3"/>
        <v>53.46999000000001</v>
      </c>
      <c r="AB9" s="10">
        <f t="shared" si="4"/>
        <v>316.32600000000002</v>
      </c>
      <c r="AC9" s="10">
        <f t="shared" si="5"/>
        <v>0.37959120000000002</v>
      </c>
      <c r="AD9" s="338">
        <v>2.9999999999999801E-2</v>
      </c>
      <c r="AE9" s="10">
        <f t="shared" si="6"/>
        <v>316.32600000000002</v>
      </c>
      <c r="AF9" s="10">
        <f t="shared" si="7"/>
        <v>9.4897799999999375</v>
      </c>
      <c r="AG9" s="10">
        <f t="shared" si="8"/>
        <v>24.244489943999842</v>
      </c>
      <c r="AH9" s="334">
        <v>0</v>
      </c>
      <c r="AI9" s="334">
        <v>106.63</v>
      </c>
      <c r="AJ9" s="335">
        <v>0</v>
      </c>
    </row>
    <row r="10" spans="2:36" ht="20.100000000000001" customHeight="1" x14ac:dyDescent="0.2">
      <c r="B10" s="529" t="s">
        <v>559</v>
      </c>
      <c r="C10" s="336">
        <v>0</v>
      </c>
      <c r="D10" s="337" t="s">
        <v>7</v>
      </c>
      <c r="E10" s="333">
        <v>3.55</v>
      </c>
      <c r="F10" s="336">
        <v>1</v>
      </c>
      <c r="G10" s="337" t="s">
        <v>7</v>
      </c>
      <c r="H10" s="333">
        <v>18.43</v>
      </c>
      <c r="I10" s="333">
        <f t="shared" si="9"/>
        <v>34.880000000000003</v>
      </c>
      <c r="J10" s="333">
        <v>7</v>
      </c>
      <c r="K10" s="333">
        <f>+J10-0.6</f>
        <v>6.4</v>
      </c>
      <c r="L10" s="333">
        <v>0</v>
      </c>
      <c r="M10" s="333">
        <v>0</v>
      </c>
      <c r="N10" s="333">
        <f t="shared" si="1"/>
        <v>223.23200000000003</v>
      </c>
      <c r="O10" s="10">
        <f t="shared" si="10"/>
        <v>7.44</v>
      </c>
      <c r="P10" s="10">
        <f t="shared" si="11"/>
        <v>259.50720000000001</v>
      </c>
      <c r="Q10" s="497">
        <v>81.47</v>
      </c>
      <c r="R10" s="497">
        <v>0</v>
      </c>
      <c r="S10" s="497">
        <f t="shared" si="15"/>
        <v>81.47</v>
      </c>
      <c r="T10" s="10">
        <f t="shared" si="12"/>
        <v>7.24</v>
      </c>
      <c r="U10" s="10">
        <v>0</v>
      </c>
      <c r="V10" s="10">
        <v>0</v>
      </c>
      <c r="W10" s="10">
        <f t="shared" si="13"/>
        <v>0</v>
      </c>
      <c r="X10" s="10">
        <f t="shared" si="14"/>
        <v>7.24</v>
      </c>
      <c r="Y10" s="10">
        <v>0.15</v>
      </c>
      <c r="Z10" s="10">
        <f t="shared" si="2"/>
        <v>252.53120000000001</v>
      </c>
      <c r="AA10" s="10">
        <f t="shared" si="3"/>
        <v>37.87968</v>
      </c>
      <c r="AB10" s="10">
        <f t="shared" si="4"/>
        <v>223.23200000000003</v>
      </c>
      <c r="AC10" s="10">
        <f t="shared" si="5"/>
        <v>0.26787840000000002</v>
      </c>
      <c r="AD10" s="338">
        <v>2.9999999999999801E-2</v>
      </c>
      <c r="AE10" s="10">
        <f t="shared" si="6"/>
        <v>223.23200000000003</v>
      </c>
      <c r="AF10" s="10">
        <f t="shared" si="7"/>
        <v>6.6969599999999563</v>
      </c>
      <c r="AG10" s="10">
        <f t="shared" si="8"/>
        <v>17.109393407999889</v>
      </c>
      <c r="AH10" s="334">
        <v>0</v>
      </c>
      <c r="AI10" s="498">
        <v>103.77</v>
      </c>
      <c r="AJ10" s="335">
        <v>0</v>
      </c>
    </row>
    <row r="11" spans="2:36" ht="20.100000000000001" customHeight="1" x14ac:dyDescent="0.2">
      <c r="B11" s="529" t="s">
        <v>560</v>
      </c>
      <c r="C11" s="336">
        <v>0</v>
      </c>
      <c r="D11" s="337" t="s">
        <v>7</v>
      </c>
      <c r="E11" s="333">
        <v>3.43</v>
      </c>
      <c r="F11" s="336">
        <v>2</v>
      </c>
      <c r="G11" s="337" t="s">
        <v>7</v>
      </c>
      <c r="H11" s="333">
        <v>7.56</v>
      </c>
      <c r="I11" s="333">
        <f t="shared" si="9"/>
        <v>44.13</v>
      </c>
      <c r="J11" s="333">
        <v>8</v>
      </c>
      <c r="K11" s="333">
        <f t="shared" si="0"/>
        <v>7.4</v>
      </c>
      <c r="L11" s="333">
        <v>0</v>
      </c>
      <c r="M11" s="333">
        <v>0</v>
      </c>
      <c r="N11" s="333">
        <f t="shared" si="1"/>
        <v>326.56200000000001</v>
      </c>
      <c r="O11" s="10">
        <f t="shared" si="10"/>
        <v>8.44</v>
      </c>
      <c r="P11" s="10">
        <f t="shared" si="11"/>
        <v>372.4572</v>
      </c>
      <c r="Q11" s="497">
        <v>53.26</v>
      </c>
      <c r="R11" s="497">
        <v>0</v>
      </c>
      <c r="S11" s="497">
        <f t="shared" si="15"/>
        <v>53.26</v>
      </c>
      <c r="T11" s="10">
        <f t="shared" si="12"/>
        <v>8.24</v>
      </c>
      <c r="U11" s="10">
        <v>0</v>
      </c>
      <c r="V11" s="10">
        <v>0</v>
      </c>
      <c r="W11" s="10">
        <f t="shared" si="13"/>
        <v>0</v>
      </c>
      <c r="X11" s="10">
        <f t="shared" si="14"/>
        <v>8.24</v>
      </c>
      <c r="Y11" s="10">
        <v>0.15</v>
      </c>
      <c r="Z11" s="10">
        <f t="shared" si="2"/>
        <v>363.63120000000004</v>
      </c>
      <c r="AA11" s="10">
        <f t="shared" si="3"/>
        <v>54.544680000000007</v>
      </c>
      <c r="AB11" s="10">
        <f t="shared" si="4"/>
        <v>326.56200000000001</v>
      </c>
      <c r="AC11" s="10">
        <f t="shared" si="5"/>
        <v>0.39187439999999996</v>
      </c>
      <c r="AD11" s="338">
        <v>2.9999999999999801E-2</v>
      </c>
      <c r="AE11" s="10">
        <f t="shared" si="6"/>
        <v>326.56200000000001</v>
      </c>
      <c r="AF11" s="10">
        <f t="shared" si="7"/>
        <v>9.7968599999999348</v>
      </c>
      <c r="AG11" s="10">
        <f t="shared" si="8"/>
        <v>25.029017927999835</v>
      </c>
      <c r="AH11" s="334">
        <v>0</v>
      </c>
      <c r="AI11" s="498">
        <v>103.8</v>
      </c>
      <c r="AJ11" s="335">
        <v>0</v>
      </c>
    </row>
    <row r="12" spans="2:36" ht="20.100000000000001" customHeight="1" thickBot="1" x14ac:dyDescent="0.25">
      <c r="B12" s="340" t="s">
        <v>147</v>
      </c>
      <c r="C12" s="1311"/>
      <c r="D12" s="1311"/>
      <c r="E12" s="1311"/>
      <c r="F12" s="1311"/>
      <c r="G12" s="1311"/>
      <c r="H12" s="1311"/>
      <c r="I12" s="341">
        <f>SUM(I6:I11)</f>
        <v>1135.0200000000004</v>
      </c>
      <c r="J12" s="343"/>
      <c r="K12" s="344"/>
      <c r="L12" s="341">
        <f>SUM(L6:L11)</f>
        <v>316.49419999999998</v>
      </c>
      <c r="M12" s="341">
        <f>SUM(M6:M11)</f>
        <v>0</v>
      </c>
      <c r="N12" s="341">
        <f>SUM(N6:N11)</f>
        <v>7624.7522000000017</v>
      </c>
      <c r="O12" s="341"/>
      <c r="P12" s="341">
        <f>TRUNC(SUM(P6:P11),2)</f>
        <v>8836.82</v>
      </c>
      <c r="Q12" s="341">
        <f>TRUNC(SUM(Q6:Q11),2)</f>
        <v>2001.79</v>
      </c>
      <c r="R12" s="341">
        <f>TRUNC(SUM(R6:R11),2)</f>
        <v>193.22</v>
      </c>
      <c r="S12" s="341">
        <f>TRUNC(SUM(S6:S11),2)</f>
        <v>1750.6</v>
      </c>
      <c r="T12" s="343"/>
      <c r="U12" s="345"/>
      <c r="V12" s="344"/>
      <c r="W12" s="341">
        <f>SUM(W6:W11)</f>
        <v>0</v>
      </c>
      <c r="X12" s="1307"/>
      <c r="Y12" s="1307"/>
      <c r="Z12" s="341">
        <f>TRUNC(SUM(Z6:Z11),2)</f>
        <v>8609.81</v>
      </c>
      <c r="AA12" s="341">
        <f>TRUNC(SUM(AA6:AA11),2)</f>
        <v>1291.47</v>
      </c>
      <c r="AB12" s="341">
        <f>TRUNC(SUM(AB6:AB11),2)</f>
        <v>7624.75</v>
      </c>
      <c r="AC12" s="341">
        <f>TRUNC(SUM(AC6:AC11),2)</f>
        <v>9.14</v>
      </c>
      <c r="AD12" s="341"/>
      <c r="AE12" s="341">
        <f t="shared" ref="AE12:AJ12" si="16">TRUNC(SUM(AE6:AE11),2)</f>
        <v>7624.75</v>
      </c>
      <c r="AF12" s="341">
        <f t="shared" si="16"/>
        <v>228.74</v>
      </c>
      <c r="AG12" s="341">
        <f t="shared" si="16"/>
        <v>584.39</v>
      </c>
      <c r="AH12" s="341">
        <f t="shared" si="16"/>
        <v>0</v>
      </c>
      <c r="AI12" s="341">
        <f t="shared" si="16"/>
        <v>2074.5</v>
      </c>
      <c r="AJ12" s="342">
        <f t="shared" si="16"/>
        <v>14</v>
      </c>
    </row>
    <row r="13" spans="2:36" ht="20.100000000000001" customHeight="1" x14ac:dyDescent="0.2">
      <c r="B13" s="36"/>
      <c r="C13" s="37"/>
      <c r="D13" s="36"/>
      <c r="E13" s="36"/>
      <c r="F13" s="37"/>
      <c r="G13" s="37"/>
      <c r="H13" s="37"/>
      <c r="I13" s="38"/>
      <c r="J13" s="36"/>
      <c r="K13" s="36"/>
      <c r="L13" s="36"/>
      <c r="M13" s="36"/>
      <c r="N13" s="36"/>
      <c r="O13" s="36"/>
      <c r="P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2:36" ht="20.100000000000001" customHeight="1" x14ac:dyDescent="0.2">
      <c r="B14" s="36"/>
      <c r="C14" s="37"/>
      <c r="D14" s="36"/>
      <c r="E14" s="36"/>
      <c r="F14" s="37"/>
      <c r="G14" s="37"/>
      <c r="H14" s="37"/>
      <c r="I14" s="38"/>
      <c r="J14" s="36"/>
      <c r="K14" s="36"/>
      <c r="L14" s="36"/>
      <c r="M14" s="36"/>
      <c r="N14" s="36"/>
      <c r="O14" s="36"/>
      <c r="Q14" s="39" t="s">
        <v>380</v>
      </c>
      <c r="R14" s="40">
        <f>TRUNC(R12*1.3,2)</f>
        <v>251.18</v>
      </c>
      <c r="S14" s="41" t="s">
        <v>2</v>
      </c>
      <c r="T14" s="40"/>
      <c r="U14" s="39" t="s">
        <v>474</v>
      </c>
      <c r="V14" s="437">
        <f>TRUNC(W12*1.15,2)</f>
        <v>0</v>
      </c>
      <c r="W14" s="41" t="s">
        <v>2</v>
      </c>
      <c r="Y14" s="39"/>
      <c r="Z14" s="437"/>
      <c r="AA14" s="41"/>
      <c r="AD14" s="42" t="s">
        <v>403</v>
      </c>
      <c r="AE14" s="40">
        <f>TRUNC(AC12*30,2)</f>
        <v>274.2</v>
      </c>
      <c r="AF14" s="41" t="s">
        <v>39</v>
      </c>
      <c r="AH14" s="433" t="s">
        <v>469</v>
      </c>
      <c r="AI14" s="434">
        <f>TRUNC((0.0615*0.579*AI12)+(0.0285*0.579*AH12),2)</f>
        <v>73.86</v>
      </c>
      <c r="AJ14" s="435" t="s">
        <v>2</v>
      </c>
    </row>
    <row r="15" spans="2:36" ht="20.100000000000001" customHeight="1" x14ac:dyDescent="0.2">
      <c r="B15" s="43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Q15" s="39" t="s">
        <v>381</v>
      </c>
      <c r="R15" s="40">
        <f>TRUNC(Q12-R14,2)</f>
        <v>1750.61</v>
      </c>
      <c r="S15" s="41" t="s">
        <v>2</v>
      </c>
      <c r="T15" s="40"/>
      <c r="U15" s="42" t="s">
        <v>475</v>
      </c>
      <c r="V15" s="438">
        <f>TRUNC(W12*1.15,2)</f>
        <v>0</v>
      </c>
      <c r="W15" s="40" t="s">
        <v>2</v>
      </c>
      <c r="Y15" s="42" t="s">
        <v>505</v>
      </c>
      <c r="Z15" s="438">
        <f>AA12*(0.53076+0.147+0.2606+0.52829)</f>
        <v>1894.1344755</v>
      </c>
      <c r="AA15" s="40" t="s">
        <v>2</v>
      </c>
      <c r="AD15" s="42" t="s">
        <v>402</v>
      </c>
      <c r="AE15" s="40">
        <f>TRUNC(AC12*(DMT!F9-30),2)</f>
        <v>3408.3</v>
      </c>
      <c r="AF15" s="41" t="s">
        <v>39</v>
      </c>
      <c r="AH15" s="433" t="s">
        <v>470</v>
      </c>
      <c r="AI15" s="434">
        <f>TRUNC(0.033*0.579*AJ12,2)</f>
        <v>0.26</v>
      </c>
      <c r="AJ15" s="435" t="s">
        <v>2</v>
      </c>
    </row>
    <row r="16" spans="2:36" ht="20.100000000000001" customHeight="1" x14ac:dyDescent="0.2">
      <c r="B16" s="33"/>
      <c r="L16" s="33"/>
      <c r="M16" s="33"/>
      <c r="N16" s="33"/>
      <c r="P16" s="36"/>
      <c r="Q16" s="39" t="s">
        <v>148</v>
      </c>
      <c r="R16" s="40">
        <f>R12</f>
        <v>193.22</v>
      </c>
      <c r="S16" s="41" t="s">
        <v>2</v>
      </c>
      <c r="T16" s="13"/>
      <c r="U16" s="42" t="s">
        <v>476</v>
      </c>
      <c r="V16" s="36">
        <f>TRUNC(W12*1.3*DMT!F16,2)</f>
        <v>0</v>
      </c>
      <c r="W16" s="36" t="s">
        <v>8</v>
      </c>
      <c r="Y16" s="42" t="s">
        <v>579</v>
      </c>
      <c r="Z16" s="36">
        <f>TRUNC(AA12*1.3*30,2)</f>
        <v>50367.33</v>
      </c>
      <c r="AA16" s="36" t="s">
        <v>8</v>
      </c>
      <c r="AD16" s="42"/>
      <c r="AE16" s="40"/>
      <c r="AF16" s="41"/>
      <c r="AH16" s="433" t="s">
        <v>472</v>
      </c>
      <c r="AI16" s="434">
        <f>TRUNC((AI15+AI14)*30,2)</f>
        <v>2223.6</v>
      </c>
      <c r="AJ16" s="436" t="s">
        <v>8</v>
      </c>
    </row>
    <row r="17" spans="2:36" ht="20.100000000000001" customHeight="1" x14ac:dyDescent="0.2">
      <c r="B17" s="44"/>
      <c r="P17" s="36"/>
      <c r="Q17" s="39" t="s">
        <v>502</v>
      </c>
      <c r="R17" s="40">
        <f>TRUNC(S12*1.15,2)</f>
        <v>2013.19</v>
      </c>
      <c r="S17" s="41" t="s">
        <v>2</v>
      </c>
      <c r="T17" s="40"/>
      <c r="U17" s="42" t="s">
        <v>504</v>
      </c>
      <c r="V17" s="40">
        <f>W12</f>
        <v>0</v>
      </c>
      <c r="W17" s="40" t="s">
        <v>2</v>
      </c>
      <c r="Y17" s="42" t="s">
        <v>580</v>
      </c>
      <c r="Z17" s="36">
        <f>TRUNC(AA12*1.3*(DMT!F16-30),2)</f>
        <v>59433.440000000002</v>
      </c>
      <c r="AA17" s="36" t="s">
        <v>8</v>
      </c>
      <c r="AD17" s="42" t="s">
        <v>401</v>
      </c>
      <c r="AE17" s="40">
        <f>TRUNC(AF12*30,2)</f>
        <v>6862.2</v>
      </c>
      <c r="AF17" s="40" t="s">
        <v>8</v>
      </c>
      <c r="AG17" s="40"/>
      <c r="AH17" s="433" t="s">
        <v>473</v>
      </c>
      <c r="AI17" s="434">
        <f>TRUNC((AI15+AI14)*(DMT!F10-30),2)</f>
        <v>2623.84</v>
      </c>
      <c r="AJ17" s="436" t="s">
        <v>8</v>
      </c>
    </row>
    <row r="18" spans="2:36" ht="20.100000000000001" customHeight="1" x14ac:dyDescent="0.2">
      <c r="B18" s="44"/>
      <c r="N18" s="235"/>
      <c r="Q18" s="39" t="s">
        <v>503</v>
      </c>
      <c r="R18" s="40">
        <f>TRUNC(S12*1.3*DMT!F15,2)</f>
        <v>7737.65</v>
      </c>
      <c r="S18" s="41" t="s">
        <v>8</v>
      </c>
      <c r="X18" s="40"/>
      <c r="Y18" s="42" t="s">
        <v>179</v>
      </c>
      <c r="Z18" s="40">
        <f>AA12</f>
        <v>1291.47</v>
      </c>
      <c r="AA18" s="40" t="s">
        <v>2</v>
      </c>
      <c r="AD18" s="42" t="s">
        <v>471</v>
      </c>
      <c r="AE18" s="40">
        <f>TRUNC(AF12*(DMT!F7-30),2)</f>
        <v>8097.39</v>
      </c>
      <c r="AF18" s="40" t="s">
        <v>8</v>
      </c>
      <c r="AH18" s="723" t="s">
        <v>721</v>
      </c>
      <c r="AI18" s="724">
        <f>AI14+AI15</f>
        <v>74.12</v>
      </c>
    </row>
    <row r="19" spans="2:36" ht="20.100000000000001" customHeight="1" x14ac:dyDescent="0.2">
      <c r="B19" s="44"/>
      <c r="N19" s="235"/>
      <c r="Q19" s="39" t="s">
        <v>337</v>
      </c>
      <c r="R19" s="40">
        <f>S12</f>
        <v>1750.6</v>
      </c>
      <c r="S19" s="41" t="s">
        <v>2</v>
      </c>
      <c r="Y19" s="42" t="s">
        <v>338</v>
      </c>
      <c r="Z19" s="40">
        <v>0</v>
      </c>
      <c r="AA19" s="40" t="s">
        <v>1</v>
      </c>
      <c r="AJ19" s="41"/>
    </row>
    <row r="20" spans="2:36" ht="20.100000000000001" customHeight="1" x14ac:dyDescent="0.2">
      <c r="B20" s="44"/>
      <c r="Q20" s="1310"/>
      <c r="R20" s="1310"/>
      <c r="Y20" s="39"/>
      <c r="Z20" s="40"/>
      <c r="AA20" s="41"/>
      <c r="AB20" s="33"/>
    </row>
    <row r="21" spans="2:36" ht="20.100000000000001" customHeight="1" x14ac:dyDescent="0.2">
      <c r="Y21" s="39"/>
      <c r="Z21" s="40"/>
      <c r="AA21" s="41"/>
    </row>
    <row r="22" spans="2:36" ht="20.100000000000001" customHeight="1" x14ac:dyDescent="0.2"/>
  </sheetData>
  <mergeCells count="43">
    <mergeCell ref="Q7:Q8"/>
    <mergeCell ref="R7:R8"/>
    <mergeCell ref="S7:S8"/>
    <mergeCell ref="Q20:R20"/>
    <mergeCell ref="C12:H12"/>
    <mergeCell ref="X12:Y12"/>
    <mergeCell ref="AD3:AG3"/>
    <mergeCell ref="Y4:Y5"/>
    <mergeCell ref="C4:E5"/>
    <mergeCell ref="P4:P5"/>
    <mergeCell ref="Q4:Q5"/>
    <mergeCell ref="F4:H5"/>
    <mergeCell ref="O4:O5"/>
    <mergeCell ref="AA4:AA5"/>
    <mergeCell ref="AB4:AB5"/>
    <mergeCell ref="R4:R5"/>
    <mergeCell ref="S4:S5"/>
    <mergeCell ref="T4:T5"/>
    <mergeCell ref="U4:U5"/>
    <mergeCell ref="V4:V5"/>
    <mergeCell ref="Z4:Z5"/>
    <mergeCell ref="AB3:AC3"/>
    <mergeCell ref="AJ4:AJ5"/>
    <mergeCell ref="AD4:AD5"/>
    <mergeCell ref="AE4:AE5"/>
    <mergeCell ref="AF4:AF5"/>
    <mergeCell ref="AG4:AG5"/>
    <mergeCell ref="B2:AJ2"/>
    <mergeCell ref="B3:B5"/>
    <mergeCell ref="C3:H3"/>
    <mergeCell ref="I3:I5"/>
    <mergeCell ref="J3:K4"/>
    <mergeCell ref="L3:N4"/>
    <mergeCell ref="O3:P3"/>
    <mergeCell ref="Q3:S3"/>
    <mergeCell ref="T3:W3"/>
    <mergeCell ref="X3:AA3"/>
    <mergeCell ref="W4:W5"/>
    <mergeCell ref="X4:X5"/>
    <mergeCell ref="AH3:AJ3"/>
    <mergeCell ref="AC4:AC5"/>
    <mergeCell ref="AH4:AH5"/>
    <mergeCell ref="AI4:AI5"/>
  </mergeCells>
  <phoneticPr fontId="105" type="noConversion"/>
  <dataValidations disablePrompts="1" count="1">
    <dataValidation type="list" allowBlank="1" showInputMessage="1" showErrorMessage="1" sqref="WWJ983033:WWJ983039 WCR983033:WCR983039 VSV983033:VSV983039 VIZ983033:VIZ983039 UZD983033:UZD983039 UPH983033:UPH983039 UFL983033:UFL983039 TVP983033:TVP983039 TLT983033:TLT983039 TBX983033:TBX983039 SSB983033:SSB983039 SIF983033:SIF983039 RYJ983033:RYJ983039 RON983033:RON983039 RER983033:RER983039 QUV983033:QUV983039 QKZ983033:QKZ983039 QBD983033:QBD983039 PRH983033:PRH983039 PHL983033:PHL983039 OXP983033:OXP983039 ONT983033:ONT983039 ODX983033:ODX983039 NUB983033:NUB983039 NKF983033:NKF983039 NAJ983033:NAJ983039 MQN983033:MQN983039 MGR983033:MGR983039 LWV983033:LWV983039 LMZ983033:LMZ983039 LDD983033:LDD983039 KTH983033:KTH983039 KJL983033:KJL983039 JZP983033:JZP983039 JPT983033:JPT983039 JFX983033:JFX983039 IWB983033:IWB983039 IMF983033:IMF983039 ICJ983033:ICJ983039 HSN983033:HSN983039 HIR983033:HIR983039 GYV983033:GYV983039 GOZ983033:GOZ983039 GFD983033:GFD983039 FVH983033:FVH983039 FLL983033:FLL983039 FBP983033:FBP983039 ERT983033:ERT983039 EHX983033:EHX983039 DYB983033:DYB983039 DOF983033:DOF983039 DEJ983033:DEJ983039 CUN983033:CUN983039 CKR983033:CKR983039 CAV983033:CAV983039 BQZ983033:BQZ983039 BHD983033:BHD983039 AXH983033:AXH983039 ANL983033:ANL983039 ADP983033:ADP983039 TT983033:TT983039 JX983033:JX983039 WWJ917497:WWJ917503 WMN917497:WMN917503 WCR917497:WCR917503 VSV917497:VSV917503 VIZ917497:VIZ917503 UZD917497:UZD917503 UPH917497:UPH917503 UFL917497:UFL917503 TVP917497:TVP917503 TLT917497:TLT917503 TBX917497:TBX917503 SSB917497:SSB917503 SIF917497:SIF917503 RYJ917497:RYJ917503 RON917497:RON917503 RER917497:RER917503 QUV917497:QUV917503 QKZ917497:QKZ917503 QBD917497:QBD917503 PRH917497:PRH917503 PHL917497:PHL917503 OXP917497:OXP917503 ONT917497:ONT917503 ODX917497:ODX917503 NUB917497:NUB917503 NKF917497:NKF917503 NAJ917497:NAJ917503 MQN917497:MQN917503 MGR917497:MGR917503 LWV917497:LWV917503 LMZ917497:LMZ917503 LDD917497:LDD917503 KTH917497:KTH917503 KJL917497:KJL917503 JZP917497:JZP917503 JPT917497:JPT917503 JFX917497:JFX917503 IWB917497:IWB917503 IMF917497:IMF917503 ICJ917497:ICJ917503 HSN917497:HSN917503 HIR917497:HIR917503 GYV917497:GYV917503 GOZ917497:GOZ917503 GFD917497:GFD917503 FVH917497:FVH917503 FLL917497:FLL917503 FBP917497:FBP917503 ERT917497:ERT917503 EHX917497:EHX917503 DYB917497:DYB917503 DOF917497:DOF917503 DEJ917497:DEJ917503 CUN917497:CUN917503 CKR917497:CKR917503 CAV917497:CAV917503 BQZ917497:BQZ917503 BHD917497:BHD917503 AXH917497:AXH917503 ANL917497:ANL917503 ADP917497:ADP917503 TT917497:TT917503 JX917497:JX917503 WWJ851961:WWJ851967 WMN851961:WMN851967 WCR851961:WCR851967 VSV851961:VSV851967 VIZ851961:VIZ851967 UZD851961:UZD851967 UPH851961:UPH851967 UFL851961:UFL851967 TVP851961:TVP851967 TLT851961:TLT851967 TBX851961:TBX851967 SSB851961:SSB851967 SIF851961:SIF851967 RYJ851961:RYJ851967 RON851961:RON851967 RER851961:RER851967 QUV851961:QUV851967 QKZ851961:QKZ851967 QBD851961:QBD851967 PRH851961:PRH851967 PHL851961:PHL851967 OXP851961:OXP851967 ONT851961:ONT851967 ODX851961:ODX851967 NUB851961:NUB851967 NKF851961:NKF851967 NAJ851961:NAJ851967 MQN851961:MQN851967 MGR851961:MGR851967 LWV851961:LWV851967 LMZ851961:LMZ851967 LDD851961:LDD851967 KTH851961:KTH851967 KJL851961:KJL851967 JZP851961:JZP851967 JPT851961:JPT851967 JFX851961:JFX851967 IWB851961:IWB851967 IMF851961:IMF851967 ICJ851961:ICJ851967 HSN851961:HSN851967 HIR851961:HIR851967 GYV851961:GYV851967 GOZ851961:GOZ851967 GFD851961:GFD851967 FVH851961:FVH851967 FLL851961:FLL851967 FBP851961:FBP851967 ERT851961:ERT851967 EHX851961:EHX851967 DYB851961:DYB851967 DOF851961:DOF851967 DEJ851961:DEJ851967 CUN851961:CUN851967 CKR851961:CKR851967 CAV851961:CAV851967 BQZ851961:BQZ851967 BHD851961:BHD851967 AXH851961:AXH851967 ANL851961:ANL851967 ADP851961:ADP851967 TT851961:TT851967 JX851961:JX851967 WWJ786425:WWJ786431 WMN786425:WMN786431 WCR786425:WCR786431 VSV786425:VSV786431 VIZ786425:VIZ786431 UZD786425:UZD786431 UPH786425:UPH786431 UFL786425:UFL786431 TVP786425:TVP786431 TLT786425:TLT786431 TBX786425:TBX786431 SSB786425:SSB786431 SIF786425:SIF786431 RYJ786425:RYJ786431 RON786425:RON786431 RER786425:RER786431 QUV786425:QUV786431 QKZ786425:QKZ786431 QBD786425:QBD786431 PRH786425:PRH786431 PHL786425:PHL786431 OXP786425:OXP786431 ONT786425:ONT786431 ODX786425:ODX786431 NUB786425:NUB786431 NKF786425:NKF786431 NAJ786425:NAJ786431 MQN786425:MQN786431 MGR786425:MGR786431 LWV786425:LWV786431 LMZ786425:LMZ786431 LDD786425:LDD786431 KTH786425:KTH786431 KJL786425:KJL786431 JZP786425:JZP786431 JPT786425:JPT786431 JFX786425:JFX786431 IWB786425:IWB786431 IMF786425:IMF786431 ICJ786425:ICJ786431 HSN786425:HSN786431 HIR786425:HIR786431 GYV786425:GYV786431 GOZ786425:GOZ786431 GFD786425:GFD786431 FVH786425:FVH786431 FLL786425:FLL786431 FBP786425:FBP786431 ERT786425:ERT786431 EHX786425:EHX786431 DYB786425:DYB786431 DOF786425:DOF786431 DEJ786425:DEJ786431 CUN786425:CUN786431 CKR786425:CKR786431 CAV786425:CAV786431 BQZ786425:BQZ786431 BHD786425:BHD786431 AXH786425:AXH786431 ANL786425:ANL786431 ADP786425:ADP786431 TT786425:TT786431 JX786425:JX786431 WWJ720889:WWJ720895 WMN720889:WMN720895 WCR720889:WCR720895 VSV720889:VSV720895 VIZ720889:VIZ720895 UZD720889:UZD720895 UPH720889:UPH720895 UFL720889:UFL720895 TVP720889:TVP720895 TLT720889:TLT720895 TBX720889:TBX720895 SSB720889:SSB720895 SIF720889:SIF720895 RYJ720889:RYJ720895 RON720889:RON720895 RER720889:RER720895 QUV720889:QUV720895 QKZ720889:QKZ720895 QBD720889:QBD720895 PRH720889:PRH720895 PHL720889:PHL720895 OXP720889:OXP720895 ONT720889:ONT720895 ODX720889:ODX720895 NUB720889:NUB720895 NKF720889:NKF720895 NAJ720889:NAJ720895 MQN720889:MQN720895 MGR720889:MGR720895 LWV720889:LWV720895 LMZ720889:LMZ720895 LDD720889:LDD720895 KTH720889:KTH720895 KJL720889:KJL720895 JZP720889:JZP720895 JPT720889:JPT720895 JFX720889:JFX720895 IWB720889:IWB720895 IMF720889:IMF720895 ICJ720889:ICJ720895 HSN720889:HSN720895 HIR720889:HIR720895 GYV720889:GYV720895 GOZ720889:GOZ720895 GFD720889:GFD720895 FVH720889:FVH720895 FLL720889:FLL720895 FBP720889:FBP720895 ERT720889:ERT720895 EHX720889:EHX720895 DYB720889:DYB720895 DOF720889:DOF720895 DEJ720889:DEJ720895 CUN720889:CUN720895 CKR720889:CKR720895 CAV720889:CAV720895 BQZ720889:BQZ720895 BHD720889:BHD720895 AXH720889:AXH720895 ANL720889:ANL720895 ADP720889:ADP720895 TT720889:TT720895 JX720889:JX720895 WWJ655353:WWJ655359 WMN655353:WMN655359 WCR655353:WCR655359 VSV655353:VSV655359 VIZ655353:VIZ655359 UZD655353:UZD655359 UPH655353:UPH655359 UFL655353:UFL655359 TVP655353:TVP655359 TLT655353:TLT655359 TBX655353:TBX655359 SSB655353:SSB655359 SIF655353:SIF655359 RYJ655353:RYJ655359 RON655353:RON655359 RER655353:RER655359 QUV655353:QUV655359 QKZ655353:QKZ655359 QBD655353:QBD655359 PRH655353:PRH655359 PHL655353:PHL655359 OXP655353:OXP655359 ONT655353:ONT655359 ODX655353:ODX655359 NUB655353:NUB655359 NKF655353:NKF655359 NAJ655353:NAJ655359 MQN655353:MQN655359 MGR655353:MGR655359 LWV655353:LWV655359 LMZ655353:LMZ655359 LDD655353:LDD655359 KTH655353:KTH655359 KJL655353:KJL655359 JZP655353:JZP655359 JPT655353:JPT655359 JFX655353:JFX655359 IWB655353:IWB655359 IMF655353:IMF655359 ICJ655353:ICJ655359 HSN655353:HSN655359 HIR655353:HIR655359 GYV655353:GYV655359 GOZ655353:GOZ655359 GFD655353:GFD655359 FVH655353:FVH655359 FLL655353:FLL655359 FBP655353:FBP655359 ERT655353:ERT655359 EHX655353:EHX655359 DYB655353:DYB655359 DOF655353:DOF655359 DEJ655353:DEJ655359 CUN655353:CUN655359 CKR655353:CKR655359 CAV655353:CAV655359 BQZ655353:BQZ655359 BHD655353:BHD655359 AXH655353:AXH655359 ANL655353:ANL655359 ADP655353:ADP655359 TT655353:TT655359 JX655353:JX655359 WWJ589817:WWJ589823 WMN589817:WMN589823 WCR589817:WCR589823 VSV589817:VSV589823 VIZ589817:VIZ589823 UZD589817:UZD589823 UPH589817:UPH589823 UFL589817:UFL589823 TVP589817:TVP589823 TLT589817:TLT589823 TBX589817:TBX589823 SSB589817:SSB589823 SIF589817:SIF589823 RYJ589817:RYJ589823 RON589817:RON589823 RER589817:RER589823 QUV589817:QUV589823 QKZ589817:QKZ589823 QBD589817:QBD589823 PRH589817:PRH589823 PHL589817:PHL589823 OXP589817:OXP589823 ONT589817:ONT589823 ODX589817:ODX589823 NUB589817:NUB589823 NKF589817:NKF589823 NAJ589817:NAJ589823 MQN589817:MQN589823 MGR589817:MGR589823 LWV589817:LWV589823 LMZ589817:LMZ589823 LDD589817:LDD589823 KTH589817:KTH589823 KJL589817:KJL589823 JZP589817:JZP589823 JPT589817:JPT589823 JFX589817:JFX589823 IWB589817:IWB589823 IMF589817:IMF589823 ICJ589817:ICJ589823 HSN589817:HSN589823 HIR589817:HIR589823 GYV589817:GYV589823 GOZ589817:GOZ589823 GFD589817:GFD589823 FVH589817:FVH589823 FLL589817:FLL589823 FBP589817:FBP589823 ERT589817:ERT589823 EHX589817:EHX589823 DYB589817:DYB589823 DOF589817:DOF589823 DEJ589817:DEJ589823 CUN589817:CUN589823 CKR589817:CKR589823 CAV589817:CAV589823 BQZ589817:BQZ589823 BHD589817:BHD589823 AXH589817:AXH589823 ANL589817:ANL589823 ADP589817:ADP589823 TT589817:TT589823 JX589817:JX589823 WWJ524281:WWJ524287 WMN524281:WMN524287 WCR524281:WCR524287 VSV524281:VSV524287 VIZ524281:VIZ524287 UZD524281:UZD524287 UPH524281:UPH524287 UFL524281:UFL524287 TVP524281:TVP524287 TLT524281:TLT524287 TBX524281:TBX524287 SSB524281:SSB524287 SIF524281:SIF524287 RYJ524281:RYJ524287 RON524281:RON524287 RER524281:RER524287 QUV524281:QUV524287 QKZ524281:QKZ524287 QBD524281:QBD524287 PRH524281:PRH524287 PHL524281:PHL524287 OXP524281:OXP524287 ONT524281:ONT524287 ODX524281:ODX524287 NUB524281:NUB524287 NKF524281:NKF524287 NAJ524281:NAJ524287 MQN524281:MQN524287 MGR524281:MGR524287 LWV524281:LWV524287 LMZ524281:LMZ524287 LDD524281:LDD524287 KTH524281:KTH524287 KJL524281:KJL524287 JZP524281:JZP524287 JPT524281:JPT524287 JFX524281:JFX524287 IWB524281:IWB524287 IMF524281:IMF524287 ICJ524281:ICJ524287 HSN524281:HSN524287 HIR524281:HIR524287 GYV524281:GYV524287 GOZ524281:GOZ524287 GFD524281:GFD524287 FVH524281:FVH524287 FLL524281:FLL524287 FBP524281:FBP524287 ERT524281:ERT524287 EHX524281:EHX524287 DYB524281:DYB524287 DOF524281:DOF524287 DEJ524281:DEJ524287 CUN524281:CUN524287 CKR524281:CKR524287 CAV524281:CAV524287 BQZ524281:BQZ524287 BHD524281:BHD524287 AXH524281:AXH524287 ANL524281:ANL524287 ADP524281:ADP524287 TT524281:TT524287 JX524281:JX524287 WWJ458745:WWJ458751 WMN458745:WMN458751 WCR458745:WCR458751 VSV458745:VSV458751 VIZ458745:VIZ458751 UZD458745:UZD458751 UPH458745:UPH458751 UFL458745:UFL458751 TVP458745:TVP458751 TLT458745:TLT458751 TBX458745:TBX458751 SSB458745:SSB458751 SIF458745:SIF458751 RYJ458745:RYJ458751 RON458745:RON458751 RER458745:RER458751 QUV458745:QUV458751 QKZ458745:QKZ458751 QBD458745:QBD458751 PRH458745:PRH458751 PHL458745:PHL458751 OXP458745:OXP458751 ONT458745:ONT458751 ODX458745:ODX458751 NUB458745:NUB458751 NKF458745:NKF458751 NAJ458745:NAJ458751 MQN458745:MQN458751 MGR458745:MGR458751 LWV458745:LWV458751 LMZ458745:LMZ458751 LDD458745:LDD458751 KTH458745:KTH458751 KJL458745:KJL458751 JZP458745:JZP458751 JPT458745:JPT458751 JFX458745:JFX458751 IWB458745:IWB458751 IMF458745:IMF458751 ICJ458745:ICJ458751 HSN458745:HSN458751 HIR458745:HIR458751 GYV458745:GYV458751 GOZ458745:GOZ458751 GFD458745:GFD458751 FVH458745:FVH458751 FLL458745:FLL458751 FBP458745:FBP458751 ERT458745:ERT458751 EHX458745:EHX458751 DYB458745:DYB458751 DOF458745:DOF458751 DEJ458745:DEJ458751 CUN458745:CUN458751 CKR458745:CKR458751 CAV458745:CAV458751 BQZ458745:BQZ458751 BHD458745:BHD458751 AXH458745:AXH458751 ANL458745:ANL458751 ADP458745:ADP458751 TT458745:TT458751 JX458745:JX458751 WWJ393209:WWJ393215 WMN393209:WMN393215 WCR393209:WCR393215 VSV393209:VSV393215 VIZ393209:VIZ393215 UZD393209:UZD393215 UPH393209:UPH393215 UFL393209:UFL393215 TVP393209:TVP393215 TLT393209:TLT393215 TBX393209:TBX393215 SSB393209:SSB393215 SIF393209:SIF393215 RYJ393209:RYJ393215 RON393209:RON393215 RER393209:RER393215 QUV393209:QUV393215 QKZ393209:QKZ393215 QBD393209:QBD393215 PRH393209:PRH393215 PHL393209:PHL393215 OXP393209:OXP393215 ONT393209:ONT393215 ODX393209:ODX393215 NUB393209:NUB393215 NKF393209:NKF393215 NAJ393209:NAJ393215 MQN393209:MQN393215 MGR393209:MGR393215 LWV393209:LWV393215 LMZ393209:LMZ393215 LDD393209:LDD393215 KTH393209:KTH393215 KJL393209:KJL393215 JZP393209:JZP393215 JPT393209:JPT393215 JFX393209:JFX393215 IWB393209:IWB393215 IMF393209:IMF393215 ICJ393209:ICJ393215 HSN393209:HSN393215 HIR393209:HIR393215 GYV393209:GYV393215 GOZ393209:GOZ393215 GFD393209:GFD393215 FVH393209:FVH393215 FLL393209:FLL393215 FBP393209:FBP393215 ERT393209:ERT393215 EHX393209:EHX393215 DYB393209:DYB393215 DOF393209:DOF393215 DEJ393209:DEJ393215 CUN393209:CUN393215 CKR393209:CKR393215 CAV393209:CAV393215 BQZ393209:BQZ393215 BHD393209:BHD393215 AXH393209:AXH393215 ANL393209:ANL393215 ADP393209:ADP393215 TT393209:TT393215 JX393209:JX393215 WWJ327673:WWJ327679 WMN327673:WMN327679 WCR327673:WCR327679 VSV327673:VSV327679 VIZ327673:VIZ327679 UZD327673:UZD327679 UPH327673:UPH327679 UFL327673:UFL327679 TVP327673:TVP327679 TLT327673:TLT327679 TBX327673:TBX327679 SSB327673:SSB327679 SIF327673:SIF327679 RYJ327673:RYJ327679 RON327673:RON327679 RER327673:RER327679 QUV327673:QUV327679 QKZ327673:QKZ327679 QBD327673:QBD327679 PRH327673:PRH327679 PHL327673:PHL327679 OXP327673:OXP327679 ONT327673:ONT327679 ODX327673:ODX327679 NUB327673:NUB327679 NKF327673:NKF327679 NAJ327673:NAJ327679 MQN327673:MQN327679 MGR327673:MGR327679 LWV327673:LWV327679 LMZ327673:LMZ327679 LDD327673:LDD327679 KTH327673:KTH327679 KJL327673:KJL327679 JZP327673:JZP327679 JPT327673:JPT327679 JFX327673:JFX327679 IWB327673:IWB327679 IMF327673:IMF327679 ICJ327673:ICJ327679 HSN327673:HSN327679 HIR327673:HIR327679 GYV327673:GYV327679 GOZ327673:GOZ327679 GFD327673:GFD327679 FVH327673:FVH327679 FLL327673:FLL327679 FBP327673:FBP327679 ERT327673:ERT327679 EHX327673:EHX327679 DYB327673:DYB327679 DOF327673:DOF327679 DEJ327673:DEJ327679 CUN327673:CUN327679 CKR327673:CKR327679 CAV327673:CAV327679 BQZ327673:BQZ327679 BHD327673:BHD327679 AXH327673:AXH327679 ANL327673:ANL327679 ADP327673:ADP327679 TT327673:TT327679 JX327673:JX327679 WWJ262137:WWJ262143 WMN262137:WMN262143 WCR262137:WCR262143 VSV262137:VSV262143 VIZ262137:VIZ262143 UZD262137:UZD262143 UPH262137:UPH262143 UFL262137:UFL262143 TVP262137:TVP262143 TLT262137:TLT262143 TBX262137:TBX262143 SSB262137:SSB262143 SIF262137:SIF262143 RYJ262137:RYJ262143 RON262137:RON262143 RER262137:RER262143 QUV262137:QUV262143 QKZ262137:QKZ262143 QBD262137:QBD262143 PRH262137:PRH262143 PHL262137:PHL262143 OXP262137:OXP262143 ONT262137:ONT262143 ODX262137:ODX262143 NUB262137:NUB262143 NKF262137:NKF262143 NAJ262137:NAJ262143 MQN262137:MQN262143 MGR262137:MGR262143 LWV262137:LWV262143 LMZ262137:LMZ262143 LDD262137:LDD262143 KTH262137:KTH262143 KJL262137:KJL262143 JZP262137:JZP262143 JPT262137:JPT262143 JFX262137:JFX262143 IWB262137:IWB262143 IMF262137:IMF262143 ICJ262137:ICJ262143 HSN262137:HSN262143 HIR262137:HIR262143 GYV262137:GYV262143 GOZ262137:GOZ262143 GFD262137:GFD262143 FVH262137:FVH262143 FLL262137:FLL262143 FBP262137:FBP262143 ERT262137:ERT262143 EHX262137:EHX262143 DYB262137:DYB262143 DOF262137:DOF262143 DEJ262137:DEJ262143 CUN262137:CUN262143 CKR262137:CKR262143 CAV262137:CAV262143 BQZ262137:BQZ262143 BHD262137:BHD262143 AXH262137:AXH262143 ANL262137:ANL262143 ADP262137:ADP262143 TT262137:TT262143 JX262137:JX262143 WWJ196601:WWJ196607 WMN196601:WMN196607 WCR196601:WCR196607 VSV196601:VSV196607 VIZ196601:VIZ196607 UZD196601:UZD196607 UPH196601:UPH196607 UFL196601:UFL196607 TVP196601:TVP196607 TLT196601:TLT196607 TBX196601:TBX196607 SSB196601:SSB196607 SIF196601:SIF196607 RYJ196601:RYJ196607 RON196601:RON196607 RER196601:RER196607 QUV196601:QUV196607 QKZ196601:QKZ196607 QBD196601:QBD196607 PRH196601:PRH196607 PHL196601:PHL196607 OXP196601:OXP196607 ONT196601:ONT196607 ODX196601:ODX196607 NUB196601:NUB196607 NKF196601:NKF196607 NAJ196601:NAJ196607 MQN196601:MQN196607 MGR196601:MGR196607 LWV196601:LWV196607 LMZ196601:LMZ196607 LDD196601:LDD196607 KTH196601:KTH196607 KJL196601:KJL196607 JZP196601:JZP196607 JPT196601:JPT196607 JFX196601:JFX196607 IWB196601:IWB196607 IMF196601:IMF196607 ICJ196601:ICJ196607 HSN196601:HSN196607 HIR196601:HIR196607 GYV196601:GYV196607 GOZ196601:GOZ196607 GFD196601:GFD196607 FVH196601:FVH196607 FLL196601:FLL196607 FBP196601:FBP196607 ERT196601:ERT196607 EHX196601:EHX196607 DYB196601:DYB196607 DOF196601:DOF196607 DEJ196601:DEJ196607 CUN196601:CUN196607 CKR196601:CKR196607 CAV196601:CAV196607 BQZ196601:BQZ196607 BHD196601:BHD196607 AXH196601:AXH196607 ANL196601:ANL196607 ADP196601:ADP196607 TT196601:TT196607 JX196601:JX196607 WWJ131065:WWJ131071 WMN131065:WMN131071 WCR131065:WCR131071 VSV131065:VSV131071 VIZ131065:VIZ131071 UZD131065:UZD131071 UPH131065:UPH131071 UFL131065:UFL131071 TVP131065:TVP131071 TLT131065:TLT131071 TBX131065:TBX131071 SSB131065:SSB131071 SIF131065:SIF131071 RYJ131065:RYJ131071 RON131065:RON131071 RER131065:RER131071 QUV131065:QUV131071 QKZ131065:QKZ131071 QBD131065:QBD131071 PRH131065:PRH131071 PHL131065:PHL131071 OXP131065:OXP131071 ONT131065:ONT131071 ODX131065:ODX131071 NUB131065:NUB131071 NKF131065:NKF131071 NAJ131065:NAJ131071 MQN131065:MQN131071 MGR131065:MGR131071 LWV131065:LWV131071 LMZ131065:LMZ131071 LDD131065:LDD131071 KTH131065:KTH131071 KJL131065:KJL131071 JZP131065:JZP131071 JPT131065:JPT131071 JFX131065:JFX131071 IWB131065:IWB131071 IMF131065:IMF131071 ICJ131065:ICJ131071 HSN131065:HSN131071 HIR131065:HIR131071 GYV131065:GYV131071 GOZ131065:GOZ131071 GFD131065:GFD131071 FVH131065:FVH131071 FLL131065:FLL131071 FBP131065:FBP131071 ERT131065:ERT131071 EHX131065:EHX131071 DYB131065:DYB131071 DOF131065:DOF131071 DEJ131065:DEJ131071 CUN131065:CUN131071 CKR131065:CKR131071 CAV131065:CAV131071 BQZ131065:BQZ131071 BHD131065:BHD131071 AXH131065:AXH131071 ANL131065:ANL131071 ADP131065:ADP131071 TT131065:TT131071 JX131065:JX131071 WWJ65529:WWJ65535 WMN65529:WMN65535 WCR65529:WCR65535 VSV65529:VSV65535 VIZ65529:VIZ65535 UZD65529:UZD65535 UPH65529:UPH65535 UFL65529:UFL65535 TVP65529:TVP65535 TLT65529:TLT65535 TBX65529:TBX65535 SSB65529:SSB65535 SIF65529:SIF65535 RYJ65529:RYJ65535 RON65529:RON65535 RER65529:RER65535 QUV65529:QUV65535 QKZ65529:QKZ65535 QBD65529:QBD65535 PRH65529:PRH65535 PHL65529:PHL65535 OXP65529:OXP65535 ONT65529:ONT65535 ODX65529:ODX65535 NUB65529:NUB65535 NKF65529:NKF65535 NAJ65529:NAJ65535 MQN65529:MQN65535 MGR65529:MGR65535 LWV65529:LWV65535 LMZ65529:LMZ65535 LDD65529:LDD65535 KTH65529:KTH65535 KJL65529:KJL65535 JZP65529:JZP65535 JPT65529:JPT65535 JFX65529:JFX65535 IWB65529:IWB65535 IMF65529:IMF65535 ICJ65529:ICJ65535 HSN65529:HSN65535 HIR65529:HIR65535 GYV65529:GYV65535 GOZ65529:GOZ65535 GFD65529:GFD65535 FVH65529:FVH65535 FLL65529:FLL65535 FBP65529:FBP65535 ERT65529:ERT65535 EHX65529:EHX65535 DYB65529:DYB65535 DOF65529:DOF65535 DEJ65529:DEJ65535 CUN65529:CUN65535 CKR65529:CKR65535 CAV65529:CAV65535 BQZ65529:BQZ65535 BHD65529:BHD65535 AXH65529:AXH65535 ANL65529:ANL65535 ADP65529:ADP65535 TT65529:TT65535 JX65529:JX65535 WMN983033:WMN983039 WWR983033:WWR983039 KF65529:KF65535 UB65529:UB65535 ADX65529:ADX65535 ANT65529:ANT65535 AXP65529:AXP65535 BHL65529:BHL65535 BRH65529:BRH65535 CBD65529:CBD65535 CKZ65529:CKZ65535 CUV65529:CUV65535 DER65529:DER65535 DON65529:DON65535 DYJ65529:DYJ65535 EIF65529:EIF65535 ESB65529:ESB65535 FBX65529:FBX65535 FLT65529:FLT65535 FVP65529:FVP65535 GFL65529:GFL65535 GPH65529:GPH65535 GZD65529:GZD65535 HIZ65529:HIZ65535 HSV65529:HSV65535 ICR65529:ICR65535 IMN65529:IMN65535 IWJ65529:IWJ65535 JGF65529:JGF65535 JQB65529:JQB65535 JZX65529:JZX65535 KJT65529:KJT65535 KTP65529:KTP65535 LDL65529:LDL65535 LNH65529:LNH65535 LXD65529:LXD65535 MGZ65529:MGZ65535 MQV65529:MQV65535 NAR65529:NAR65535 NKN65529:NKN65535 NUJ65529:NUJ65535 OEF65529:OEF65535 OOB65529:OOB65535 OXX65529:OXX65535 PHT65529:PHT65535 PRP65529:PRP65535 QBL65529:QBL65535 QLH65529:QLH65535 QVD65529:QVD65535 REZ65529:REZ65535 ROV65529:ROV65535 RYR65529:RYR65535 SIN65529:SIN65535 SSJ65529:SSJ65535 TCF65529:TCF65535 TMB65529:TMB65535 TVX65529:TVX65535 UFT65529:UFT65535 UPP65529:UPP65535 UZL65529:UZL65535 VJH65529:VJH65535 VTD65529:VTD65535 WCZ65529:WCZ65535 WMV65529:WMV65535 WWR65529:WWR65535 KF131065:KF131071 UB131065:UB131071 ADX131065:ADX131071 ANT131065:ANT131071 AXP131065:AXP131071 BHL131065:BHL131071 BRH131065:BRH131071 CBD131065:CBD131071 CKZ131065:CKZ131071 CUV131065:CUV131071 DER131065:DER131071 DON131065:DON131071 DYJ131065:DYJ131071 EIF131065:EIF131071 ESB131065:ESB131071 FBX131065:FBX131071 FLT131065:FLT131071 FVP131065:FVP131071 GFL131065:GFL131071 GPH131065:GPH131071 GZD131065:GZD131071 HIZ131065:HIZ131071 HSV131065:HSV131071 ICR131065:ICR131071 IMN131065:IMN131071 IWJ131065:IWJ131071 JGF131065:JGF131071 JQB131065:JQB131071 JZX131065:JZX131071 KJT131065:KJT131071 KTP131065:KTP131071 LDL131065:LDL131071 LNH131065:LNH131071 LXD131065:LXD131071 MGZ131065:MGZ131071 MQV131065:MQV131071 NAR131065:NAR131071 NKN131065:NKN131071 NUJ131065:NUJ131071 OEF131065:OEF131071 OOB131065:OOB131071 OXX131065:OXX131071 PHT131065:PHT131071 PRP131065:PRP131071 QBL131065:QBL131071 QLH131065:QLH131071 QVD131065:QVD131071 REZ131065:REZ131071 ROV131065:ROV131071 RYR131065:RYR131071 SIN131065:SIN131071 SSJ131065:SSJ131071 TCF131065:TCF131071 TMB131065:TMB131071 TVX131065:TVX131071 UFT131065:UFT131071 UPP131065:UPP131071 UZL131065:UZL131071 VJH131065:VJH131071 VTD131065:VTD131071 WCZ131065:WCZ131071 WMV131065:WMV131071 WWR131065:WWR131071 KF196601:KF196607 UB196601:UB196607 ADX196601:ADX196607 ANT196601:ANT196607 AXP196601:AXP196607 BHL196601:BHL196607 BRH196601:BRH196607 CBD196601:CBD196607 CKZ196601:CKZ196607 CUV196601:CUV196607 DER196601:DER196607 DON196601:DON196607 DYJ196601:DYJ196607 EIF196601:EIF196607 ESB196601:ESB196607 FBX196601:FBX196607 FLT196601:FLT196607 FVP196601:FVP196607 GFL196601:GFL196607 GPH196601:GPH196607 GZD196601:GZD196607 HIZ196601:HIZ196607 HSV196601:HSV196607 ICR196601:ICR196607 IMN196601:IMN196607 IWJ196601:IWJ196607 JGF196601:JGF196607 JQB196601:JQB196607 JZX196601:JZX196607 KJT196601:KJT196607 KTP196601:KTP196607 LDL196601:LDL196607 LNH196601:LNH196607 LXD196601:LXD196607 MGZ196601:MGZ196607 MQV196601:MQV196607 NAR196601:NAR196607 NKN196601:NKN196607 NUJ196601:NUJ196607 OEF196601:OEF196607 OOB196601:OOB196607 OXX196601:OXX196607 PHT196601:PHT196607 PRP196601:PRP196607 QBL196601:QBL196607 QLH196601:QLH196607 QVD196601:QVD196607 REZ196601:REZ196607 ROV196601:ROV196607 RYR196601:RYR196607 SIN196601:SIN196607 SSJ196601:SSJ196607 TCF196601:TCF196607 TMB196601:TMB196607 TVX196601:TVX196607 UFT196601:UFT196607 UPP196601:UPP196607 UZL196601:UZL196607 VJH196601:VJH196607 VTD196601:VTD196607 WCZ196601:WCZ196607 WMV196601:WMV196607 WWR196601:WWR196607 KF262137:KF262143 UB262137:UB262143 ADX262137:ADX262143 ANT262137:ANT262143 AXP262137:AXP262143 BHL262137:BHL262143 BRH262137:BRH262143 CBD262137:CBD262143 CKZ262137:CKZ262143 CUV262137:CUV262143 DER262137:DER262143 DON262137:DON262143 DYJ262137:DYJ262143 EIF262137:EIF262143 ESB262137:ESB262143 FBX262137:FBX262143 FLT262137:FLT262143 FVP262137:FVP262143 GFL262137:GFL262143 GPH262137:GPH262143 GZD262137:GZD262143 HIZ262137:HIZ262143 HSV262137:HSV262143 ICR262137:ICR262143 IMN262137:IMN262143 IWJ262137:IWJ262143 JGF262137:JGF262143 JQB262137:JQB262143 JZX262137:JZX262143 KJT262137:KJT262143 KTP262137:KTP262143 LDL262137:LDL262143 LNH262137:LNH262143 LXD262137:LXD262143 MGZ262137:MGZ262143 MQV262137:MQV262143 NAR262137:NAR262143 NKN262137:NKN262143 NUJ262137:NUJ262143 OEF262137:OEF262143 OOB262137:OOB262143 OXX262137:OXX262143 PHT262137:PHT262143 PRP262137:PRP262143 QBL262137:QBL262143 QLH262137:QLH262143 QVD262137:QVD262143 REZ262137:REZ262143 ROV262137:ROV262143 RYR262137:RYR262143 SIN262137:SIN262143 SSJ262137:SSJ262143 TCF262137:TCF262143 TMB262137:TMB262143 TVX262137:TVX262143 UFT262137:UFT262143 UPP262137:UPP262143 UZL262137:UZL262143 VJH262137:VJH262143 VTD262137:VTD262143 WCZ262137:WCZ262143 WMV262137:WMV262143 WWR262137:WWR262143 KF327673:KF327679 UB327673:UB327679 ADX327673:ADX327679 ANT327673:ANT327679 AXP327673:AXP327679 BHL327673:BHL327679 BRH327673:BRH327679 CBD327673:CBD327679 CKZ327673:CKZ327679 CUV327673:CUV327679 DER327673:DER327679 DON327673:DON327679 DYJ327673:DYJ327679 EIF327673:EIF327679 ESB327673:ESB327679 FBX327673:FBX327679 FLT327673:FLT327679 FVP327673:FVP327679 GFL327673:GFL327679 GPH327673:GPH327679 GZD327673:GZD327679 HIZ327673:HIZ327679 HSV327673:HSV327679 ICR327673:ICR327679 IMN327673:IMN327679 IWJ327673:IWJ327679 JGF327673:JGF327679 JQB327673:JQB327679 JZX327673:JZX327679 KJT327673:KJT327679 KTP327673:KTP327679 LDL327673:LDL327679 LNH327673:LNH327679 LXD327673:LXD327679 MGZ327673:MGZ327679 MQV327673:MQV327679 NAR327673:NAR327679 NKN327673:NKN327679 NUJ327673:NUJ327679 OEF327673:OEF327679 OOB327673:OOB327679 OXX327673:OXX327679 PHT327673:PHT327679 PRP327673:PRP327679 QBL327673:QBL327679 QLH327673:QLH327679 QVD327673:QVD327679 REZ327673:REZ327679 ROV327673:ROV327679 RYR327673:RYR327679 SIN327673:SIN327679 SSJ327673:SSJ327679 TCF327673:TCF327679 TMB327673:TMB327679 TVX327673:TVX327679 UFT327673:UFT327679 UPP327673:UPP327679 UZL327673:UZL327679 VJH327673:VJH327679 VTD327673:VTD327679 WCZ327673:WCZ327679 WMV327673:WMV327679 WWR327673:WWR327679 KF393209:KF393215 UB393209:UB393215 ADX393209:ADX393215 ANT393209:ANT393215 AXP393209:AXP393215 BHL393209:BHL393215 BRH393209:BRH393215 CBD393209:CBD393215 CKZ393209:CKZ393215 CUV393209:CUV393215 DER393209:DER393215 DON393209:DON393215 DYJ393209:DYJ393215 EIF393209:EIF393215 ESB393209:ESB393215 FBX393209:FBX393215 FLT393209:FLT393215 FVP393209:FVP393215 GFL393209:GFL393215 GPH393209:GPH393215 GZD393209:GZD393215 HIZ393209:HIZ393215 HSV393209:HSV393215 ICR393209:ICR393215 IMN393209:IMN393215 IWJ393209:IWJ393215 JGF393209:JGF393215 JQB393209:JQB393215 JZX393209:JZX393215 KJT393209:KJT393215 KTP393209:KTP393215 LDL393209:LDL393215 LNH393209:LNH393215 LXD393209:LXD393215 MGZ393209:MGZ393215 MQV393209:MQV393215 NAR393209:NAR393215 NKN393209:NKN393215 NUJ393209:NUJ393215 OEF393209:OEF393215 OOB393209:OOB393215 OXX393209:OXX393215 PHT393209:PHT393215 PRP393209:PRP393215 QBL393209:QBL393215 QLH393209:QLH393215 QVD393209:QVD393215 REZ393209:REZ393215 ROV393209:ROV393215 RYR393209:RYR393215 SIN393209:SIN393215 SSJ393209:SSJ393215 TCF393209:TCF393215 TMB393209:TMB393215 TVX393209:TVX393215 UFT393209:UFT393215 UPP393209:UPP393215 UZL393209:UZL393215 VJH393209:VJH393215 VTD393209:VTD393215 WCZ393209:WCZ393215 WMV393209:WMV393215 WWR393209:WWR393215 KF458745:KF458751 UB458745:UB458751 ADX458745:ADX458751 ANT458745:ANT458751 AXP458745:AXP458751 BHL458745:BHL458751 BRH458745:BRH458751 CBD458745:CBD458751 CKZ458745:CKZ458751 CUV458745:CUV458751 DER458745:DER458751 DON458745:DON458751 DYJ458745:DYJ458751 EIF458745:EIF458751 ESB458745:ESB458751 FBX458745:FBX458751 FLT458745:FLT458751 FVP458745:FVP458751 GFL458745:GFL458751 GPH458745:GPH458751 GZD458745:GZD458751 HIZ458745:HIZ458751 HSV458745:HSV458751 ICR458745:ICR458751 IMN458745:IMN458751 IWJ458745:IWJ458751 JGF458745:JGF458751 JQB458745:JQB458751 JZX458745:JZX458751 KJT458745:KJT458751 KTP458745:KTP458751 LDL458745:LDL458751 LNH458745:LNH458751 LXD458745:LXD458751 MGZ458745:MGZ458751 MQV458745:MQV458751 NAR458745:NAR458751 NKN458745:NKN458751 NUJ458745:NUJ458751 OEF458745:OEF458751 OOB458745:OOB458751 OXX458745:OXX458751 PHT458745:PHT458751 PRP458745:PRP458751 QBL458745:QBL458751 QLH458745:QLH458751 QVD458745:QVD458751 REZ458745:REZ458751 ROV458745:ROV458751 RYR458745:RYR458751 SIN458745:SIN458751 SSJ458745:SSJ458751 TCF458745:TCF458751 TMB458745:TMB458751 TVX458745:TVX458751 UFT458745:UFT458751 UPP458745:UPP458751 UZL458745:UZL458751 VJH458745:VJH458751 VTD458745:VTD458751 WCZ458745:WCZ458751 WMV458745:WMV458751 WWR458745:WWR458751 KF524281:KF524287 UB524281:UB524287 ADX524281:ADX524287 ANT524281:ANT524287 AXP524281:AXP524287 BHL524281:BHL524287 BRH524281:BRH524287 CBD524281:CBD524287 CKZ524281:CKZ524287 CUV524281:CUV524287 DER524281:DER524287 DON524281:DON524287 DYJ524281:DYJ524287 EIF524281:EIF524287 ESB524281:ESB524287 FBX524281:FBX524287 FLT524281:FLT524287 FVP524281:FVP524287 GFL524281:GFL524287 GPH524281:GPH524287 GZD524281:GZD524287 HIZ524281:HIZ524287 HSV524281:HSV524287 ICR524281:ICR524287 IMN524281:IMN524287 IWJ524281:IWJ524287 JGF524281:JGF524287 JQB524281:JQB524287 JZX524281:JZX524287 KJT524281:KJT524287 KTP524281:KTP524287 LDL524281:LDL524287 LNH524281:LNH524287 LXD524281:LXD524287 MGZ524281:MGZ524287 MQV524281:MQV524287 NAR524281:NAR524287 NKN524281:NKN524287 NUJ524281:NUJ524287 OEF524281:OEF524287 OOB524281:OOB524287 OXX524281:OXX524287 PHT524281:PHT524287 PRP524281:PRP524287 QBL524281:QBL524287 QLH524281:QLH524287 QVD524281:QVD524287 REZ524281:REZ524287 ROV524281:ROV524287 RYR524281:RYR524287 SIN524281:SIN524287 SSJ524281:SSJ524287 TCF524281:TCF524287 TMB524281:TMB524287 TVX524281:TVX524287 UFT524281:UFT524287 UPP524281:UPP524287 UZL524281:UZL524287 VJH524281:VJH524287 VTD524281:VTD524287 WCZ524281:WCZ524287 WMV524281:WMV524287 WWR524281:WWR524287 KF589817:KF589823 UB589817:UB589823 ADX589817:ADX589823 ANT589817:ANT589823 AXP589817:AXP589823 BHL589817:BHL589823 BRH589817:BRH589823 CBD589817:CBD589823 CKZ589817:CKZ589823 CUV589817:CUV589823 DER589817:DER589823 DON589817:DON589823 DYJ589817:DYJ589823 EIF589817:EIF589823 ESB589817:ESB589823 FBX589817:FBX589823 FLT589817:FLT589823 FVP589817:FVP589823 GFL589817:GFL589823 GPH589817:GPH589823 GZD589817:GZD589823 HIZ589817:HIZ589823 HSV589817:HSV589823 ICR589817:ICR589823 IMN589817:IMN589823 IWJ589817:IWJ589823 JGF589817:JGF589823 JQB589817:JQB589823 JZX589817:JZX589823 KJT589817:KJT589823 KTP589817:KTP589823 LDL589817:LDL589823 LNH589817:LNH589823 LXD589817:LXD589823 MGZ589817:MGZ589823 MQV589817:MQV589823 NAR589817:NAR589823 NKN589817:NKN589823 NUJ589817:NUJ589823 OEF589817:OEF589823 OOB589817:OOB589823 OXX589817:OXX589823 PHT589817:PHT589823 PRP589817:PRP589823 QBL589817:QBL589823 QLH589817:QLH589823 QVD589817:QVD589823 REZ589817:REZ589823 ROV589817:ROV589823 RYR589817:RYR589823 SIN589817:SIN589823 SSJ589817:SSJ589823 TCF589817:TCF589823 TMB589817:TMB589823 TVX589817:TVX589823 UFT589817:UFT589823 UPP589817:UPP589823 UZL589817:UZL589823 VJH589817:VJH589823 VTD589817:VTD589823 WCZ589817:WCZ589823 WMV589817:WMV589823 WWR589817:WWR589823 KF655353:KF655359 UB655353:UB655359 ADX655353:ADX655359 ANT655353:ANT655359 AXP655353:AXP655359 BHL655353:BHL655359 BRH655353:BRH655359 CBD655353:CBD655359 CKZ655353:CKZ655359 CUV655353:CUV655359 DER655353:DER655359 DON655353:DON655359 DYJ655353:DYJ655359 EIF655353:EIF655359 ESB655353:ESB655359 FBX655353:FBX655359 FLT655353:FLT655359 FVP655353:FVP655359 GFL655353:GFL655359 GPH655353:GPH655359 GZD655353:GZD655359 HIZ655353:HIZ655359 HSV655353:HSV655359 ICR655353:ICR655359 IMN655353:IMN655359 IWJ655353:IWJ655359 JGF655353:JGF655359 JQB655353:JQB655359 JZX655353:JZX655359 KJT655353:KJT655359 KTP655353:KTP655359 LDL655353:LDL655359 LNH655353:LNH655359 LXD655353:LXD655359 MGZ655353:MGZ655359 MQV655353:MQV655359 NAR655353:NAR655359 NKN655353:NKN655359 NUJ655353:NUJ655359 OEF655353:OEF655359 OOB655353:OOB655359 OXX655353:OXX655359 PHT655353:PHT655359 PRP655353:PRP655359 QBL655353:QBL655359 QLH655353:QLH655359 QVD655353:QVD655359 REZ655353:REZ655359 ROV655353:ROV655359 RYR655353:RYR655359 SIN655353:SIN655359 SSJ655353:SSJ655359 TCF655353:TCF655359 TMB655353:TMB655359 TVX655353:TVX655359 UFT655353:UFT655359 UPP655353:UPP655359 UZL655353:UZL655359 VJH655353:VJH655359 VTD655353:VTD655359 WCZ655353:WCZ655359 WMV655353:WMV655359 WWR655353:WWR655359 KF720889:KF720895 UB720889:UB720895 ADX720889:ADX720895 ANT720889:ANT720895 AXP720889:AXP720895 BHL720889:BHL720895 BRH720889:BRH720895 CBD720889:CBD720895 CKZ720889:CKZ720895 CUV720889:CUV720895 DER720889:DER720895 DON720889:DON720895 DYJ720889:DYJ720895 EIF720889:EIF720895 ESB720889:ESB720895 FBX720889:FBX720895 FLT720889:FLT720895 FVP720889:FVP720895 GFL720889:GFL720895 GPH720889:GPH720895 GZD720889:GZD720895 HIZ720889:HIZ720895 HSV720889:HSV720895 ICR720889:ICR720895 IMN720889:IMN720895 IWJ720889:IWJ720895 JGF720889:JGF720895 JQB720889:JQB720895 JZX720889:JZX720895 KJT720889:KJT720895 KTP720889:KTP720895 LDL720889:LDL720895 LNH720889:LNH720895 LXD720889:LXD720895 MGZ720889:MGZ720895 MQV720889:MQV720895 NAR720889:NAR720895 NKN720889:NKN720895 NUJ720889:NUJ720895 OEF720889:OEF720895 OOB720889:OOB720895 OXX720889:OXX720895 PHT720889:PHT720895 PRP720889:PRP720895 QBL720889:QBL720895 QLH720889:QLH720895 QVD720889:QVD720895 REZ720889:REZ720895 ROV720889:ROV720895 RYR720889:RYR720895 SIN720889:SIN720895 SSJ720889:SSJ720895 TCF720889:TCF720895 TMB720889:TMB720895 TVX720889:TVX720895 UFT720889:UFT720895 UPP720889:UPP720895 UZL720889:UZL720895 VJH720889:VJH720895 VTD720889:VTD720895 WCZ720889:WCZ720895 WMV720889:WMV720895 WWR720889:WWR720895 KF786425:KF786431 UB786425:UB786431 ADX786425:ADX786431 ANT786425:ANT786431 AXP786425:AXP786431 BHL786425:BHL786431 BRH786425:BRH786431 CBD786425:CBD786431 CKZ786425:CKZ786431 CUV786425:CUV786431 DER786425:DER786431 DON786425:DON786431 DYJ786425:DYJ786431 EIF786425:EIF786431 ESB786425:ESB786431 FBX786425:FBX786431 FLT786425:FLT786431 FVP786425:FVP786431 GFL786425:GFL786431 GPH786425:GPH786431 GZD786425:GZD786431 HIZ786425:HIZ786431 HSV786425:HSV786431 ICR786425:ICR786431 IMN786425:IMN786431 IWJ786425:IWJ786431 JGF786425:JGF786431 JQB786425:JQB786431 JZX786425:JZX786431 KJT786425:KJT786431 KTP786425:KTP786431 LDL786425:LDL786431 LNH786425:LNH786431 LXD786425:LXD786431 MGZ786425:MGZ786431 MQV786425:MQV786431 NAR786425:NAR786431 NKN786425:NKN786431 NUJ786425:NUJ786431 OEF786425:OEF786431 OOB786425:OOB786431 OXX786425:OXX786431 PHT786425:PHT786431 PRP786425:PRP786431 QBL786425:QBL786431 QLH786425:QLH786431 QVD786425:QVD786431 REZ786425:REZ786431 ROV786425:ROV786431 RYR786425:RYR786431 SIN786425:SIN786431 SSJ786425:SSJ786431 TCF786425:TCF786431 TMB786425:TMB786431 TVX786425:TVX786431 UFT786425:UFT786431 UPP786425:UPP786431 UZL786425:UZL786431 VJH786425:VJH786431 VTD786425:VTD786431 WCZ786425:WCZ786431 WMV786425:WMV786431 WWR786425:WWR786431 KF851961:KF851967 UB851961:UB851967 ADX851961:ADX851967 ANT851961:ANT851967 AXP851961:AXP851967 BHL851961:BHL851967 BRH851961:BRH851967 CBD851961:CBD851967 CKZ851961:CKZ851967 CUV851961:CUV851967 DER851961:DER851967 DON851961:DON851967 DYJ851961:DYJ851967 EIF851961:EIF851967 ESB851961:ESB851967 FBX851961:FBX851967 FLT851961:FLT851967 FVP851961:FVP851967 GFL851961:GFL851967 GPH851961:GPH851967 GZD851961:GZD851967 HIZ851961:HIZ851967 HSV851961:HSV851967 ICR851961:ICR851967 IMN851961:IMN851967 IWJ851961:IWJ851967 JGF851961:JGF851967 JQB851961:JQB851967 JZX851961:JZX851967 KJT851961:KJT851967 KTP851961:KTP851967 LDL851961:LDL851967 LNH851961:LNH851967 LXD851961:LXD851967 MGZ851961:MGZ851967 MQV851961:MQV851967 NAR851961:NAR851967 NKN851961:NKN851967 NUJ851961:NUJ851967 OEF851961:OEF851967 OOB851961:OOB851967 OXX851961:OXX851967 PHT851961:PHT851967 PRP851961:PRP851967 QBL851961:QBL851967 QLH851961:QLH851967 QVD851961:QVD851967 REZ851961:REZ851967 ROV851961:ROV851967 RYR851961:RYR851967 SIN851961:SIN851967 SSJ851961:SSJ851967 TCF851961:TCF851967 TMB851961:TMB851967 TVX851961:TVX851967 UFT851961:UFT851967 UPP851961:UPP851967 UZL851961:UZL851967 VJH851961:VJH851967 VTD851961:VTD851967 WCZ851961:WCZ851967 WMV851961:WMV851967 WWR851961:WWR851967 KF917497:KF917503 UB917497:UB917503 ADX917497:ADX917503 ANT917497:ANT917503 AXP917497:AXP917503 BHL917497:BHL917503 BRH917497:BRH917503 CBD917497:CBD917503 CKZ917497:CKZ917503 CUV917497:CUV917503 DER917497:DER917503 DON917497:DON917503 DYJ917497:DYJ917503 EIF917497:EIF917503 ESB917497:ESB917503 FBX917497:FBX917503 FLT917497:FLT917503 FVP917497:FVP917503 GFL917497:GFL917503 GPH917497:GPH917503 GZD917497:GZD917503 HIZ917497:HIZ917503 HSV917497:HSV917503 ICR917497:ICR917503 IMN917497:IMN917503 IWJ917497:IWJ917503 JGF917497:JGF917503 JQB917497:JQB917503 JZX917497:JZX917503 KJT917497:KJT917503 KTP917497:KTP917503 LDL917497:LDL917503 LNH917497:LNH917503 LXD917497:LXD917503 MGZ917497:MGZ917503 MQV917497:MQV917503 NAR917497:NAR917503 NKN917497:NKN917503 NUJ917497:NUJ917503 OEF917497:OEF917503 OOB917497:OOB917503 OXX917497:OXX917503 PHT917497:PHT917503 PRP917497:PRP917503 QBL917497:QBL917503 QLH917497:QLH917503 QVD917497:QVD917503 REZ917497:REZ917503 ROV917497:ROV917503 RYR917497:RYR917503 SIN917497:SIN917503 SSJ917497:SSJ917503 TCF917497:TCF917503 TMB917497:TMB917503 TVX917497:TVX917503 UFT917497:UFT917503 UPP917497:UPP917503 UZL917497:UZL917503 VJH917497:VJH917503 VTD917497:VTD917503 WCZ917497:WCZ917503 WMV917497:WMV917503 WWR917497:WWR917503 KF983033:KF983039 UB983033:UB983039 ADX983033:ADX983039 ANT983033:ANT983039 AXP983033:AXP983039 BHL983033:BHL983039 BRH983033:BRH983039 CBD983033:CBD983039 CKZ983033:CKZ983039 CUV983033:CUV983039 DER983033:DER983039 DON983033:DON983039 DYJ983033:DYJ983039 EIF983033:EIF983039 ESB983033:ESB983039 FBX983033:FBX983039 FLT983033:FLT983039 FVP983033:FVP983039 GFL983033:GFL983039 GPH983033:GPH983039 GZD983033:GZD983039 HIZ983033:HIZ983039 HSV983033:HSV983039 ICR983033:ICR983039 IMN983033:IMN983039 IWJ983033:IWJ983039 JGF983033:JGF983039 JQB983033:JQB983039 JZX983033:JZX983039 KJT983033:KJT983039 KTP983033:KTP983039 LDL983033:LDL983039 LNH983033:LNH983039 LXD983033:LXD983039 MGZ983033:MGZ983039 MQV983033:MQV983039 NAR983033:NAR983039 NKN983033:NKN983039 NUJ983033:NUJ983039 OEF983033:OEF983039 OOB983033:OOB983039 OXX983033:OXX983039 PHT983033:PHT983039 PRP983033:PRP983039 QBL983033:QBL983039 QLH983033:QLH983039 QVD983033:QVD983039 REZ983033:REZ983039 ROV983033:ROV983039 RYR983033:RYR983039 SIN983033:SIN983039 SSJ983033:SSJ983039 TCF983033:TCF983039 TMB983033:TMB983039 TVX983033:TVX983039 UFT983033:UFT983039 UPP983033:UPP983039 UZL983033:UZL983039 VJH983033:VJH983039 VTD983033:VTD983039 WCZ983033:WCZ983039 WMV983033:WMV983039 WWC983033:WWC983039 JQ65529:JQ65535 TM65529:TM65535 ADI65529:ADI65535 ANE65529:ANE65535 AXA65529:AXA65535 BGW65529:BGW65535 BQS65529:BQS65535 CAO65529:CAO65535 CKK65529:CKK65535 CUG65529:CUG65535 DEC65529:DEC65535 DNY65529:DNY65535 DXU65529:DXU65535 EHQ65529:EHQ65535 ERM65529:ERM65535 FBI65529:FBI65535 FLE65529:FLE65535 FVA65529:FVA65535 GEW65529:GEW65535 GOS65529:GOS65535 GYO65529:GYO65535 HIK65529:HIK65535 HSG65529:HSG65535 ICC65529:ICC65535 ILY65529:ILY65535 IVU65529:IVU65535 JFQ65529:JFQ65535 JPM65529:JPM65535 JZI65529:JZI65535 KJE65529:KJE65535 KTA65529:KTA65535 LCW65529:LCW65535 LMS65529:LMS65535 LWO65529:LWO65535 MGK65529:MGK65535 MQG65529:MQG65535 NAC65529:NAC65535 NJY65529:NJY65535 NTU65529:NTU65535 ODQ65529:ODQ65535 ONM65529:ONM65535 OXI65529:OXI65535 PHE65529:PHE65535 PRA65529:PRA65535 QAW65529:QAW65535 QKS65529:QKS65535 QUO65529:QUO65535 REK65529:REK65535 ROG65529:ROG65535 RYC65529:RYC65535 SHY65529:SHY65535 SRU65529:SRU65535 TBQ65529:TBQ65535 TLM65529:TLM65535 TVI65529:TVI65535 UFE65529:UFE65535 UPA65529:UPA65535 UYW65529:UYW65535 VIS65529:VIS65535 VSO65529:VSO65535 WCK65529:WCK65535 WMG65529:WMG65535 WWC65529:WWC65535 JQ131065:JQ131071 TM131065:TM131071 ADI131065:ADI131071 ANE131065:ANE131071 AXA131065:AXA131071 BGW131065:BGW131071 BQS131065:BQS131071 CAO131065:CAO131071 CKK131065:CKK131071 CUG131065:CUG131071 DEC131065:DEC131071 DNY131065:DNY131071 DXU131065:DXU131071 EHQ131065:EHQ131071 ERM131065:ERM131071 FBI131065:FBI131071 FLE131065:FLE131071 FVA131065:FVA131071 GEW131065:GEW131071 GOS131065:GOS131071 GYO131065:GYO131071 HIK131065:HIK131071 HSG131065:HSG131071 ICC131065:ICC131071 ILY131065:ILY131071 IVU131065:IVU131071 JFQ131065:JFQ131071 JPM131065:JPM131071 JZI131065:JZI131071 KJE131065:KJE131071 KTA131065:KTA131071 LCW131065:LCW131071 LMS131065:LMS131071 LWO131065:LWO131071 MGK131065:MGK131071 MQG131065:MQG131071 NAC131065:NAC131071 NJY131065:NJY131071 NTU131065:NTU131071 ODQ131065:ODQ131071 ONM131065:ONM131071 OXI131065:OXI131071 PHE131065:PHE131071 PRA131065:PRA131071 QAW131065:QAW131071 QKS131065:QKS131071 QUO131065:QUO131071 REK131065:REK131071 ROG131065:ROG131071 RYC131065:RYC131071 SHY131065:SHY131071 SRU131065:SRU131071 TBQ131065:TBQ131071 TLM131065:TLM131071 TVI131065:TVI131071 UFE131065:UFE131071 UPA131065:UPA131071 UYW131065:UYW131071 VIS131065:VIS131071 VSO131065:VSO131071 WCK131065:WCK131071 WMG131065:WMG131071 WWC131065:WWC131071 JQ196601:JQ196607 TM196601:TM196607 ADI196601:ADI196607 ANE196601:ANE196607 AXA196601:AXA196607 BGW196601:BGW196607 BQS196601:BQS196607 CAO196601:CAO196607 CKK196601:CKK196607 CUG196601:CUG196607 DEC196601:DEC196607 DNY196601:DNY196607 DXU196601:DXU196607 EHQ196601:EHQ196607 ERM196601:ERM196607 FBI196601:FBI196607 FLE196601:FLE196607 FVA196601:FVA196607 GEW196601:GEW196607 GOS196601:GOS196607 GYO196601:GYO196607 HIK196601:HIK196607 HSG196601:HSG196607 ICC196601:ICC196607 ILY196601:ILY196607 IVU196601:IVU196607 JFQ196601:JFQ196607 JPM196601:JPM196607 JZI196601:JZI196607 KJE196601:KJE196607 KTA196601:KTA196607 LCW196601:LCW196607 LMS196601:LMS196607 LWO196601:LWO196607 MGK196601:MGK196607 MQG196601:MQG196607 NAC196601:NAC196607 NJY196601:NJY196607 NTU196601:NTU196607 ODQ196601:ODQ196607 ONM196601:ONM196607 OXI196601:OXI196607 PHE196601:PHE196607 PRA196601:PRA196607 QAW196601:QAW196607 QKS196601:QKS196607 QUO196601:QUO196607 REK196601:REK196607 ROG196601:ROG196607 RYC196601:RYC196607 SHY196601:SHY196607 SRU196601:SRU196607 TBQ196601:TBQ196607 TLM196601:TLM196607 TVI196601:TVI196607 UFE196601:UFE196607 UPA196601:UPA196607 UYW196601:UYW196607 VIS196601:VIS196607 VSO196601:VSO196607 WCK196601:WCK196607 WMG196601:WMG196607 WWC196601:WWC196607 JQ262137:JQ262143 TM262137:TM262143 ADI262137:ADI262143 ANE262137:ANE262143 AXA262137:AXA262143 BGW262137:BGW262143 BQS262137:BQS262143 CAO262137:CAO262143 CKK262137:CKK262143 CUG262137:CUG262143 DEC262137:DEC262143 DNY262137:DNY262143 DXU262137:DXU262143 EHQ262137:EHQ262143 ERM262137:ERM262143 FBI262137:FBI262143 FLE262137:FLE262143 FVA262137:FVA262143 GEW262137:GEW262143 GOS262137:GOS262143 GYO262137:GYO262143 HIK262137:HIK262143 HSG262137:HSG262143 ICC262137:ICC262143 ILY262137:ILY262143 IVU262137:IVU262143 JFQ262137:JFQ262143 JPM262137:JPM262143 JZI262137:JZI262143 KJE262137:KJE262143 KTA262137:KTA262143 LCW262137:LCW262143 LMS262137:LMS262143 LWO262137:LWO262143 MGK262137:MGK262143 MQG262137:MQG262143 NAC262137:NAC262143 NJY262137:NJY262143 NTU262137:NTU262143 ODQ262137:ODQ262143 ONM262137:ONM262143 OXI262137:OXI262143 PHE262137:PHE262143 PRA262137:PRA262143 QAW262137:QAW262143 QKS262137:QKS262143 QUO262137:QUO262143 REK262137:REK262143 ROG262137:ROG262143 RYC262137:RYC262143 SHY262137:SHY262143 SRU262137:SRU262143 TBQ262137:TBQ262143 TLM262137:TLM262143 TVI262137:TVI262143 UFE262137:UFE262143 UPA262137:UPA262143 UYW262137:UYW262143 VIS262137:VIS262143 VSO262137:VSO262143 WCK262137:WCK262143 WMG262137:WMG262143 WWC262137:WWC262143 JQ327673:JQ327679 TM327673:TM327679 ADI327673:ADI327679 ANE327673:ANE327679 AXA327673:AXA327679 BGW327673:BGW327679 BQS327673:BQS327679 CAO327673:CAO327679 CKK327673:CKK327679 CUG327673:CUG327679 DEC327673:DEC327679 DNY327673:DNY327679 DXU327673:DXU327679 EHQ327673:EHQ327679 ERM327673:ERM327679 FBI327673:FBI327679 FLE327673:FLE327679 FVA327673:FVA327679 GEW327673:GEW327679 GOS327673:GOS327679 GYO327673:GYO327679 HIK327673:HIK327679 HSG327673:HSG327679 ICC327673:ICC327679 ILY327673:ILY327679 IVU327673:IVU327679 JFQ327673:JFQ327679 JPM327673:JPM327679 JZI327673:JZI327679 KJE327673:KJE327679 KTA327673:KTA327679 LCW327673:LCW327679 LMS327673:LMS327679 LWO327673:LWO327679 MGK327673:MGK327679 MQG327673:MQG327679 NAC327673:NAC327679 NJY327673:NJY327679 NTU327673:NTU327679 ODQ327673:ODQ327679 ONM327673:ONM327679 OXI327673:OXI327679 PHE327673:PHE327679 PRA327673:PRA327679 QAW327673:QAW327679 QKS327673:QKS327679 QUO327673:QUO327679 REK327673:REK327679 ROG327673:ROG327679 RYC327673:RYC327679 SHY327673:SHY327679 SRU327673:SRU327679 TBQ327673:TBQ327679 TLM327673:TLM327679 TVI327673:TVI327679 UFE327673:UFE327679 UPA327673:UPA327679 UYW327673:UYW327679 VIS327673:VIS327679 VSO327673:VSO327679 WCK327673:WCK327679 WMG327673:WMG327679 WWC327673:WWC327679 JQ393209:JQ393215 TM393209:TM393215 ADI393209:ADI393215 ANE393209:ANE393215 AXA393209:AXA393215 BGW393209:BGW393215 BQS393209:BQS393215 CAO393209:CAO393215 CKK393209:CKK393215 CUG393209:CUG393215 DEC393209:DEC393215 DNY393209:DNY393215 DXU393209:DXU393215 EHQ393209:EHQ393215 ERM393209:ERM393215 FBI393209:FBI393215 FLE393209:FLE393215 FVA393209:FVA393215 GEW393209:GEW393215 GOS393209:GOS393215 GYO393209:GYO393215 HIK393209:HIK393215 HSG393209:HSG393215 ICC393209:ICC393215 ILY393209:ILY393215 IVU393209:IVU393215 JFQ393209:JFQ393215 JPM393209:JPM393215 JZI393209:JZI393215 KJE393209:KJE393215 KTA393209:KTA393215 LCW393209:LCW393215 LMS393209:LMS393215 LWO393209:LWO393215 MGK393209:MGK393215 MQG393209:MQG393215 NAC393209:NAC393215 NJY393209:NJY393215 NTU393209:NTU393215 ODQ393209:ODQ393215 ONM393209:ONM393215 OXI393209:OXI393215 PHE393209:PHE393215 PRA393209:PRA393215 QAW393209:QAW393215 QKS393209:QKS393215 QUO393209:QUO393215 REK393209:REK393215 ROG393209:ROG393215 RYC393209:RYC393215 SHY393209:SHY393215 SRU393209:SRU393215 TBQ393209:TBQ393215 TLM393209:TLM393215 TVI393209:TVI393215 UFE393209:UFE393215 UPA393209:UPA393215 UYW393209:UYW393215 VIS393209:VIS393215 VSO393209:VSO393215 WCK393209:WCK393215 WMG393209:WMG393215 WWC393209:WWC393215 JQ458745:JQ458751 TM458745:TM458751 ADI458745:ADI458751 ANE458745:ANE458751 AXA458745:AXA458751 BGW458745:BGW458751 BQS458745:BQS458751 CAO458745:CAO458751 CKK458745:CKK458751 CUG458745:CUG458751 DEC458745:DEC458751 DNY458745:DNY458751 DXU458745:DXU458751 EHQ458745:EHQ458751 ERM458745:ERM458751 FBI458745:FBI458751 FLE458745:FLE458751 FVA458745:FVA458751 GEW458745:GEW458751 GOS458745:GOS458751 GYO458745:GYO458751 HIK458745:HIK458751 HSG458745:HSG458751 ICC458745:ICC458751 ILY458745:ILY458751 IVU458745:IVU458751 JFQ458745:JFQ458751 JPM458745:JPM458751 JZI458745:JZI458751 KJE458745:KJE458751 KTA458745:KTA458751 LCW458745:LCW458751 LMS458745:LMS458751 LWO458745:LWO458751 MGK458745:MGK458751 MQG458745:MQG458751 NAC458745:NAC458751 NJY458745:NJY458751 NTU458745:NTU458751 ODQ458745:ODQ458751 ONM458745:ONM458751 OXI458745:OXI458751 PHE458745:PHE458751 PRA458745:PRA458751 QAW458745:QAW458751 QKS458745:QKS458751 QUO458745:QUO458751 REK458745:REK458751 ROG458745:ROG458751 RYC458745:RYC458751 SHY458745:SHY458751 SRU458745:SRU458751 TBQ458745:TBQ458751 TLM458745:TLM458751 TVI458745:TVI458751 UFE458745:UFE458751 UPA458745:UPA458751 UYW458745:UYW458751 VIS458745:VIS458751 VSO458745:VSO458751 WCK458745:WCK458751 WMG458745:WMG458751 WWC458745:WWC458751 JQ524281:JQ524287 TM524281:TM524287 ADI524281:ADI524287 ANE524281:ANE524287 AXA524281:AXA524287 BGW524281:BGW524287 BQS524281:BQS524287 CAO524281:CAO524287 CKK524281:CKK524287 CUG524281:CUG524287 DEC524281:DEC524287 DNY524281:DNY524287 DXU524281:DXU524287 EHQ524281:EHQ524287 ERM524281:ERM524287 FBI524281:FBI524287 FLE524281:FLE524287 FVA524281:FVA524287 GEW524281:GEW524287 GOS524281:GOS524287 GYO524281:GYO524287 HIK524281:HIK524287 HSG524281:HSG524287 ICC524281:ICC524287 ILY524281:ILY524287 IVU524281:IVU524287 JFQ524281:JFQ524287 JPM524281:JPM524287 JZI524281:JZI524287 KJE524281:KJE524287 KTA524281:KTA524287 LCW524281:LCW524287 LMS524281:LMS524287 LWO524281:LWO524287 MGK524281:MGK524287 MQG524281:MQG524287 NAC524281:NAC524287 NJY524281:NJY524287 NTU524281:NTU524287 ODQ524281:ODQ524287 ONM524281:ONM524287 OXI524281:OXI524287 PHE524281:PHE524287 PRA524281:PRA524287 QAW524281:QAW524287 QKS524281:QKS524287 QUO524281:QUO524287 REK524281:REK524287 ROG524281:ROG524287 RYC524281:RYC524287 SHY524281:SHY524287 SRU524281:SRU524287 TBQ524281:TBQ524287 TLM524281:TLM524287 TVI524281:TVI524287 UFE524281:UFE524287 UPA524281:UPA524287 UYW524281:UYW524287 VIS524281:VIS524287 VSO524281:VSO524287 WCK524281:WCK524287 WMG524281:WMG524287 WWC524281:WWC524287 JQ589817:JQ589823 TM589817:TM589823 ADI589817:ADI589823 ANE589817:ANE589823 AXA589817:AXA589823 BGW589817:BGW589823 BQS589817:BQS589823 CAO589817:CAO589823 CKK589817:CKK589823 CUG589817:CUG589823 DEC589817:DEC589823 DNY589817:DNY589823 DXU589817:DXU589823 EHQ589817:EHQ589823 ERM589817:ERM589823 FBI589817:FBI589823 FLE589817:FLE589823 FVA589817:FVA589823 GEW589817:GEW589823 GOS589817:GOS589823 GYO589817:GYO589823 HIK589817:HIK589823 HSG589817:HSG589823 ICC589817:ICC589823 ILY589817:ILY589823 IVU589817:IVU589823 JFQ589817:JFQ589823 JPM589817:JPM589823 JZI589817:JZI589823 KJE589817:KJE589823 KTA589817:KTA589823 LCW589817:LCW589823 LMS589817:LMS589823 LWO589817:LWO589823 MGK589817:MGK589823 MQG589817:MQG589823 NAC589817:NAC589823 NJY589817:NJY589823 NTU589817:NTU589823 ODQ589817:ODQ589823 ONM589817:ONM589823 OXI589817:OXI589823 PHE589817:PHE589823 PRA589817:PRA589823 QAW589817:QAW589823 QKS589817:QKS589823 QUO589817:QUO589823 REK589817:REK589823 ROG589817:ROG589823 RYC589817:RYC589823 SHY589817:SHY589823 SRU589817:SRU589823 TBQ589817:TBQ589823 TLM589817:TLM589823 TVI589817:TVI589823 UFE589817:UFE589823 UPA589817:UPA589823 UYW589817:UYW589823 VIS589817:VIS589823 VSO589817:VSO589823 WCK589817:WCK589823 WMG589817:WMG589823 WWC589817:WWC589823 JQ655353:JQ655359 TM655353:TM655359 ADI655353:ADI655359 ANE655353:ANE655359 AXA655353:AXA655359 BGW655353:BGW655359 BQS655353:BQS655359 CAO655353:CAO655359 CKK655353:CKK655359 CUG655353:CUG655359 DEC655353:DEC655359 DNY655353:DNY655359 DXU655353:DXU655359 EHQ655353:EHQ655359 ERM655353:ERM655359 FBI655353:FBI655359 FLE655353:FLE655359 FVA655353:FVA655359 GEW655353:GEW655359 GOS655353:GOS655359 GYO655353:GYO655359 HIK655353:HIK655359 HSG655353:HSG655359 ICC655353:ICC655359 ILY655353:ILY655359 IVU655353:IVU655359 JFQ655353:JFQ655359 JPM655353:JPM655359 JZI655353:JZI655359 KJE655353:KJE655359 KTA655353:KTA655359 LCW655353:LCW655359 LMS655353:LMS655359 LWO655353:LWO655359 MGK655353:MGK655359 MQG655353:MQG655359 NAC655353:NAC655359 NJY655353:NJY655359 NTU655353:NTU655359 ODQ655353:ODQ655359 ONM655353:ONM655359 OXI655353:OXI655359 PHE655353:PHE655359 PRA655353:PRA655359 QAW655353:QAW655359 QKS655353:QKS655359 QUO655353:QUO655359 REK655353:REK655359 ROG655353:ROG655359 RYC655353:RYC655359 SHY655353:SHY655359 SRU655353:SRU655359 TBQ655353:TBQ655359 TLM655353:TLM655359 TVI655353:TVI655359 UFE655353:UFE655359 UPA655353:UPA655359 UYW655353:UYW655359 VIS655353:VIS655359 VSO655353:VSO655359 WCK655353:WCK655359 WMG655353:WMG655359 WWC655353:WWC655359 JQ720889:JQ720895 TM720889:TM720895 ADI720889:ADI720895 ANE720889:ANE720895 AXA720889:AXA720895 BGW720889:BGW720895 BQS720889:BQS720895 CAO720889:CAO720895 CKK720889:CKK720895 CUG720889:CUG720895 DEC720889:DEC720895 DNY720889:DNY720895 DXU720889:DXU720895 EHQ720889:EHQ720895 ERM720889:ERM720895 FBI720889:FBI720895 FLE720889:FLE720895 FVA720889:FVA720895 GEW720889:GEW720895 GOS720889:GOS720895 GYO720889:GYO720895 HIK720889:HIK720895 HSG720889:HSG720895 ICC720889:ICC720895 ILY720889:ILY720895 IVU720889:IVU720895 JFQ720889:JFQ720895 JPM720889:JPM720895 JZI720889:JZI720895 KJE720889:KJE720895 KTA720889:KTA720895 LCW720889:LCW720895 LMS720889:LMS720895 LWO720889:LWO720895 MGK720889:MGK720895 MQG720889:MQG720895 NAC720889:NAC720895 NJY720889:NJY720895 NTU720889:NTU720895 ODQ720889:ODQ720895 ONM720889:ONM720895 OXI720889:OXI720895 PHE720889:PHE720895 PRA720889:PRA720895 QAW720889:QAW720895 QKS720889:QKS720895 QUO720889:QUO720895 REK720889:REK720895 ROG720889:ROG720895 RYC720889:RYC720895 SHY720889:SHY720895 SRU720889:SRU720895 TBQ720889:TBQ720895 TLM720889:TLM720895 TVI720889:TVI720895 UFE720889:UFE720895 UPA720889:UPA720895 UYW720889:UYW720895 VIS720889:VIS720895 VSO720889:VSO720895 WCK720889:WCK720895 WMG720889:WMG720895 WWC720889:WWC720895 JQ786425:JQ786431 TM786425:TM786431 ADI786425:ADI786431 ANE786425:ANE786431 AXA786425:AXA786431 BGW786425:BGW786431 BQS786425:BQS786431 CAO786425:CAO786431 CKK786425:CKK786431 CUG786425:CUG786431 DEC786425:DEC786431 DNY786425:DNY786431 DXU786425:DXU786431 EHQ786425:EHQ786431 ERM786425:ERM786431 FBI786425:FBI786431 FLE786425:FLE786431 FVA786425:FVA786431 GEW786425:GEW786431 GOS786425:GOS786431 GYO786425:GYO786431 HIK786425:HIK786431 HSG786425:HSG786431 ICC786425:ICC786431 ILY786425:ILY786431 IVU786425:IVU786431 JFQ786425:JFQ786431 JPM786425:JPM786431 JZI786425:JZI786431 KJE786425:KJE786431 KTA786425:KTA786431 LCW786425:LCW786431 LMS786425:LMS786431 LWO786425:LWO786431 MGK786425:MGK786431 MQG786425:MQG786431 NAC786425:NAC786431 NJY786425:NJY786431 NTU786425:NTU786431 ODQ786425:ODQ786431 ONM786425:ONM786431 OXI786425:OXI786431 PHE786425:PHE786431 PRA786425:PRA786431 QAW786425:QAW786431 QKS786425:QKS786431 QUO786425:QUO786431 REK786425:REK786431 ROG786425:ROG786431 RYC786425:RYC786431 SHY786425:SHY786431 SRU786425:SRU786431 TBQ786425:TBQ786431 TLM786425:TLM786431 TVI786425:TVI786431 UFE786425:UFE786431 UPA786425:UPA786431 UYW786425:UYW786431 VIS786425:VIS786431 VSO786425:VSO786431 WCK786425:WCK786431 WMG786425:WMG786431 WWC786425:WWC786431 JQ851961:JQ851967 TM851961:TM851967 ADI851961:ADI851967 ANE851961:ANE851967 AXA851961:AXA851967 BGW851961:BGW851967 BQS851961:BQS851967 CAO851961:CAO851967 CKK851961:CKK851967 CUG851961:CUG851967 DEC851961:DEC851967 DNY851961:DNY851967 DXU851961:DXU851967 EHQ851961:EHQ851967 ERM851961:ERM851967 FBI851961:FBI851967 FLE851961:FLE851967 FVA851961:FVA851967 GEW851961:GEW851967 GOS851961:GOS851967 GYO851961:GYO851967 HIK851961:HIK851967 HSG851961:HSG851967 ICC851961:ICC851967 ILY851961:ILY851967 IVU851961:IVU851967 JFQ851961:JFQ851967 JPM851961:JPM851967 JZI851961:JZI851967 KJE851961:KJE851967 KTA851961:KTA851967 LCW851961:LCW851967 LMS851961:LMS851967 LWO851961:LWO851967 MGK851961:MGK851967 MQG851961:MQG851967 NAC851961:NAC851967 NJY851961:NJY851967 NTU851961:NTU851967 ODQ851961:ODQ851967 ONM851961:ONM851967 OXI851961:OXI851967 PHE851961:PHE851967 PRA851961:PRA851967 QAW851961:QAW851967 QKS851961:QKS851967 QUO851961:QUO851967 REK851961:REK851967 ROG851961:ROG851967 RYC851961:RYC851967 SHY851961:SHY851967 SRU851961:SRU851967 TBQ851961:TBQ851967 TLM851961:TLM851967 TVI851961:TVI851967 UFE851961:UFE851967 UPA851961:UPA851967 UYW851961:UYW851967 VIS851961:VIS851967 VSO851961:VSO851967 WCK851961:WCK851967 WMG851961:WMG851967 WWC851961:WWC851967 JQ917497:JQ917503 TM917497:TM917503 ADI917497:ADI917503 ANE917497:ANE917503 AXA917497:AXA917503 BGW917497:BGW917503 BQS917497:BQS917503 CAO917497:CAO917503 CKK917497:CKK917503 CUG917497:CUG917503 DEC917497:DEC917503 DNY917497:DNY917503 DXU917497:DXU917503 EHQ917497:EHQ917503 ERM917497:ERM917503 FBI917497:FBI917503 FLE917497:FLE917503 FVA917497:FVA917503 GEW917497:GEW917503 GOS917497:GOS917503 GYO917497:GYO917503 HIK917497:HIK917503 HSG917497:HSG917503 ICC917497:ICC917503 ILY917497:ILY917503 IVU917497:IVU917503 JFQ917497:JFQ917503 JPM917497:JPM917503 JZI917497:JZI917503 KJE917497:KJE917503 KTA917497:KTA917503 LCW917497:LCW917503 LMS917497:LMS917503 LWO917497:LWO917503 MGK917497:MGK917503 MQG917497:MQG917503 NAC917497:NAC917503 NJY917497:NJY917503 NTU917497:NTU917503 ODQ917497:ODQ917503 ONM917497:ONM917503 OXI917497:OXI917503 PHE917497:PHE917503 PRA917497:PRA917503 QAW917497:QAW917503 QKS917497:QKS917503 QUO917497:QUO917503 REK917497:REK917503 ROG917497:ROG917503 RYC917497:RYC917503 SHY917497:SHY917503 SRU917497:SRU917503 TBQ917497:TBQ917503 TLM917497:TLM917503 TVI917497:TVI917503 UFE917497:UFE917503 UPA917497:UPA917503 UYW917497:UYW917503 VIS917497:VIS917503 VSO917497:VSO917503 WCK917497:WCK917503 WMG917497:WMG917503 WWC917497:WWC917503 JQ983033:JQ983039 TM983033:TM983039 ADI983033:ADI983039 ANE983033:ANE983039 AXA983033:AXA983039 BGW983033:BGW983039 BQS983033:BQS983039 CAO983033:CAO983039 CKK983033:CKK983039 CUG983033:CUG983039 DEC983033:DEC983039 DNY983033:DNY983039 DXU983033:DXU983039 EHQ983033:EHQ983039 ERM983033:ERM983039 FBI983033:FBI983039 FLE983033:FLE983039 FVA983033:FVA983039 GEW983033:GEW983039 GOS983033:GOS983039 GYO983033:GYO983039 HIK983033:HIK983039 HSG983033:HSG983039 ICC983033:ICC983039 ILY983033:ILY983039 IVU983033:IVU983039 JFQ983033:JFQ983039 JPM983033:JPM983039 JZI983033:JZI983039 KJE983033:KJE983039 KTA983033:KTA983039 LCW983033:LCW983039 LMS983033:LMS983039 LWO983033:LWO983039 MGK983033:MGK983039 MQG983033:MQG983039 NAC983033:NAC983039 NJY983033:NJY983039 NTU983033:NTU983039 ODQ983033:ODQ983039 ONM983033:ONM983039 OXI983033:OXI983039 PHE983033:PHE983039 PRA983033:PRA983039 QAW983033:QAW983039 QKS983033:QKS983039 QUO983033:QUO983039 REK983033:REK983039 ROG983033:ROG983039 RYC983033:RYC983039 SHY983033:SHY983039 SRU983033:SRU983039 TBQ983033:TBQ983039 TLM983033:TLM983039 TVI983033:TVI983039 UFE983033:UFE983039 UPA983033:UPA983039 UYW983033:UYW983039 VIS983033:VIS983039 VSO983033:VSO983039 WCK983033:WCK983039 WMG983033:WMG983039 WWN983033:WWN983039 WMR983033:WMR983039 WCV983033:WCV983039 VSZ983033:VSZ983039 VJD983033:VJD983039 UZH983033:UZH983039 UPL983033:UPL983039 UFP983033:UFP983039 TVT983033:TVT983039 TLX983033:TLX983039 TCB983033:TCB983039 SSF983033:SSF983039 SIJ983033:SIJ983039 RYN983033:RYN983039 ROR983033:ROR983039 REV983033:REV983039 QUZ983033:QUZ983039 QLD983033:QLD983039 QBH983033:QBH983039 PRL983033:PRL983039 PHP983033:PHP983039 OXT983033:OXT983039 ONX983033:ONX983039 OEB983033:OEB983039 NUF983033:NUF983039 NKJ983033:NKJ983039 NAN983033:NAN983039 MQR983033:MQR983039 MGV983033:MGV983039 LWZ983033:LWZ983039 LND983033:LND983039 LDH983033:LDH983039 KTL983033:KTL983039 KJP983033:KJP983039 JZT983033:JZT983039 JPX983033:JPX983039 JGB983033:JGB983039 IWF983033:IWF983039 IMJ983033:IMJ983039 ICN983033:ICN983039 HSR983033:HSR983039 HIV983033:HIV983039 GYZ983033:GYZ983039 GPD983033:GPD983039 GFH983033:GFH983039 FVL983033:FVL983039 FLP983033:FLP983039 FBT983033:FBT983039 ERX983033:ERX983039 EIB983033:EIB983039 DYF983033:DYF983039 DOJ983033:DOJ983039 DEN983033:DEN983039 CUR983033:CUR983039 CKV983033:CKV983039 CAZ983033:CAZ983039 BRD983033:BRD983039 BHH983033:BHH983039 AXL983033:AXL983039 ANP983033:ANP983039 ADT983033:ADT983039 TX983033:TX983039 KB983033:KB983039 WWN917497:WWN917503 WMR917497:WMR917503 WCV917497:WCV917503 VSZ917497:VSZ917503 VJD917497:VJD917503 UZH917497:UZH917503 UPL917497:UPL917503 UFP917497:UFP917503 TVT917497:TVT917503 TLX917497:TLX917503 TCB917497:TCB917503 SSF917497:SSF917503 SIJ917497:SIJ917503 RYN917497:RYN917503 ROR917497:ROR917503 REV917497:REV917503 QUZ917497:QUZ917503 QLD917497:QLD917503 QBH917497:QBH917503 PRL917497:PRL917503 PHP917497:PHP917503 OXT917497:OXT917503 ONX917497:ONX917503 OEB917497:OEB917503 NUF917497:NUF917503 NKJ917497:NKJ917503 NAN917497:NAN917503 MQR917497:MQR917503 MGV917497:MGV917503 LWZ917497:LWZ917503 LND917497:LND917503 LDH917497:LDH917503 KTL917497:KTL917503 KJP917497:KJP917503 JZT917497:JZT917503 JPX917497:JPX917503 JGB917497:JGB917503 IWF917497:IWF917503 IMJ917497:IMJ917503 ICN917497:ICN917503 HSR917497:HSR917503 HIV917497:HIV917503 GYZ917497:GYZ917503 GPD917497:GPD917503 GFH917497:GFH917503 FVL917497:FVL917503 FLP917497:FLP917503 FBT917497:FBT917503 ERX917497:ERX917503 EIB917497:EIB917503 DYF917497:DYF917503 DOJ917497:DOJ917503 DEN917497:DEN917503 CUR917497:CUR917503 CKV917497:CKV917503 CAZ917497:CAZ917503 BRD917497:BRD917503 BHH917497:BHH917503 AXL917497:AXL917503 ANP917497:ANP917503 ADT917497:ADT917503 TX917497:TX917503 KB917497:KB917503 WWN851961:WWN851967 WMR851961:WMR851967 WCV851961:WCV851967 VSZ851961:VSZ851967 VJD851961:VJD851967 UZH851961:UZH851967 UPL851961:UPL851967 UFP851961:UFP851967 TVT851961:TVT851967 TLX851961:TLX851967 TCB851961:TCB851967 SSF851961:SSF851967 SIJ851961:SIJ851967 RYN851961:RYN851967 ROR851961:ROR851967 REV851961:REV851967 QUZ851961:QUZ851967 QLD851961:QLD851967 QBH851961:QBH851967 PRL851961:PRL851967 PHP851961:PHP851967 OXT851961:OXT851967 ONX851961:ONX851967 OEB851961:OEB851967 NUF851961:NUF851967 NKJ851961:NKJ851967 NAN851961:NAN851967 MQR851961:MQR851967 MGV851961:MGV851967 LWZ851961:LWZ851967 LND851961:LND851967 LDH851961:LDH851967 KTL851961:KTL851967 KJP851961:KJP851967 JZT851961:JZT851967 JPX851961:JPX851967 JGB851961:JGB851967 IWF851961:IWF851967 IMJ851961:IMJ851967 ICN851961:ICN851967 HSR851961:HSR851967 HIV851961:HIV851967 GYZ851961:GYZ851967 GPD851961:GPD851967 GFH851961:GFH851967 FVL851961:FVL851967 FLP851961:FLP851967 FBT851961:FBT851967 ERX851961:ERX851967 EIB851961:EIB851967 DYF851961:DYF851967 DOJ851961:DOJ851967 DEN851961:DEN851967 CUR851961:CUR851967 CKV851961:CKV851967 CAZ851961:CAZ851967 BRD851961:BRD851967 BHH851961:BHH851967 AXL851961:AXL851967 ANP851961:ANP851967 ADT851961:ADT851967 TX851961:TX851967 KB851961:KB851967 WWN786425:WWN786431 WMR786425:WMR786431 WCV786425:WCV786431 VSZ786425:VSZ786431 VJD786425:VJD786431 UZH786425:UZH786431 UPL786425:UPL786431 UFP786425:UFP786431 TVT786425:TVT786431 TLX786425:TLX786431 TCB786425:TCB786431 SSF786425:SSF786431 SIJ786425:SIJ786431 RYN786425:RYN786431 ROR786425:ROR786431 REV786425:REV786431 QUZ786425:QUZ786431 QLD786425:QLD786431 QBH786425:QBH786431 PRL786425:PRL786431 PHP786425:PHP786431 OXT786425:OXT786431 ONX786425:ONX786431 OEB786425:OEB786431 NUF786425:NUF786431 NKJ786425:NKJ786431 NAN786425:NAN786431 MQR786425:MQR786431 MGV786425:MGV786431 LWZ786425:LWZ786431 LND786425:LND786431 LDH786425:LDH786431 KTL786425:KTL786431 KJP786425:KJP786431 JZT786425:JZT786431 JPX786425:JPX786431 JGB786425:JGB786431 IWF786425:IWF786431 IMJ786425:IMJ786431 ICN786425:ICN786431 HSR786425:HSR786431 HIV786425:HIV786431 GYZ786425:GYZ786431 GPD786425:GPD786431 GFH786425:GFH786431 FVL786425:FVL786431 FLP786425:FLP786431 FBT786425:FBT786431 ERX786425:ERX786431 EIB786425:EIB786431 DYF786425:DYF786431 DOJ786425:DOJ786431 DEN786425:DEN786431 CUR786425:CUR786431 CKV786425:CKV786431 CAZ786425:CAZ786431 BRD786425:BRD786431 BHH786425:BHH786431 AXL786425:AXL786431 ANP786425:ANP786431 ADT786425:ADT786431 TX786425:TX786431 KB786425:KB786431 WWN720889:WWN720895 WMR720889:WMR720895 WCV720889:WCV720895 VSZ720889:VSZ720895 VJD720889:VJD720895 UZH720889:UZH720895 UPL720889:UPL720895 UFP720889:UFP720895 TVT720889:TVT720895 TLX720889:TLX720895 TCB720889:TCB720895 SSF720889:SSF720895 SIJ720889:SIJ720895 RYN720889:RYN720895 ROR720889:ROR720895 REV720889:REV720895 QUZ720889:QUZ720895 QLD720889:QLD720895 QBH720889:QBH720895 PRL720889:PRL720895 PHP720889:PHP720895 OXT720889:OXT720895 ONX720889:ONX720895 OEB720889:OEB720895 NUF720889:NUF720895 NKJ720889:NKJ720895 NAN720889:NAN720895 MQR720889:MQR720895 MGV720889:MGV720895 LWZ720889:LWZ720895 LND720889:LND720895 LDH720889:LDH720895 KTL720889:KTL720895 KJP720889:KJP720895 JZT720889:JZT720895 JPX720889:JPX720895 JGB720889:JGB720895 IWF720889:IWF720895 IMJ720889:IMJ720895 ICN720889:ICN720895 HSR720889:HSR720895 HIV720889:HIV720895 GYZ720889:GYZ720895 GPD720889:GPD720895 GFH720889:GFH720895 FVL720889:FVL720895 FLP720889:FLP720895 FBT720889:FBT720895 ERX720889:ERX720895 EIB720889:EIB720895 DYF720889:DYF720895 DOJ720889:DOJ720895 DEN720889:DEN720895 CUR720889:CUR720895 CKV720889:CKV720895 CAZ720889:CAZ720895 BRD720889:BRD720895 BHH720889:BHH720895 AXL720889:AXL720895 ANP720889:ANP720895 ADT720889:ADT720895 TX720889:TX720895 KB720889:KB720895 WWN655353:WWN655359 WMR655353:WMR655359 WCV655353:WCV655359 VSZ655353:VSZ655359 VJD655353:VJD655359 UZH655353:UZH655359 UPL655353:UPL655359 UFP655353:UFP655359 TVT655353:TVT655359 TLX655353:TLX655359 TCB655353:TCB655359 SSF655353:SSF655359 SIJ655353:SIJ655359 RYN655353:RYN655359 ROR655353:ROR655359 REV655353:REV655359 QUZ655353:QUZ655359 QLD655353:QLD655359 QBH655353:QBH655359 PRL655353:PRL655359 PHP655353:PHP655359 OXT655353:OXT655359 ONX655353:ONX655359 OEB655353:OEB655359 NUF655353:NUF655359 NKJ655353:NKJ655359 NAN655353:NAN655359 MQR655353:MQR655359 MGV655353:MGV655359 LWZ655353:LWZ655359 LND655353:LND655359 LDH655353:LDH655359 KTL655353:KTL655359 KJP655353:KJP655359 JZT655353:JZT655359 JPX655353:JPX655359 JGB655353:JGB655359 IWF655353:IWF655359 IMJ655353:IMJ655359 ICN655353:ICN655359 HSR655353:HSR655359 HIV655353:HIV655359 GYZ655353:GYZ655359 GPD655353:GPD655359 GFH655353:GFH655359 FVL655353:FVL655359 FLP655353:FLP655359 FBT655353:FBT655359 ERX655353:ERX655359 EIB655353:EIB655359 DYF655353:DYF655359 DOJ655353:DOJ655359 DEN655353:DEN655359 CUR655353:CUR655359 CKV655353:CKV655359 CAZ655353:CAZ655359 BRD655353:BRD655359 BHH655353:BHH655359 AXL655353:AXL655359 ANP655353:ANP655359 ADT655353:ADT655359 TX655353:TX655359 KB655353:KB655359 WWN589817:WWN589823 WMR589817:WMR589823 WCV589817:WCV589823 VSZ589817:VSZ589823 VJD589817:VJD589823 UZH589817:UZH589823 UPL589817:UPL589823 UFP589817:UFP589823 TVT589817:TVT589823 TLX589817:TLX589823 TCB589817:TCB589823 SSF589817:SSF589823 SIJ589817:SIJ589823 RYN589817:RYN589823 ROR589817:ROR589823 REV589817:REV589823 QUZ589817:QUZ589823 QLD589817:QLD589823 QBH589817:QBH589823 PRL589817:PRL589823 PHP589817:PHP589823 OXT589817:OXT589823 ONX589817:ONX589823 OEB589817:OEB589823 NUF589817:NUF589823 NKJ589817:NKJ589823 NAN589817:NAN589823 MQR589817:MQR589823 MGV589817:MGV589823 LWZ589817:LWZ589823 LND589817:LND589823 LDH589817:LDH589823 KTL589817:KTL589823 KJP589817:KJP589823 JZT589817:JZT589823 JPX589817:JPX589823 JGB589817:JGB589823 IWF589817:IWF589823 IMJ589817:IMJ589823 ICN589817:ICN589823 HSR589817:HSR589823 HIV589817:HIV589823 GYZ589817:GYZ589823 GPD589817:GPD589823 GFH589817:GFH589823 FVL589817:FVL589823 FLP589817:FLP589823 FBT589817:FBT589823 ERX589817:ERX589823 EIB589817:EIB589823 DYF589817:DYF589823 DOJ589817:DOJ589823 DEN589817:DEN589823 CUR589817:CUR589823 CKV589817:CKV589823 CAZ589817:CAZ589823 BRD589817:BRD589823 BHH589817:BHH589823 AXL589817:AXL589823 ANP589817:ANP589823 ADT589817:ADT589823 TX589817:TX589823 KB589817:KB589823 WWN524281:WWN524287 WMR524281:WMR524287 WCV524281:WCV524287 VSZ524281:VSZ524287 VJD524281:VJD524287 UZH524281:UZH524287 UPL524281:UPL524287 UFP524281:UFP524287 TVT524281:TVT524287 TLX524281:TLX524287 TCB524281:TCB524287 SSF524281:SSF524287 SIJ524281:SIJ524287 RYN524281:RYN524287 ROR524281:ROR524287 REV524281:REV524287 QUZ524281:QUZ524287 QLD524281:QLD524287 QBH524281:QBH524287 PRL524281:PRL524287 PHP524281:PHP524287 OXT524281:OXT524287 ONX524281:ONX524287 OEB524281:OEB524287 NUF524281:NUF524287 NKJ524281:NKJ524287 NAN524281:NAN524287 MQR524281:MQR524287 MGV524281:MGV524287 LWZ524281:LWZ524287 LND524281:LND524287 LDH524281:LDH524287 KTL524281:KTL524287 KJP524281:KJP524287 JZT524281:JZT524287 JPX524281:JPX524287 JGB524281:JGB524287 IWF524281:IWF524287 IMJ524281:IMJ524287 ICN524281:ICN524287 HSR524281:HSR524287 HIV524281:HIV524287 GYZ524281:GYZ524287 GPD524281:GPD524287 GFH524281:GFH524287 FVL524281:FVL524287 FLP524281:FLP524287 FBT524281:FBT524287 ERX524281:ERX524287 EIB524281:EIB524287 DYF524281:DYF524287 DOJ524281:DOJ524287 DEN524281:DEN524287 CUR524281:CUR524287 CKV524281:CKV524287 CAZ524281:CAZ524287 BRD524281:BRD524287 BHH524281:BHH524287 AXL524281:AXL524287 ANP524281:ANP524287 ADT524281:ADT524287 TX524281:TX524287 KB524281:KB524287 WWN458745:WWN458751 WMR458745:WMR458751 WCV458745:WCV458751 VSZ458745:VSZ458751 VJD458745:VJD458751 UZH458745:UZH458751 UPL458745:UPL458751 UFP458745:UFP458751 TVT458745:TVT458751 TLX458745:TLX458751 TCB458745:TCB458751 SSF458745:SSF458751 SIJ458745:SIJ458751 RYN458745:RYN458751 ROR458745:ROR458751 REV458745:REV458751 QUZ458745:QUZ458751 QLD458745:QLD458751 QBH458745:QBH458751 PRL458745:PRL458751 PHP458745:PHP458751 OXT458745:OXT458751 ONX458745:ONX458751 OEB458745:OEB458751 NUF458745:NUF458751 NKJ458745:NKJ458751 NAN458745:NAN458751 MQR458745:MQR458751 MGV458745:MGV458751 LWZ458745:LWZ458751 LND458745:LND458751 LDH458745:LDH458751 KTL458745:KTL458751 KJP458745:KJP458751 JZT458745:JZT458751 JPX458745:JPX458751 JGB458745:JGB458751 IWF458745:IWF458751 IMJ458745:IMJ458751 ICN458745:ICN458751 HSR458745:HSR458751 HIV458745:HIV458751 GYZ458745:GYZ458751 GPD458745:GPD458751 GFH458745:GFH458751 FVL458745:FVL458751 FLP458745:FLP458751 FBT458745:FBT458751 ERX458745:ERX458751 EIB458745:EIB458751 DYF458745:DYF458751 DOJ458745:DOJ458751 DEN458745:DEN458751 CUR458745:CUR458751 CKV458745:CKV458751 CAZ458745:CAZ458751 BRD458745:BRD458751 BHH458745:BHH458751 AXL458745:AXL458751 ANP458745:ANP458751 ADT458745:ADT458751 TX458745:TX458751 KB458745:KB458751 WWN393209:WWN393215 WMR393209:WMR393215 WCV393209:WCV393215 VSZ393209:VSZ393215 VJD393209:VJD393215 UZH393209:UZH393215 UPL393209:UPL393215 UFP393209:UFP393215 TVT393209:TVT393215 TLX393209:TLX393215 TCB393209:TCB393215 SSF393209:SSF393215 SIJ393209:SIJ393215 RYN393209:RYN393215 ROR393209:ROR393215 REV393209:REV393215 QUZ393209:QUZ393215 QLD393209:QLD393215 QBH393209:QBH393215 PRL393209:PRL393215 PHP393209:PHP393215 OXT393209:OXT393215 ONX393209:ONX393215 OEB393209:OEB393215 NUF393209:NUF393215 NKJ393209:NKJ393215 NAN393209:NAN393215 MQR393209:MQR393215 MGV393209:MGV393215 LWZ393209:LWZ393215 LND393209:LND393215 LDH393209:LDH393215 KTL393209:KTL393215 KJP393209:KJP393215 JZT393209:JZT393215 JPX393209:JPX393215 JGB393209:JGB393215 IWF393209:IWF393215 IMJ393209:IMJ393215 ICN393209:ICN393215 HSR393209:HSR393215 HIV393209:HIV393215 GYZ393209:GYZ393215 GPD393209:GPD393215 GFH393209:GFH393215 FVL393209:FVL393215 FLP393209:FLP393215 FBT393209:FBT393215 ERX393209:ERX393215 EIB393209:EIB393215 DYF393209:DYF393215 DOJ393209:DOJ393215 DEN393209:DEN393215 CUR393209:CUR393215 CKV393209:CKV393215 CAZ393209:CAZ393215 BRD393209:BRD393215 BHH393209:BHH393215 AXL393209:AXL393215 ANP393209:ANP393215 ADT393209:ADT393215 TX393209:TX393215 KB393209:KB393215 WWN327673:WWN327679 WMR327673:WMR327679 WCV327673:WCV327679 VSZ327673:VSZ327679 VJD327673:VJD327679 UZH327673:UZH327679 UPL327673:UPL327679 UFP327673:UFP327679 TVT327673:TVT327679 TLX327673:TLX327679 TCB327673:TCB327679 SSF327673:SSF327679 SIJ327673:SIJ327679 RYN327673:RYN327679 ROR327673:ROR327679 REV327673:REV327679 QUZ327673:QUZ327679 QLD327673:QLD327679 QBH327673:QBH327679 PRL327673:PRL327679 PHP327673:PHP327679 OXT327673:OXT327679 ONX327673:ONX327679 OEB327673:OEB327679 NUF327673:NUF327679 NKJ327673:NKJ327679 NAN327673:NAN327679 MQR327673:MQR327679 MGV327673:MGV327679 LWZ327673:LWZ327679 LND327673:LND327679 LDH327673:LDH327679 KTL327673:KTL327679 KJP327673:KJP327679 JZT327673:JZT327679 JPX327673:JPX327679 JGB327673:JGB327679 IWF327673:IWF327679 IMJ327673:IMJ327679 ICN327673:ICN327679 HSR327673:HSR327679 HIV327673:HIV327679 GYZ327673:GYZ327679 GPD327673:GPD327679 GFH327673:GFH327679 FVL327673:FVL327679 FLP327673:FLP327679 FBT327673:FBT327679 ERX327673:ERX327679 EIB327673:EIB327679 DYF327673:DYF327679 DOJ327673:DOJ327679 DEN327673:DEN327679 CUR327673:CUR327679 CKV327673:CKV327679 CAZ327673:CAZ327679 BRD327673:BRD327679 BHH327673:BHH327679 AXL327673:AXL327679 ANP327673:ANP327679 ADT327673:ADT327679 TX327673:TX327679 KB327673:KB327679 WWN262137:WWN262143 WMR262137:WMR262143 WCV262137:WCV262143 VSZ262137:VSZ262143 VJD262137:VJD262143 UZH262137:UZH262143 UPL262137:UPL262143 UFP262137:UFP262143 TVT262137:TVT262143 TLX262137:TLX262143 TCB262137:TCB262143 SSF262137:SSF262143 SIJ262137:SIJ262143 RYN262137:RYN262143 ROR262137:ROR262143 REV262137:REV262143 QUZ262137:QUZ262143 QLD262137:QLD262143 QBH262137:QBH262143 PRL262137:PRL262143 PHP262137:PHP262143 OXT262137:OXT262143 ONX262137:ONX262143 OEB262137:OEB262143 NUF262137:NUF262143 NKJ262137:NKJ262143 NAN262137:NAN262143 MQR262137:MQR262143 MGV262137:MGV262143 LWZ262137:LWZ262143 LND262137:LND262143 LDH262137:LDH262143 KTL262137:KTL262143 KJP262137:KJP262143 JZT262137:JZT262143 JPX262137:JPX262143 JGB262137:JGB262143 IWF262137:IWF262143 IMJ262137:IMJ262143 ICN262137:ICN262143 HSR262137:HSR262143 HIV262137:HIV262143 GYZ262137:GYZ262143 GPD262137:GPD262143 GFH262137:GFH262143 FVL262137:FVL262143 FLP262137:FLP262143 FBT262137:FBT262143 ERX262137:ERX262143 EIB262137:EIB262143 DYF262137:DYF262143 DOJ262137:DOJ262143 DEN262137:DEN262143 CUR262137:CUR262143 CKV262137:CKV262143 CAZ262137:CAZ262143 BRD262137:BRD262143 BHH262137:BHH262143 AXL262137:AXL262143 ANP262137:ANP262143 ADT262137:ADT262143 TX262137:TX262143 KB262137:KB262143 WWN196601:WWN196607 WMR196601:WMR196607 WCV196601:WCV196607 VSZ196601:VSZ196607 VJD196601:VJD196607 UZH196601:UZH196607 UPL196601:UPL196607 UFP196601:UFP196607 TVT196601:TVT196607 TLX196601:TLX196607 TCB196601:TCB196607 SSF196601:SSF196607 SIJ196601:SIJ196607 RYN196601:RYN196607 ROR196601:ROR196607 REV196601:REV196607 QUZ196601:QUZ196607 QLD196601:QLD196607 QBH196601:QBH196607 PRL196601:PRL196607 PHP196601:PHP196607 OXT196601:OXT196607 ONX196601:ONX196607 OEB196601:OEB196607 NUF196601:NUF196607 NKJ196601:NKJ196607 NAN196601:NAN196607 MQR196601:MQR196607 MGV196601:MGV196607 LWZ196601:LWZ196607 LND196601:LND196607 LDH196601:LDH196607 KTL196601:KTL196607 KJP196601:KJP196607 JZT196601:JZT196607 JPX196601:JPX196607 JGB196601:JGB196607 IWF196601:IWF196607 IMJ196601:IMJ196607 ICN196601:ICN196607 HSR196601:HSR196607 HIV196601:HIV196607 GYZ196601:GYZ196607 GPD196601:GPD196607 GFH196601:GFH196607 FVL196601:FVL196607 FLP196601:FLP196607 FBT196601:FBT196607 ERX196601:ERX196607 EIB196601:EIB196607 DYF196601:DYF196607 DOJ196601:DOJ196607 DEN196601:DEN196607 CUR196601:CUR196607 CKV196601:CKV196607 CAZ196601:CAZ196607 BRD196601:BRD196607 BHH196601:BHH196607 AXL196601:AXL196607 ANP196601:ANP196607 ADT196601:ADT196607 TX196601:TX196607 KB196601:KB196607 WWN131065:WWN131071 WMR131065:WMR131071 WCV131065:WCV131071 VSZ131065:VSZ131071 VJD131065:VJD131071 UZH131065:UZH131071 UPL131065:UPL131071 UFP131065:UFP131071 TVT131065:TVT131071 TLX131065:TLX131071 TCB131065:TCB131071 SSF131065:SSF131071 SIJ131065:SIJ131071 RYN131065:RYN131071 ROR131065:ROR131071 REV131065:REV131071 QUZ131065:QUZ131071 QLD131065:QLD131071 QBH131065:QBH131071 PRL131065:PRL131071 PHP131065:PHP131071 OXT131065:OXT131071 ONX131065:ONX131071 OEB131065:OEB131071 NUF131065:NUF131071 NKJ131065:NKJ131071 NAN131065:NAN131071 MQR131065:MQR131071 MGV131065:MGV131071 LWZ131065:LWZ131071 LND131065:LND131071 LDH131065:LDH131071 KTL131065:KTL131071 KJP131065:KJP131071 JZT131065:JZT131071 JPX131065:JPX131071 JGB131065:JGB131071 IWF131065:IWF131071 IMJ131065:IMJ131071 ICN131065:ICN131071 HSR131065:HSR131071 HIV131065:HIV131071 GYZ131065:GYZ131071 GPD131065:GPD131071 GFH131065:GFH131071 FVL131065:FVL131071 FLP131065:FLP131071 FBT131065:FBT131071 ERX131065:ERX131071 EIB131065:EIB131071 DYF131065:DYF131071 DOJ131065:DOJ131071 DEN131065:DEN131071 CUR131065:CUR131071 CKV131065:CKV131071 CAZ131065:CAZ131071 BRD131065:BRD131071 BHH131065:BHH131071 AXL131065:AXL131071 ANP131065:ANP131071 ADT131065:ADT131071 TX131065:TX131071 KB131065:KB131071 WWN65529:WWN65535 WMR65529:WMR65535 WCV65529:WCV65535 VSZ65529:VSZ65535 VJD65529:VJD65535 UZH65529:UZH65535 UPL65529:UPL65535 UFP65529:UFP65535 TVT65529:TVT65535 TLX65529:TLX65535 TCB65529:TCB65535 SSF65529:SSF65535 SIJ65529:SIJ65535 RYN65529:RYN65535 ROR65529:ROR65535 REV65529:REV65535 QUZ65529:QUZ65535 QLD65529:QLD65535 QBH65529:QBH65535 PRL65529:PRL65535 PHP65529:PHP65535 OXT65529:OXT65535 ONX65529:ONX65535 OEB65529:OEB65535 NUF65529:NUF65535 NKJ65529:NKJ65535 NAN65529:NAN65535 MQR65529:MQR65535 MGV65529:MGV65535 LWZ65529:LWZ65535 LND65529:LND65535 LDH65529:LDH65535 KTL65529:KTL65535 KJP65529:KJP65535 JZT65529:JZT65535 JPX65529:JPX65535 JGB65529:JGB65535 IWF65529:IWF65535 IMJ65529:IMJ65535 ICN65529:ICN65535 HSR65529:HSR65535 HIV65529:HIV65535 GYZ65529:GYZ65535 GPD65529:GPD65535 GFH65529:GFH65535 FVL65529:FVL65535 FLP65529:FLP65535 FBT65529:FBT65535 ERX65529:ERX65535 EIB65529:EIB65535 DYF65529:DYF65535 DOJ65529:DOJ65535 DEN65529:DEN65535 CUR65529:CUR65535 CKV65529:CKV65535 CAZ65529:CAZ65535 BRD65529:BRD65535 BHH65529:BHH65535 AXL65529:AXL65535 ANP65529:ANP65535 ADT65529:ADT65535 TX65529:TX65535 KB65529:KB65535" xr:uid="{644F35BD-EED3-4865-8F65-670C9C58DA67}">
      <formula1>#REF!</formula1>
    </dataValidation>
  </dataValidations>
  <printOptions horizontalCentered="1"/>
  <pageMargins left="0.51181102362204722" right="0.51181102362204722" top="0.98425196850393704" bottom="0.59055118110236227" header="0.31496062992125984" footer="0.51181102362204722"/>
  <pageSetup paperSize="9" scale="30" fitToHeight="0" orientation="landscape" r:id="rId1"/>
  <headerFooter>
    <oddHeader>&amp;L&amp;G&amp;R&amp;G</oddHeader>
  </headerFooter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07CC0-3942-4510-B364-D0720BA599FB}">
  <sheetPr>
    <tabColor theme="5" tint="0.39997558519241921"/>
    <pageSetUpPr fitToPage="1"/>
  </sheetPr>
  <dimension ref="A1:AG27"/>
  <sheetViews>
    <sheetView showGridLines="0" view="pageBreakPreview" zoomScale="85" zoomScaleNormal="90" zoomScaleSheetLayoutView="85" workbookViewId="0">
      <selection activeCell="L9" sqref="L9"/>
    </sheetView>
  </sheetViews>
  <sheetFormatPr defaultColWidth="9.33203125" defaultRowHeight="12.75" x14ac:dyDescent="0.2"/>
  <cols>
    <col min="1" max="1" width="3" style="31" customWidth="1"/>
    <col min="2" max="2" width="32.5" style="31" customWidth="1"/>
    <col min="3" max="3" width="7.33203125" style="32" customWidth="1"/>
    <col min="4" max="4" width="2.1640625" style="31" customWidth="1"/>
    <col min="5" max="5" width="8.6640625" style="33" customWidth="1"/>
    <col min="6" max="6" width="6.6640625" style="32" customWidth="1"/>
    <col min="7" max="7" width="2.33203125" style="32" customWidth="1"/>
    <col min="8" max="8" width="8" style="34" customWidth="1"/>
    <col min="9" max="9" width="15.83203125" style="35" customWidth="1"/>
    <col min="10" max="11" width="15.83203125" style="31" customWidth="1"/>
    <col min="12" max="13" width="20.83203125" style="31" customWidth="1"/>
    <col min="14" max="15" width="15.83203125" style="31" customWidth="1"/>
    <col min="16" max="17" width="18.33203125" style="31" customWidth="1"/>
    <col min="18" max="18" width="14.33203125" style="31" customWidth="1"/>
    <col min="19" max="22" width="16.83203125" style="31" customWidth="1"/>
    <col min="23" max="26" width="17.33203125" style="31" customWidth="1"/>
    <col min="27" max="30" width="16.83203125" style="31" customWidth="1"/>
    <col min="31" max="32" width="20.83203125" style="31" customWidth="1"/>
    <col min="33" max="33" width="9.33203125" style="31"/>
    <col min="34" max="16384" width="9.33203125" style="206"/>
  </cols>
  <sheetData>
    <row r="1" spans="2:32" ht="13.5" thickBot="1" x14ac:dyDescent="0.25"/>
    <row r="2" spans="2:32" ht="20.100000000000001" customHeight="1" thickBot="1" x14ac:dyDescent="0.25">
      <c r="B2" s="1320" t="s">
        <v>677</v>
      </c>
      <c r="C2" s="1321"/>
      <c r="D2" s="1321"/>
      <c r="E2" s="1321"/>
      <c r="F2" s="1321"/>
      <c r="G2" s="1321"/>
      <c r="H2" s="1321"/>
      <c r="I2" s="1321"/>
      <c r="J2" s="1321"/>
      <c r="K2" s="1321"/>
      <c r="L2" s="1321"/>
      <c r="M2" s="1321"/>
      <c r="N2" s="1321"/>
      <c r="O2" s="1321"/>
      <c r="P2" s="1321"/>
      <c r="Q2" s="1321"/>
      <c r="R2" s="1321"/>
      <c r="S2" s="1321"/>
      <c r="T2" s="1321"/>
      <c r="U2" s="1321"/>
      <c r="V2" s="1321"/>
      <c r="W2" s="1321"/>
      <c r="X2" s="1321"/>
      <c r="Y2" s="1321"/>
      <c r="Z2" s="1321"/>
      <c r="AA2" s="1321"/>
      <c r="AB2" s="1321"/>
      <c r="AC2" s="1321"/>
      <c r="AD2" s="1321"/>
      <c r="AE2" s="1321"/>
      <c r="AF2" s="1322"/>
    </row>
    <row r="3" spans="2:32" ht="10.5" customHeight="1" thickBot="1" x14ac:dyDescent="0.25"/>
    <row r="4" spans="2:32" ht="30" customHeight="1" thickBot="1" x14ac:dyDescent="0.25">
      <c r="B4" s="1323" t="s">
        <v>678</v>
      </c>
      <c r="C4" s="1324"/>
      <c r="D4" s="1324"/>
      <c r="E4" s="1324"/>
      <c r="F4" s="1324"/>
      <c r="G4" s="1324"/>
      <c r="H4" s="1324"/>
      <c r="I4" s="1324"/>
      <c r="J4" s="1324"/>
      <c r="K4" s="1324"/>
      <c r="L4" s="1324"/>
      <c r="M4" s="1324"/>
      <c r="N4" s="1324"/>
      <c r="O4" s="1324"/>
      <c r="P4" s="1324"/>
      <c r="Q4" s="1324"/>
      <c r="R4" s="1324"/>
      <c r="S4" s="1324"/>
      <c r="T4" s="1324"/>
      <c r="U4" s="1324"/>
      <c r="V4" s="1324"/>
      <c r="W4" s="1324"/>
      <c r="X4" s="1324"/>
      <c r="Y4" s="1324"/>
      <c r="Z4" s="1324"/>
      <c r="AA4" s="1324"/>
      <c r="AB4" s="1324"/>
      <c r="AC4" s="1324"/>
      <c r="AD4" s="1324"/>
      <c r="AE4" s="1324"/>
      <c r="AF4" s="1325"/>
    </row>
    <row r="5" spans="2:32" ht="15.75" customHeight="1" thickBot="1" x14ac:dyDescent="0.25">
      <c r="B5" s="1326" t="s">
        <v>4</v>
      </c>
      <c r="C5" s="1329" t="s">
        <v>281</v>
      </c>
      <c r="D5" s="1330"/>
      <c r="E5" s="1330"/>
      <c r="F5" s="1330"/>
      <c r="G5" s="1330"/>
      <c r="H5" s="1331"/>
      <c r="I5" s="1332" t="s">
        <v>679</v>
      </c>
      <c r="J5" s="1334" t="s">
        <v>680</v>
      </c>
      <c r="K5" s="1334" t="s">
        <v>681</v>
      </c>
      <c r="L5" s="1334" t="s">
        <v>682</v>
      </c>
      <c r="M5" s="1336" t="s">
        <v>683</v>
      </c>
      <c r="N5" s="1312" t="s">
        <v>288</v>
      </c>
      <c r="O5" s="1313"/>
      <c r="P5" s="1326" t="s">
        <v>684</v>
      </c>
      <c r="Q5" s="1338"/>
      <c r="R5" s="1339"/>
      <c r="S5" s="1326" t="s">
        <v>685</v>
      </c>
      <c r="T5" s="1338"/>
      <c r="U5" s="1338"/>
      <c r="V5" s="1339"/>
      <c r="W5" s="1340" t="s">
        <v>686</v>
      </c>
      <c r="X5" s="1304"/>
      <c r="Y5" s="1341"/>
      <c r="Z5" s="1341"/>
      <c r="AA5" s="1341"/>
      <c r="AB5" s="1341"/>
      <c r="AC5" s="1341"/>
      <c r="AD5" s="1341"/>
      <c r="AE5" s="1342" t="s">
        <v>687</v>
      </c>
      <c r="AF5" s="1343"/>
    </row>
    <row r="6" spans="2:32" ht="26.25" thickBot="1" x14ac:dyDescent="0.25">
      <c r="B6" s="1327"/>
      <c r="C6" s="1336" t="s">
        <v>5</v>
      </c>
      <c r="D6" s="1344"/>
      <c r="E6" s="1345"/>
      <c r="F6" s="1336" t="s">
        <v>6</v>
      </c>
      <c r="G6" s="1344"/>
      <c r="H6" s="1345"/>
      <c r="I6" s="1333"/>
      <c r="J6" s="1335"/>
      <c r="K6" s="1335"/>
      <c r="L6" s="1335"/>
      <c r="M6" s="1337"/>
      <c r="N6" s="698" t="s">
        <v>688</v>
      </c>
      <c r="O6" s="698" t="s">
        <v>689</v>
      </c>
      <c r="P6" s="698" t="s">
        <v>690</v>
      </c>
      <c r="Q6" s="698" t="s">
        <v>691</v>
      </c>
      <c r="R6" s="698" t="s">
        <v>692</v>
      </c>
      <c r="S6" s="698" t="s">
        <v>688</v>
      </c>
      <c r="T6" s="698" t="s">
        <v>693</v>
      </c>
      <c r="U6" s="698" t="s">
        <v>694</v>
      </c>
      <c r="V6" s="698" t="s">
        <v>695</v>
      </c>
      <c r="W6" s="1312" t="s">
        <v>696</v>
      </c>
      <c r="X6" s="1313"/>
      <c r="Y6" s="1312" t="s">
        <v>697</v>
      </c>
      <c r="Z6" s="1313"/>
      <c r="AA6" s="1312" t="s">
        <v>698</v>
      </c>
      <c r="AB6" s="1314"/>
      <c r="AC6" s="1314"/>
      <c r="AD6" s="1313"/>
      <c r="AE6" s="697" t="s">
        <v>699</v>
      </c>
      <c r="AF6" s="698" t="s">
        <v>700</v>
      </c>
    </row>
    <row r="7" spans="2:32" ht="26.25" thickBot="1" x14ac:dyDescent="0.25">
      <c r="B7" s="1328"/>
      <c r="C7" s="1346"/>
      <c r="D7" s="1347"/>
      <c r="E7" s="1348"/>
      <c r="F7" s="1346"/>
      <c r="G7" s="1347"/>
      <c r="H7" s="1348"/>
      <c r="I7" s="700" t="s">
        <v>346</v>
      </c>
      <c r="J7" s="699" t="s">
        <v>346</v>
      </c>
      <c r="K7" s="701" t="s">
        <v>346</v>
      </c>
      <c r="L7" s="701" t="s">
        <v>347</v>
      </c>
      <c r="M7" s="702" t="s">
        <v>347</v>
      </c>
      <c r="N7" s="701" t="s">
        <v>346</v>
      </c>
      <c r="O7" s="703" t="s">
        <v>347</v>
      </c>
      <c r="P7" s="703" t="s">
        <v>348</v>
      </c>
      <c r="Q7" s="704" t="s">
        <v>348</v>
      </c>
      <c r="R7" s="703" t="s">
        <v>348</v>
      </c>
      <c r="S7" s="703" t="s">
        <v>346</v>
      </c>
      <c r="T7" s="703" t="s">
        <v>701</v>
      </c>
      <c r="U7" s="703" t="s">
        <v>347</v>
      </c>
      <c r="V7" s="703" t="s">
        <v>348</v>
      </c>
      <c r="W7" s="705" t="s">
        <v>163</v>
      </c>
      <c r="X7" s="705" t="s">
        <v>702</v>
      </c>
      <c r="Y7" s="705" t="s">
        <v>163</v>
      </c>
      <c r="Z7" s="705" t="s">
        <v>702</v>
      </c>
      <c r="AA7" s="703" t="s">
        <v>162</v>
      </c>
      <c r="AB7" s="703" t="s">
        <v>163</v>
      </c>
      <c r="AC7" s="704" t="s">
        <v>278</v>
      </c>
      <c r="AD7" s="703" t="s">
        <v>702</v>
      </c>
      <c r="AE7" s="705" t="s">
        <v>346</v>
      </c>
      <c r="AF7" s="703" t="s">
        <v>346</v>
      </c>
    </row>
    <row r="8" spans="2:32" ht="21.75" customHeight="1" thickBot="1" x14ac:dyDescent="0.25">
      <c r="B8" s="706" t="s">
        <v>703</v>
      </c>
      <c r="C8" s="707">
        <v>0</v>
      </c>
      <c r="D8" s="708" t="s">
        <v>7</v>
      </c>
      <c r="E8" s="669">
        <v>0</v>
      </c>
      <c r="F8" s="671">
        <v>4</v>
      </c>
      <c r="G8" s="670" t="s">
        <v>7</v>
      </c>
      <c r="H8" s="709">
        <v>7.66</v>
      </c>
      <c r="I8" s="669">
        <f t="shared" ref="I8:I12" si="0">(F8*20+H8)-(C8*20+E8)</f>
        <v>87.66</v>
      </c>
      <c r="J8" s="333">
        <v>7</v>
      </c>
      <c r="K8" s="333">
        <f t="shared" ref="K8:K12" si="1">+J8-0.6</f>
        <v>6.4</v>
      </c>
      <c r="L8" s="333">
        <v>12.59</v>
      </c>
      <c r="M8" s="710">
        <f t="shared" ref="M8:M12" si="2">+K8*I8+L8</f>
        <v>573.61400000000003</v>
      </c>
      <c r="N8" s="711">
        <f t="shared" ref="N8:N12" si="3">+J8+(2*0.22)</f>
        <v>7.44</v>
      </c>
      <c r="O8" s="712">
        <f t="shared" ref="O8:O12" si="4">N8*I8+1.1*L8</f>
        <v>666.0394</v>
      </c>
      <c r="P8" s="711">
        <v>123.4</v>
      </c>
      <c r="Q8" s="10">
        <v>0.04</v>
      </c>
      <c r="R8" s="712">
        <f>P8-(Q8*1.3)</f>
        <v>123.348</v>
      </c>
      <c r="S8" s="711">
        <f t="shared" ref="S8:S12" si="5">+J8+(2*0.12)</f>
        <v>7.24</v>
      </c>
      <c r="T8" s="10">
        <v>0.15</v>
      </c>
      <c r="U8" s="10">
        <f t="shared" ref="U8:U12" si="6">S8*I8+L8*1.1</f>
        <v>648.50740000000008</v>
      </c>
      <c r="V8" s="712">
        <f t="shared" ref="V8:V12" si="7">U8*T8</f>
        <v>97.276110000000003</v>
      </c>
      <c r="W8" s="713">
        <f t="shared" ref="W8:W12" si="8">M8</f>
        <v>573.61400000000003</v>
      </c>
      <c r="X8" s="714">
        <f t="shared" ref="X8:X12" si="9">W8*0.0012</f>
        <v>0.68833679999999997</v>
      </c>
      <c r="Y8" s="713">
        <f>W8</f>
        <v>573.61400000000003</v>
      </c>
      <c r="Z8" s="715">
        <f>Y8*0.0005</f>
        <v>0.28680700000000003</v>
      </c>
      <c r="AA8" s="711">
        <v>0.03</v>
      </c>
      <c r="AB8" s="10">
        <f t="shared" ref="AB8:AB12" si="10">M8</f>
        <v>573.61400000000003</v>
      </c>
      <c r="AC8" s="10">
        <f t="shared" ref="AC8:AC12" si="11">+AB8*AA8</f>
        <v>17.20842</v>
      </c>
      <c r="AD8" s="712">
        <f t="shared" ref="AD8:AD12" si="12">2.5548*AC8</f>
        <v>43.964071416000003</v>
      </c>
      <c r="AE8" s="716">
        <f>87.7+87.77</f>
        <v>175.47</v>
      </c>
      <c r="AF8" s="717">
        <v>0</v>
      </c>
    </row>
    <row r="9" spans="2:32" ht="21.75" customHeight="1" x14ac:dyDescent="0.2">
      <c r="B9" s="706" t="s">
        <v>704</v>
      </c>
      <c r="C9" s="707">
        <v>0</v>
      </c>
      <c r="D9" s="708" t="s">
        <v>7</v>
      </c>
      <c r="E9" s="669">
        <v>3</v>
      </c>
      <c r="F9" s="671">
        <v>21</v>
      </c>
      <c r="G9" s="670" t="s">
        <v>7</v>
      </c>
      <c r="H9" s="709">
        <v>8.85</v>
      </c>
      <c r="I9" s="669">
        <f t="shared" si="0"/>
        <v>425.85</v>
      </c>
      <c r="J9" s="333">
        <v>7</v>
      </c>
      <c r="K9" s="333">
        <f t="shared" si="1"/>
        <v>6.4</v>
      </c>
      <c r="L9" s="333">
        <f>2.75+1.27+2.74+1.33-49.6+1.93+1.93+1.93+1.93-49+1.66+2.24+1.66+2.24-49.1</f>
        <v>-124.09000000000003</v>
      </c>
      <c r="M9" s="710">
        <f t="shared" si="2"/>
        <v>2601.3500000000004</v>
      </c>
      <c r="N9" s="711">
        <f t="shared" si="3"/>
        <v>7.44</v>
      </c>
      <c r="O9" s="712">
        <f t="shared" si="4"/>
        <v>3031.8250000000003</v>
      </c>
      <c r="P9" s="711">
        <v>415.78</v>
      </c>
      <c r="Q9" s="10">
        <v>32.25</v>
      </c>
      <c r="R9" s="712">
        <f>P9-(Q9*1.3)</f>
        <v>373.85499999999996</v>
      </c>
      <c r="S9" s="711">
        <f t="shared" si="5"/>
        <v>7.24</v>
      </c>
      <c r="T9" s="10">
        <v>0.15</v>
      </c>
      <c r="U9" s="10">
        <f t="shared" si="6"/>
        <v>2946.6550000000002</v>
      </c>
      <c r="V9" s="712">
        <f t="shared" si="7"/>
        <v>441.99825000000004</v>
      </c>
      <c r="W9" s="713">
        <f t="shared" si="8"/>
        <v>2601.3500000000004</v>
      </c>
      <c r="X9" s="714">
        <f t="shared" si="9"/>
        <v>3.1216200000000001</v>
      </c>
      <c r="Y9" s="713">
        <f>W9</f>
        <v>2601.3500000000004</v>
      </c>
      <c r="Z9" s="715">
        <f>Y9*0.0005</f>
        <v>1.3006750000000002</v>
      </c>
      <c r="AA9" s="711">
        <v>0.03</v>
      </c>
      <c r="AB9" s="10">
        <f t="shared" si="10"/>
        <v>2601.3500000000004</v>
      </c>
      <c r="AC9" s="10">
        <f t="shared" si="11"/>
        <v>78.040500000000009</v>
      </c>
      <c r="AD9" s="712">
        <f t="shared" si="12"/>
        <v>199.37786940000004</v>
      </c>
      <c r="AE9" s="716">
        <v>860.27440000000001</v>
      </c>
      <c r="AF9" s="717">
        <v>7</v>
      </c>
    </row>
    <row r="10" spans="2:32" ht="21.75" customHeight="1" x14ac:dyDescent="0.2">
      <c r="B10" s="706" t="s">
        <v>657</v>
      </c>
      <c r="C10" s="707">
        <v>0</v>
      </c>
      <c r="D10" s="708" t="s">
        <v>7</v>
      </c>
      <c r="E10" s="669">
        <v>6.52</v>
      </c>
      <c r="F10" s="671">
        <v>8</v>
      </c>
      <c r="G10" s="670" t="s">
        <v>7</v>
      </c>
      <c r="H10" s="709">
        <v>10.878</v>
      </c>
      <c r="I10" s="669">
        <f t="shared" si="0"/>
        <v>164.35799999999998</v>
      </c>
      <c r="J10" s="333">
        <v>7</v>
      </c>
      <c r="K10" s="333">
        <f t="shared" si="1"/>
        <v>6.4</v>
      </c>
      <c r="L10" s="333">
        <v>0</v>
      </c>
      <c r="M10" s="710">
        <f t="shared" si="2"/>
        <v>1051.8911999999998</v>
      </c>
      <c r="N10" s="711">
        <f t="shared" si="3"/>
        <v>7.44</v>
      </c>
      <c r="O10" s="712">
        <f t="shared" si="4"/>
        <v>1222.8235199999999</v>
      </c>
      <c r="P10" s="711">
        <v>299.33999999999997</v>
      </c>
      <c r="Q10" s="10">
        <v>0</v>
      </c>
      <c r="R10" s="712">
        <f t="shared" ref="R10:R12" si="13">P10-(Q10*1.3)</f>
        <v>299.33999999999997</v>
      </c>
      <c r="S10" s="711">
        <f t="shared" si="5"/>
        <v>7.24</v>
      </c>
      <c r="T10" s="10">
        <v>0.15</v>
      </c>
      <c r="U10" s="10">
        <f t="shared" si="6"/>
        <v>1189.9519199999997</v>
      </c>
      <c r="V10" s="712">
        <f t="shared" si="7"/>
        <v>178.49278799999996</v>
      </c>
      <c r="W10" s="713">
        <f t="shared" si="8"/>
        <v>1051.8911999999998</v>
      </c>
      <c r="X10" s="712">
        <f t="shared" si="9"/>
        <v>1.2622694399999996</v>
      </c>
      <c r="Y10" s="713">
        <f t="shared" ref="Y10:Y12" si="14">W10</f>
        <v>1051.8911999999998</v>
      </c>
      <c r="Z10" s="715">
        <f t="shared" ref="Z10:Z12" si="15">Y10*0.0005</f>
        <v>0.5259455999999999</v>
      </c>
      <c r="AA10" s="711">
        <v>0.03</v>
      </c>
      <c r="AB10" s="10">
        <f t="shared" si="10"/>
        <v>1051.8911999999998</v>
      </c>
      <c r="AC10" s="10">
        <f t="shared" si="11"/>
        <v>31.556735999999994</v>
      </c>
      <c r="AD10" s="712">
        <f t="shared" si="12"/>
        <v>80.621149132799985</v>
      </c>
      <c r="AE10" s="716">
        <v>309.98079999999999</v>
      </c>
      <c r="AF10" s="717">
        <v>7</v>
      </c>
    </row>
    <row r="11" spans="2:32" ht="21.75" customHeight="1" x14ac:dyDescent="0.2">
      <c r="B11" s="706" t="s">
        <v>656</v>
      </c>
      <c r="C11" s="707">
        <v>0</v>
      </c>
      <c r="D11" s="708" t="s">
        <v>7</v>
      </c>
      <c r="E11" s="669">
        <v>6.59</v>
      </c>
      <c r="F11" s="671">
        <v>9</v>
      </c>
      <c r="G11" s="670" t="s">
        <v>7</v>
      </c>
      <c r="H11" s="709">
        <v>12.96</v>
      </c>
      <c r="I11" s="669">
        <f t="shared" si="0"/>
        <v>186.37</v>
      </c>
      <c r="J11" s="333">
        <v>7</v>
      </c>
      <c r="K11" s="333">
        <f t="shared" si="1"/>
        <v>6.4</v>
      </c>
      <c r="L11" s="333">
        <v>0</v>
      </c>
      <c r="M11" s="710">
        <f t="shared" si="2"/>
        <v>1192.768</v>
      </c>
      <c r="N11" s="711">
        <f t="shared" si="3"/>
        <v>7.44</v>
      </c>
      <c r="O11" s="712">
        <f t="shared" si="4"/>
        <v>1386.5928000000001</v>
      </c>
      <c r="P11" s="711">
        <v>802.16</v>
      </c>
      <c r="Q11" s="10">
        <v>0</v>
      </c>
      <c r="R11" s="712">
        <f t="shared" si="13"/>
        <v>802.16</v>
      </c>
      <c r="S11" s="711">
        <f t="shared" si="5"/>
        <v>7.24</v>
      </c>
      <c r="T11" s="10">
        <v>0.15</v>
      </c>
      <c r="U11" s="10">
        <f t="shared" si="6"/>
        <v>1349.3188</v>
      </c>
      <c r="V11" s="712">
        <f t="shared" si="7"/>
        <v>202.39782</v>
      </c>
      <c r="W11" s="713">
        <f t="shared" si="8"/>
        <v>1192.768</v>
      </c>
      <c r="X11" s="712">
        <f t="shared" si="9"/>
        <v>1.4313216</v>
      </c>
      <c r="Y11" s="713">
        <f t="shared" si="14"/>
        <v>1192.768</v>
      </c>
      <c r="Z11" s="715">
        <f t="shared" si="15"/>
        <v>0.59638400000000003</v>
      </c>
      <c r="AA11" s="711">
        <v>0.03</v>
      </c>
      <c r="AB11" s="10">
        <f t="shared" si="10"/>
        <v>1192.768</v>
      </c>
      <c r="AC11" s="10">
        <f t="shared" si="11"/>
        <v>35.78304</v>
      </c>
      <c r="AD11" s="712">
        <f t="shared" si="12"/>
        <v>91.418510592000004</v>
      </c>
      <c r="AE11" s="716">
        <v>358.57209999999998</v>
      </c>
      <c r="AF11" s="717">
        <v>7</v>
      </c>
    </row>
    <row r="12" spans="2:32" ht="21.75" customHeight="1" thickBot="1" x14ac:dyDescent="0.25">
      <c r="B12" s="706" t="s">
        <v>655</v>
      </c>
      <c r="C12" s="707">
        <v>0</v>
      </c>
      <c r="D12" s="708" t="s">
        <v>7</v>
      </c>
      <c r="E12" s="669">
        <v>6.62</v>
      </c>
      <c r="F12" s="671">
        <v>9</v>
      </c>
      <c r="G12" s="670" t="s">
        <v>7</v>
      </c>
      <c r="H12" s="709">
        <v>11.04</v>
      </c>
      <c r="I12" s="669">
        <f t="shared" si="0"/>
        <v>184.42</v>
      </c>
      <c r="J12" s="333">
        <v>7</v>
      </c>
      <c r="K12" s="333">
        <f t="shared" si="1"/>
        <v>6.4</v>
      </c>
      <c r="L12" s="333">
        <v>0</v>
      </c>
      <c r="M12" s="710">
        <f t="shared" si="2"/>
        <v>1180.288</v>
      </c>
      <c r="N12" s="711">
        <f t="shared" si="3"/>
        <v>7.44</v>
      </c>
      <c r="O12" s="712">
        <f t="shared" si="4"/>
        <v>1372.0848000000001</v>
      </c>
      <c r="P12" s="711">
        <v>325.54000000000002</v>
      </c>
      <c r="Q12" s="10">
        <v>2.95</v>
      </c>
      <c r="R12" s="712">
        <f t="shared" si="13"/>
        <v>321.70500000000004</v>
      </c>
      <c r="S12" s="711">
        <f t="shared" si="5"/>
        <v>7.24</v>
      </c>
      <c r="T12" s="10">
        <v>0.15</v>
      </c>
      <c r="U12" s="10">
        <f t="shared" si="6"/>
        <v>1335.2007999999998</v>
      </c>
      <c r="V12" s="712">
        <f t="shared" si="7"/>
        <v>200.28011999999998</v>
      </c>
      <c r="W12" s="713">
        <f t="shared" si="8"/>
        <v>1180.288</v>
      </c>
      <c r="X12" s="712">
        <f t="shared" si="9"/>
        <v>1.4163455999999999</v>
      </c>
      <c r="Y12" s="713">
        <f t="shared" si="14"/>
        <v>1180.288</v>
      </c>
      <c r="Z12" s="715">
        <f t="shared" si="15"/>
        <v>0.590144</v>
      </c>
      <c r="AA12" s="711">
        <v>0.03</v>
      </c>
      <c r="AB12" s="10">
        <f t="shared" si="10"/>
        <v>1180.288</v>
      </c>
      <c r="AC12" s="10">
        <f t="shared" si="11"/>
        <v>35.408639999999998</v>
      </c>
      <c r="AD12" s="712">
        <f t="shared" si="12"/>
        <v>90.461993472000003</v>
      </c>
      <c r="AE12" s="716">
        <v>356.03030000000001</v>
      </c>
      <c r="AF12" s="717">
        <v>7</v>
      </c>
    </row>
    <row r="13" spans="2:32" ht="19.5" customHeight="1" thickBot="1" x14ac:dyDescent="0.25">
      <c r="B13" s="1316" t="s">
        <v>494</v>
      </c>
      <c r="C13" s="1317"/>
      <c r="D13" s="1317"/>
      <c r="E13" s="1317"/>
      <c r="F13" s="1317"/>
      <c r="G13" s="1317"/>
      <c r="H13" s="1317"/>
      <c r="I13" s="718">
        <f>SUM(I8:I12)</f>
        <v>1048.6579999999999</v>
      </c>
      <c r="J13" s="1318"/>
      <c r="K13" s="1318"/>
      <c r="L13" s="1318"/>
      <c r="M13" s="719">
        <f>SUM(M8:M12)</f>
        <v>6599.9112000000005</v>
      </c>
      <c r="N13" s="720"/>
      <c r="O13" s="721">
        <f>SUM(O8:O12)</f>
        <v>7679.3655200000012</v>
      </c>
      <c r="P13" s="721">
        <f>SUM(P8:P12)</f>
        <v>1966.2199999999998</v>
      </c>
      <c r="Q13" s="721">
        <f>SUM(Q8:Q12)</f>
        <v>35.24</v>
      </c>
      <c r="R13" s="721">
        <f>SUM(R8:R12)</f>
        <v>1920.4079999999999</v>
      </c>
      <c r="S13" s="1319"/>
      <c r="T13" s="1318"/>
      <c r="U13" s="1318"/>
      <c r="V13" s="721">
        <f>SUM(V8:V12)</f>
        <v>1120.4450879999999</v>
      </c>
      <c r="W13" s="721">
        <f>SUM(W8:W12)</f>
        <v>6599.9112000000005</v>
      </c>
      <c r="X13" s="721">
        <f>SUM(X8:X12)</f>
        <v>7.9198934399999992</v>
      </c>
      <c r="Y13" s="721">
        <f>SUM(Y8:Y12)</f>
        <v>6599.9112000000005</v>
      </c>
      <c r="Z13" s="721">
        <f>SUM(Z8:Z12)</f>
        <v>3.2999556000000001</v>
      </c>
      <c r="AA13" s="720"/>
      <c r="AB13" s="721">
        <f>SUM(AB8:AB12)</f>
        <v>6599.9112000000005</v>
      </c>
      <c r="AC13" s="721">
        <f>SUM(AC8:AC12)</f>
        <v>197.99733599999999</v>
      </c>
      <c r="AD13" s="721">
        <f>SUM(AD8:AD12)</f>
        <v>505.84359401280005</v>
      </c>
      <c r="AE13" s="721">
        <f>SUM(AE8:AE12)</f>
        <v>2060.3276000000001</v>
      </c>
      <c r="AF13" s="722">
        <f>SUM(AF8:AF12)</f>
        <v>28</v>
      </c>
    </row>
    <row r="15" spans="2:32" ht="18" customHeight="1" x14ac:dyDescent="0.2">
      <c r="O15" s="723" t="s">
        <v>705</v>
      </c>
      <c r="P15" s="437">
        <f>R13</f>
        <v>1920.4079999999999</v>
      </c>
      <c r="Q15" s="40" t="s">
        <v>2</v>
      </c>
      <c r="S15" s="36"/>
      <c r="T15" s="42" t="s">
        <v>706</v>
      </c>
      <c r="U15" s="438">
        <f>TRUNC(U17*1.3*30,2)</f>
        <v>64088.73</v>
      </c>
      <c r="V15" s="41" t="s">
        <v>641</v>
      </c>
      <c r="W15" s="1315" t="s">
        <v>707</v>
      </c>
      <c r="X15" s="1315"/>
      <c r="Y15" s="40">
        <f>W13</f>
        <v>6599.9112000000005</v>
      </c>
      <c r="Z15" s="40" t="s">
        <v>1</v>
      </c>
      <c r="AC15" s="40"/>
      <c r="AD15" s="42" t="s">
        <v>469</v>
      </c>
      <c r="AE15" s="438">
        <f>TRUNC((0.0615*0.579*AE13),2)</f>
        <v>73.36</v>
      </c>
      <c r="AF15" s="36" t="s">
        <v>2</v>
      </c>
    </row>
    <row r="16" spans="2:32" ht="18" customHeight="1" x14ac:dyDescent="0.2">
      <c r="O16" s="723" t="s">
        <v>708</v>
      </c>
      <c r="P16" s="437">
        <f>R13*1.15</f>
        <v>2208.4691999999995</v>
      </c>
      <c r="Q16" s="40" t="s">
        <v>2</v>
      </c>
      <c r="S16" s="36"/>
      <c r="T16" s="42" t="s">
        <v>709</v>
      </c>
      <c r="U16" s="438">
        <f>TRUNC(U17*1.3*(DMT!F16-30),2)</f>
        <v>75624.7</v>
      </c>
      <c r="V16" s="41" t="s">
        <v>641</v>
      </c>
      <c r="W16" s="1315" t="s">
        <v>710</v>
      </c>
      <c r="X16" s="1315"/>
      <c r="Y16" s="437">
        <f>TRUNC(X13*30,2)</f>
        <v>237.59</v>
      </c>
      <c r="Z16" s="40" t="s">
        <v>711</v>
      </c>
      <c r="AC16" s="40"/>
      <c r="AD16" s="42" t="s">
        <v>470</v>
      </c>
      <c r="AE16" s="438">
        <f>TRUNC(0.033*0.579*AF13,2)</f>
        <v>0.53</v>
      </c>
      <c r="AF16" s="36" t="s">
        <v>2</v>
      </c>
    </row>
    <row r="17" spans="15:32" ht="18" customHeight="1" x14ac:dyDescent="0.2">
      <c r="O17" s="39" t="s">
        <v>712</v>
      </c>
      <c r="P17" s="437">
        <f>R13*1.3*DMT!F15</f>
        <v>8488.2033599999995</v>
      </c>
      <c r="Q17" s="40" t="s">
        <v>641</v>
      </c>
      <c r="R17" s="40"/>
      <c r="T17" s="42" t="s">
        <v>713</v>
      </c>
      <c r="U17" s="724">
        <f>V13*(0.53076+0.147+0.2606+0.52829)</f>
        <v>1643.3007883152</v>
      </c>
      <c r="V17" s="41" t="s">
        <v>714</v>
      </c>
      <c r="W17" s="1315" t="s">
        <v>715</v>
      </c>
      <c r="X17" s="1315"/>
      <c r="Y17" s="437">
        <f>TRUNC(X13*(DMT!F9-30),2)</f>
        <v>2953.32</v>
      </c>
      <c r="Z17" s="40" t="s">
        <v>716</v>
      </c>
      <c r="AC17" s="724"/>
      <c r="AD17" s="42" t="s">
        <v>472</v>
      </c>
      <c r="AE17" s="438">
        <f>TRUNC((AE16+AE15)*30,2)</f>
        <v>2216.6999999999998</v>
      </c>
      <c r="AF17" s="40" t="s">
        <v>641</v>
      </c>
    </row>
    <row r="18" spans="15:32" ht="18" customHeight="1" x14ac:dyDescent="0.2">
      <c r="O18" s="39" t="s">
        <v>717</v>
      </c>
      <c r="P18" s="437">
        <f>TRUNC(R13,2)</f>
        <v>1920.4</v>
      </c>
      <c r="Q18" s="41" t="s">
        <v>2</v>
      </c>
      <c r="U18" s="725"/>
      <c r="W18" s="1315" t="s">
        <v>718</v>
      </c>
      <c r="X18" s="1315"/>
      <c r="Y18" s="40">
        <f>Y13</f>
        <v>6599.9112000000005</v>
      </c>
      <c r="Z18" s="40" t="s">
        <v>1</v>
      </c>
      <c r="AD18" s="42" t="s">
        <v>473</v>
      </c>
      <c r="AE18" s="438">
        <f>TRUNC((AE15+AE16)*(DMT!F10-30),2)</f>
        <v>2615.6999999999998</v>
      </c>
      <c r="AF18" s="40" t="s">
        <v>641</v>
      </c>
    </row>
    <row r="19" spans="15:32" ht="18" customHeight="1" x14ac:dyDescent="0.2">
      <c r="O19" s="39" t="s">
        <v>719</v>
      </c>
      <c r="P19" s="437">
        <f>P13-R13</f>
        <v>45.811999999999898</v>
      </c>
      <c r="Q19" s="41" t="s">
        <v>2</v>
      </c>
      <c r="R19" s="41"/>
      <c r="V19" s="33"/>
      <c r="W19" s="1315" t="s">
        <v>720</v>
      </c>
      <c r="X19" s="1315"/>
      <c r="Y19" s="437">
        <f>TRUNC(Z13*30,2)</f>
        <v>98.99</v>
      </c>
      <c r="Z19" s="40" t="s">
        <v>711</v>
      </c>
      <c r="AD19" s="723" t="s">
        <v>721</v>
      </c>
      <c r="AE19" s="724">
        <f>AE15+AE16</f>
        <v>73.89</v>
      </c>
    </row>
    <row r="20" spans="15:32" ht="18" customHeight="1" x14ac:dyDescent="0.2">
      <c r="O20" s="39" t="s">
        <v>722</v>
      </c>
      <c r="P20" s="437">
        <f>Q13</f>
        <v>35.24</v>
      </c>
      <c r="Q20" s="41" t="s">
        <v>2</v>
      </c>
      <c r="R20" s="725"/>
      <c r="U20" s="33"/>
      <c r="W20" s="1315" t="s">
        <v>723</v>
      </c>
      <c r="X20" s="1315"/>
      <c r="Y20" s="437">
        <f>TRUNC(Z13*(DMT!F8-30),2)</f>
        <v>1230.55</v>
      </c>
      <c r="Z20" s="40" t="s">
        <v>716</v>
      </c>
      <c r="AF20" s="40"/>
    </row>
    <row r="21" spans="15:32" ht="18" customHeight="1" x14ac:dyDescent="0.2">
      <c r="P21" s="725"/>
      <c r="R21" s="726"/>
      <c r="S21" s="726"/>
      <c r="W21" s="1315" t="s">
        <v>724</v>
      </c>
      <c r="X21" s="1315"/>
      <c r="Y21" s="40">
        <f>AC13</f>
        <v>197.99733599999999</v>
      </c>
      <c r="Z21" s="36" t="s">
        <v>2</v>
      </c>
    </row>
    <row r="22" spans="15:32" ht="18" customHeight="1" x14ac:dyDescent="0.2">
      <c r="O22" s="42"/>
      <c r="P22" s="725"/>
      <c r="R22" s="726"/>
      <c r="S22" s="726"/>
      <c r="W22" s="1315" t="s">
        <v>725</v>
      </c>
      <c r="X22" s="1315"/>
      <c r="Y22" s="438">
        <f>TRUNC(AC13*30,2)</f>
        <v>5939.92</v>
      </c>
      <c r="Z22" s="40" t="s">
        <v>641</v>
      </c>
      <c r="AB22" s="33"/>
    </row>
    <row r="23" spans="15:32" ht="18" customHeight="1" x14ac:dyDescent="0.2">
      <c r="O23" s="39"/>
      <c r="P23" s="726"/>
      <c r="Q23" s="726"/>
      <c r="R23" s="726"/>
      <c r="S23" s="726"/>
      <c r="W23" s="1315" t="s">
        <v>726</v>
      </c>
      <c r="X23" s="1315"/>
      <c r="Y23" s="438">
        <f>TRUNC(AC13*1.3*(DMT!F7-30),2)</f>
        <v>9111.83</v>
      </c>
      <c r="Z23" s="40" t="s">
        <v>641</v>
      </c>
    </row>
    <row r="24" spans="15:32" x14ac:dyDescent="0.2">
      <c r="O24" s="39"/>
      <c r="P24" s="725"/>
    </row>
    <row r="25" spans="15:32" x14ac:dyDescent="0.2">
      <c r="O25" s="39"/>
      <c r="Y25" s="33"/>
    </row>
    <row r="26" spans="15:32" x14ac:dyDescent="0.2">
      <c r="O26" s="39"/>
    </row>
    <row r="27" spans="15:32" x14ac:dyDescent="0.2">
      <c r="O27" s="39"/>
      <c r="P27" s="725"/>
    </row>
  </sheetData>
  <mergeCells count="31">
    <mergeCell ref="B2:AF2"/>
    <mergeCell ref="B4:AF4"/>
    <mergeCell ref="B5:B7"/>
    <mergeCell ref="C5:H5"/>
    <mergeCell ref="I5:I6"/>
    <mergeCell ref="J5:J6"/>
    <mergeCell ref="K5:K6"/>
    <mergeCell ref="L5:L6"/>
    <mergeCell ref="M5:M6"/>
    <mergeCell ref="N5:O5"/>
    <mergeCell ref="P5:R5"/>
    <mergeCell ref="S5:V5"/>
    <mergeCell ref="W5:AD5"/>
    <mergeCell ref="AE5:AF5"/>
    <mergeCell ref="C6:E7"/>
    <mergeCell ref="F6:H7"/>
    <mergeCell ref="W6:X6"/>
    <mergeCell ref="Y6:Z6"/>
    <mergeCell ref="AA6:AD6"/>
    <mergeCell ref="W23:X23"/>
    <mergeCell ref="B13:H13"/>
    <mergeCell ref="J13:L13"/>
    <mergeCell ref="S13:U13"/>
    <mergeCell ref="W15:X15"/>
    <mergeCell ref="W16:X16"/>
    <mergeCell ref="W17:X17"/>
    <mergeCell ref="W18:X18"/>
    <mergeCell ref="W19:X19"/>
    <mergeCell ref="W20:X20"/>
    <mergeCell ref="W21:X21"/>
    <mergeCell ref="W22:X22"/>
  </mergeCells>
  <pageMargins left="0.51181102362204722" right="0.51181102362204722" top="1.1811023622047245" bottom="0.78740157480314965" header="0.31496062992125984" footer="0.31496062992125984"/>
  <pageSetup paperSize="8" scale="45" fitToHeight="0" orientation="landscape" r:id="rId1"/>
  <headerFooter>
    <oddHeader>&amp;L&amp;G&amp;R&amp;G</oddHeader>
  </headerFooter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5F962-D25C-4115-AB38-D898D3BF59DF}">
  <sheetPr>
    <tabColor theme="6" tint="0.39997558519241921"/>
    <pageSetUpPr fitToPage="1"/>
  </sheetPr>
  <dimension ref="B1:AI50"/>
  <sheetViews>
    <sheetView showGridLines="0" view="pageBreakPreview" zoomScale="85" zoomScaleNormal="60" zoomScaleSheetLayoutView="85" workbookViewId="0">
      <selection activeCell="L9" sqref="L9"/>
    </sheetView>
  </sheetViews>
  <sheetFormatPr defaultColWidth="10.6640625" defaultRowHeight="15" x14ac:dyDescent="0.2"/>
  <cols>
    <col min="1" max="1" width="6.5" style="249" customWidth="1"/>
    <col min="2" max="2" width="55.1640625" style="249" customWidth="1"/>
    <col min="3" max="3" width="43.5" style="249" customWidth="1"/>
    <col min="4" max="4" width="3" style="249" customWidth="1"/>
    <col min="5" max="5" width="43.5" style="249" customWidth="1"/>
    <col min="6" max="6" width="12.1640625" style="250" customWidth="1"/>
    <col min="7" max="8" width="16.83203125" style="249" customWidth="1"/>
    <col min="9" max="12" width="16.83203125" style="249" hidden="1" customWidth="1"/>
    <col min="13" max="13" width="19.5" style="250" customWidth="1"/>
    <col min="14" max="15" width="16.83203125" style="249" hidden="1" customWidth="1"/>
    <col min="16" max="18" width="18.83203125" style="249" customWidth="1"/>
    <col min="19" max="20" width="16.83203125" style="249" customWidth="1"/>
    <col min="21" max="34" width="15.83203125" style="249" customWidth="1"/>
    <col min="35" max="35" width="5.5" style="249" customWidth="1"/>
    <col min="36" max="16384" width="10.6640625" style="249"/>
  </cols>
  <sheetData>
    <row r="1" spans="2:34" ht="15.75" thickBot="1" x14ac:dyDescent="0.25"/>
    <row r="2" spans="2:34" ht="24" customHeight="1" thickBot="1" x14ac:dyDescent="0.25">
      <c r="B2" s="1365" t="s">
        <v>437</v>
      </c>
      <c r="C2" s="1366"/>
      <c r="D2" s="1366"/>
      <c r="E2" s="1366"/>
      <c r="F2" s="1366"/>
      <c r="G2" s="1366"/>
      <c r="H2" s="1366"/>
      <c r="I2" s="1366"/>
      <c r="J2" s="1366"/>
      <c r="K2" s="1366"/>
      <c r="L2" s="1366"/>
      <c r="M2" s="1366"/>
      <c r="N2" s="1366"/>
      <c r="O2" s="1366"/>
      <c r="P2" s="1366"/>
      <c r="Q2" s="1366"/>
      <c r="R2" s="1366"/>
      <c r="S2" s="1366"/>
      <c r="T2" s="1366"/>
      <c r="U2" s="1366"/>
      <c r="V2" s="1366"/>
      <c r="W2" s="1366"/>
      <c r="X2" s="1366"/>
      <c r="Y2" s="1366"/>
      <c r="Z2" s="1366"/>
      <c r="AA2" s="1366"/>
      <c r="AB2" s="1366"/>
      <c r="AC2" s="1366"/>
      <c r="AD2" s="1366"/>
      <c r="AE2" s="1366"/>
      <c r="AF2" s="1366"/>
      <c r="AG2" s="1366"/>
      <c r="AH2" s="1367"/>
    </row>
    <row r="3" spans="2:34" s="250" customFormat="1" ht="38.25" customHeight="1" x14ac:dyDescent="0.2">
      <c r="B3" s="1368" t="s">
        <v>4</v>
      </c>
      <c r="C3" s="1371" t="s">
        <v>35</v>
      </c>
      <c r="D3" s="1371"/>
      <c r="E3" s="1371"/>
      <c r="F3" s="1371" t="s">
        <v>36</v>
      </c>
      <c r="G3" s="1373" t="s">
        <v>436</v>
      </c>
      <c r="H3" s="1373" t="s">
        <v>435</v>
      </c>
      <c r="I3" s="1373" t="s">
        <v>434</v>
      </c>
      <c r="J3" s="1373" t="s">
        <v>349</v>
      </c>
      <c r="K3" s="1373" t="s">
        <v>350</v>
      </c>
      <c r="L3" s="1375" t="s">
        <v>351</v>
      </c>
      <c r="M3" s="1379" t="s">
        <v>450</v>
      </c>
      <c r="N3" s="1373"/>
      <c r="O3" s="1375"/>
      <c r="P3" s="1368" t="s">
        <v>37</v>
      </c>
      <c r="Q3" s="1371"/>
      <c r="R3" s="1371"/>
      <c r="S3" s="1371"/>
      <c r="T3" s="1380"/>
      <c r="U3" s="1379" t="s">
        <v>352</v>
      </c>
      <c r="V3" s="1373" t="s">
        <v>441</v>
      </c>
      <c r="W3" s="1373" t="s">
        <v>448</v>
      </c>
      <c r="X3" s="1373" t="s">
        <v>353</v>
      </c>
      <c r="Y3" s="1373" t="s">
        <v>354</v>
      </c>
      <c r="Z3" s="1373" t="s">
        <v>442</v>
      </c>
      <c r="AA3" s="1373" t="s">
        <v>443</v>
      </c>
      <c r="AB3" s="1373" t="s">
        <v>444</v>
      </c>
      <c r="AC3" s="1373" t="s">
        <v>355</v>
      </c>
      <c r="AD3" s="1377" t="s">
        <v>445</v>
      </c>
      <c r="AE3" s="1373" t="s">
        <v>356</v>
      </c>
      <c r="AF3" s="1377" t="s">
        <v>446</v>
      </c>
      <c r="AG3" s="1373" t="s">
        <v>447</v>
      </c>
      <c r="AH3" s="1375" t="s">
        <v>357</v>
      </c>
    </row>
    <row r="4" spans="2:34" s="250" customFormat="1" ht="97.9" customHeight="1" x14ac:dyDescent="0.2">
      <c r="B4" s="1369"/>
      <c r="C4" s="1372"/>
      <c r="D4" s="1372"/>
      <c r="E4" s="1372"/>
      <c r="F4" s="1372"/>
      <c r="G4" s="1374"/>
      <c r="H4" s="1374"/>
      <c r="I4" s="1374"/>
      <c r="J4" s="1374"/>
      <c r="K4" s="1374"/>
      <c r="L4" s="1376"/>
      <c r="M4" s="347" t="s">
        <v>358</v>
      </c>
      <c r="N4" s="346" t="s">
        <v>350</v>
      </c>
      <c r="O4" s="348" t="s">
        <v>351</v>
      </c>
      <c r="P4" s="347" t="s">
        <v>359</v>
      </c>
      <c r="Q4" s="346" t="s">
        <v>439</v>
      </c>
      <c r="R4" s="346" t="s">
        <v>438</v>
      </c>
      <c r="S4" s="346" t="s">
        <v>345</v>
      </c>
      <c r="T4" s="348" t="s">
        <v>440</v>
      </c>
      <c r="U4" s="1381"/>
      <c r="V4" s="1374"/>
      <c r="W4" s="1374"/>
      <c r="X4" s="1374"/>
      <c r="Y4" s="1374"/>
      <c r="Z4" s="1374"/>
      <c r="AA4" s="1374"/>
      <c r="AB4" s="1374"/>
      <c r="AC4" s="1374"/>
      <c r="AD4" s="1378"/>
      <c r="AE4" s="1374"/>
      <c r="AF4" s="1378"/>
      <c r="AG4" s="1374"/>
      <c r="AH4" s="1376"/>
    </row>
    <row r="5" spans="2:34" s="250" customFormat="1" ht="23.45" customHeight="1" thickBot="1" x14ac:dyDescent="0.25">
      <c r="B5" s="1370"/>
      <c r="C5" s="570"/>
      <c r="D5" s="571"/>
      <c r="E5" s="572"/>
      <c r="F5" s="573"/>
      <c r="G5" s="574" t="s">
        <v>346</v>
      </c>
      <c r="H5" s="574" t="s">
        <v>346</v>
      </c>
      <c r="I5" s="574" t="s">
        <v>346</v>
      </c>
      <c r="J5" s="574" t="s">
        <v>347</v>
      </c>
      <c r="K5" s="574" t="s">
        <v>347</v>
      </c>
      <c r="L5" s="575" t="s">
        <v>346</v>
      </c>
      <c r="M5" s="576" t="s">
        <v>347</v>
      </c>
      <c r="N5" s="574" t="s">
        <v>347</v>
      </c>
      <c r="O5" s="575" t="s">
        <v>346</v>
      </c>
      <c r="P5" s="576" t="s">
        <v>360</v>
      </c>
      <c r="Q5" s="574" t="s">
        <v>347</v>
      </c>
      <c r="R5" s="574" t="s">
        <v>346</v>
      </c>
      <c r="S5" s="574" t="s">
        <v>347</v>
      </c>
      <c r="T5" s="575" t="s">
        <v>346</v>
      </c>
      <c r="U5" s="576" t="s">
        <v>347</v>
      </c>
      <c r="V5" s="574" t="s">
        <v>348</v>
      </c>
      <c r="W5" s="574" t="s">
        <v>428</v>
      </c>
      <c r="X5" s="574" t="s">
        <v>347</v>
      </c>
      <c r="Y5" s="574" t="s">
        <v>346</v>
      </c>
      <c r="Z5" s="574" t="s">
        <v>347</v>
      </c>
      <c r="AA5" s="574" t="s">
        <v>432</v>
      </c>
      <c r="AB5" s="574" t="s">
        <v>432</v>
      </c>
      <c r="AC5" s="574" t="s">
        <v>347</v>
      </c>
      <c r="AD5" s="574" t="s">
        <v>346</v>
      </c>
      <c r="AE5" s="574" t="s">
        <v>348</v>
      </c>
      <c r="AF5" s="574" t="s">
        <v>346</v>
      </c>
      <c r="AG5" s="574" t="s">
        <v>348</v>
      </c>
      <c r="AH5" s="575" t="s">
        <v>348</v>
      </c>
    </row>
    <row r="6" spans="2:34" ht="15" customHeight="1" x14ac:dyDescent="0.2">
      <c r="B6" s="1384" t="s">
        <v>519</v>
      </c>
      <c r="C6" s="577" t="s">
        <v>517</v>
      </c>
      <c r="D6" s="577" t="s">
        <v>433</v>
      </c>
      <c r="E6" s="577" t="s">
        <v>518</v>
      </c>
      <c r="F6" s="578" t="s">
        <v>528</v>
      </c>
      <c r="G6" s="579">
        <v>0</v>
      </c>
      <c r="H6" s="580">
        <v>1.2</v>
      </c>
      <c r="I6" s="579"/>
      <c r="J6" s="581"/>
      <c r="K6" s="582"/>
      <c r="L6" s="583"/>
      <c r="M6" s="580">
        <v>8.59</v>
      </c>
      <c r="N6" s="579"/>
      <c r="O6" s="583"/>
      <c r="P6" s="584">
        <v>3</v>
      </c>
      <c r="Q6" s="581">
        <f t="shared" ref="Q6:Q29" si="0">(0.4+1.8+1.5+1.8+0.4)*H6</f>
        <v>7.08</v>
      </c>
      <c r="R6" s="581">
        <f t="shared" ref="R6:R29" si="1">H6+1.5+H6</f>
        <v>3.9000000000000004</v>
      </c>
      <c r="S6" s="584">
        <f t="shared" ref="S6:S29" si="2">(P6*Q6)</f>
        <v>21.240000000000002</v>
      </c>
      <c r="T6" s="585">
        <f t="shared" ref="T6:T29" si="3">(P6*R6)</f>
        <v>11.700000000000001</v>
      </c>
      <c r="U6" s="1352">
        <f>SUM(M6:M7)</f>
        <v>8.59</v>
      </c>
      <c r="V6" s="1355">
        <f t="shared" ref="V6" si="4">TRUNC(U6*0.1,2)</f>
        <v>0.85</v>
      </c>
      <c r="W6" s="1355">
        <f>TRUNC(V6*$C$31,2)</f>
        <v>2.89</v>
      </c>
      <c r="X6" s="1358">
        <f t="shared" ref="X6" si="5">(K6+K7)+(N6+N7)</f>
        <v>0</v>
      </c>
      <c r="Y6" s="1355">
        <f>SUM(T6:T7)</f>
        <v>19.5</v>
      </c>
      <c r="Z6" s="1355">
        <f t="shared" ref="Z6" si="6">TRUNC(0.4*Y6,2)</f>
        <v>7.8</v>
      </c>
      <c r="AA6" s="1355">
        <f>TRUNC(Z6*$C$33*0.001*30,2)</f>
        <v>14.62</v>
      </c>
      <c r="AB6" s="1355">
        <f>TRUNC(Z6*$C$33*0.001*($C$32-30),2)</f>
        <v>68.25</v>
      </c>
      <c r="AC6" s="1355">
        <f t="shared" ref="AC6" si="7">U6-X6-Z6</f>
        <v>0.79</v>
      </c>
      <c r="AD6" s="1355">
        <v>7.0000000000000007E-2</v>
      </c>
      <c r="AE6" s="1361">
        <f t="shared" ref="AE6" si="8">TRUNC(AC6*AD6,2)</f>
        <v>0.05</v>
      </c>
      <c r="AF6" s="1363">
        <f t="shared" ref="AF6" si="9">AD6-0.025</f>
        <v>4.5000000000000005E-2</v>
      </c>
      <c r="AG6" s="1361">
        <f t="shared" ref="AG6" si="10">TRUNC(Z6*AF6,2)</f>
        <v>0.35</v>
      </c>
      <c r="AH6" s="1349">
        <f t="shared" ref="AH6" si="11">AE6+AG6</f>
        <v>0.39999999999999997</v>
      </c>
    </row>
    <row r="7" spans="2:34" ht="15" customHeight="1" thickBot="1" x14ac:dyDescent="0.25">
      <c r="B7" s="1386"/>
      <c r="C7" s="586" t="s">
        <v>517</v>
      </c>
      <c r="D7" s="586" t="s">
        <v>433</v>
      </c>
      <c r="E7" s="586" t="s">
        <v>518</v>
      </c>
      <c r="F7" s="587" t="s">
        <v>299</v>
      </c>
      <c r="G7" s="588">
        <v>0</v>
      </c>
      <c r="H7" s="589">
        <v>1.2</v>
      </c>
      <c r="I7" s="588"/>
      <c r="J7" s="590"/>
      <c r="K7" s="591"/>
      <c r="L7" s="592"/>
      <c r="M7" s="589">
        <v>0</v>
      </c>
      <c r="N7" s="588"/>
      <c r="O7" s="592"/>
      <c r="P7" s="593">
        <v>2</v>
      </c>
      <c r="Q7" s="590">
        <f t="shared" si="0"/>
        <v>7.08</v>
      </c>
      <c r="R7" s="590">
        <f t="shared" si="1"/>
        <v>3.9000000000000004</v>
      </c>
      <c r="S7" s="593">
        <f t="shared" si="2"/>
        <v>14.16</v>
      </c>
      <c r="T7" s="594">
        <f t="shared" si="3"/>
        <v>7.8000000000000007</v>
      </c>
      <c r="U7" s="1354"/>
      <c r="V7" s="1357"/>
      <c r="W7" s="1357"/>
      <c r="X7" s="1360"/>
      <c r="Y7" s="1357"/>
      <c r="Z7" s="1357"/>
      <c r="AA7" s="1357"/>
      <c r="AB7" s="1357"/>
      <c r="AC7" s="1357"/>
      <c r="AD7" s="1357"/>
      <c r="AE7" s="1362"/>
      <c r="AF7" s="1364"/>
      <c r="AG7" s="1362"/>
      <c r="AH7" s="1351"/>
    </row>
    <row r="8" spans="2:34" ht="15" customHeight="1" x14ac:dyDescent="0.2">
      <c r="B8" s="1390" t="s">
        <v>521</v>
      </c>
      <c r="C8" s="577" t="s">
        <v>517</v>
      </c>
      <c r="D8" s="577" t="s">
        <v>433</v>
      </c>
      <c r="E8" s="577" t="s">
        <v>518</v>
      </c>
      <c r="F8" s="578" t="s">
        <v>528</v>
      </c>
      <c r="G8" s="579">
        <v>0</v>
      </c>
      <c r="H8" s="580">
        <v>1.2</v>
      </c>
      <c r="I8" s="579"/>
      <c r="J8" s="581"/>
      <c r="K8" s="582"/>
      <c r="L8" s="583"/>
      <c r="M8" s="580">
        <v>8.3574999999999999</v>
      </c>
      <c r="N8" s="579"/>
      <c r="O8" s="583"/>
      <c r="P8" s="584">
        <v>2</v>
      </c>
      <c r="Q8" s="581">
        <f t="shared" si="0"/>
        <v>7.08</v>
      </c>
      <c r="R8" s="581">
        <f t="shared" si="1"/>
        <v>3.9000000000000004</v>
      </c>
      <c r="S8" s="584">
        <f t="shared" si="2"/>
        <v>14.16</v>
      </c>
      <c r="T8" s="585">
        <f t="shared" si="3"/>
        <v>7.8000000000000007</v>
      </c>
      <c r="U8" s="1352">
        <f>SUM(M8:M9)</f>
        <v>16.652799999999999</v>
      </c>
      <c r="V8" s="1355">
        <f t="shared" ref="V8" si="12">TRUNC(U8*0.1,2)</f>
        <v>1.66</v>
      </c>
      <c r="W8" s="1355">
        <f>TRUNC(V8*$C$31,2)</f>
        <v>5.64</v>
      </c>
      <c r="X8" s="1358">
        <f t="shared" ref="X8" si="13">(K8+K9)+(N8+N9)</f>
        <v>0</v>
      </c>
      <c r="Y8" s="1355">
        <f>SUM(T8:T9)</f>
        <v>15.600000000000001</v>
      </c>
      <c r="Z8" s="1355">
        <f t="shared" ref="Z8" si="14">TRUNC(0.4*Y8,2)</f>
        <v>6.24</v>
      </c>
      <c r="AA8" s="1355">
        <f>TRUNC(Z8*$C$33*0.001*30,2)</f>
        <v>11.7</v>
      </c>
      <c r="AB8" s="1355">
        <f>TRUNC(Z8*$C$33*0.001*($C$32-30),2)</f>
        <v>54.6</v>
      </c>
      <c r="AC8" s="1355">
        <f t="shared" ref="AC8" si="15">U8-X8-Z8</f>
        <v>10.412799999999999</v>
      </c>
      <c r="AD8" s="1355">
        <v>7.0000000000000007E-2</v>
      </c>
      <c r="AE8" s="1361">
        <f t="shared" ref="AE8" si="16">TRUNC(AC8*AD8,2)</f>
        <v>0.72</v>
      </c>
      <c r="AF8" s="1363">
        <f t="shared" ref="AF8" si="17">AD8-0.025</f>
        <v>4.5000000000000005E-2</v>
      </c>
      <c r="AG8" s="1361">
        <f t="shared" ref="AG8" si="18">TRUNC(Z8*AF8,2)</f>
        <v>0.28000000000000003</v>
      </c>
      <c r="AH8" s="1349">
        <f t="shared" ref="AH8" si="19">AE8+AG8</f>
        <v>1</v>
      </c>
    </row>
    <row r="9" spans="2:34" ht="15" customHeight="1" thickBot="1" x14ac:dyDescent="0.25">
      <c r="B9" s="1391"/>
      <c r="C9" s="586" t="s">
        <v>517</v>
      </c>
      <c r="D9" s="586" t="s">
        <v>433</v>
      </c>
      <c r="E9" s="586" t="s">
        <v>518</v>
      </c>
      <c r="F9" s="587" t="s">
        <v>299</v>
      </c>
      <c r="G9" s="588">
        <v>0</v>
      </c>
      <c r="H9" s="589">
        <v>1.2</v>
      </c>
      <c r="I9" s="588"/>
      <c r="J9" s="590"/>
      <c r="K9" s="591"/>
      <c r="L9" s="592"/>
      <c r="M9" s="589">
        <v>8.2952999999999992</v>
      </c>
      <c r="N9" s="588"/>
      <c r="O9" s="592"/>
      <c r="P9" s="593">
        <v>2</v>
      </c>
      <c r="Q9" s="590">
        <f t="shared" si="0"/>
        <v>7.08</v>
      </c>
      <c r="R9" s="590">
        <f t="shared" si="1"/>
        <v>3.9000000000000004</v>
      </c>
      <c r="S9" s="593">
        <f>(P9*Q9)</f>
        <v>14.16</v>
      </c>
      <c r="T9" s="594">
        <f t="shared" si="3"/>
        <v>7.8000000000000007</v>
      </c>
      <c r="U9" s="1354"/>
      <c r="V9" s="1357"/>
      <c r="W9" s="1357"/>
      <c r="X9" s="1360"/>
      <c r="Y9" s="1357"/>
      <c r="Z9" s="1357"/>
      <c r="AA9" s="1357"/>
      <c r="AB9" s="1357"/>
      <c r="AC9" s="1357"/>
      <c r="AD9" s="1357"/>
      <c r="AE9" s="1362"/>
      <c r="AF9" s="1364"/>
      <c r="AG9" s="1362"/>
      <c r="AH9" s="1351"/>
    </row>
    <row r="10" spans="2:34" ht="15" customHeight="1" x14ac:dyDescent="0.2">
      <c r="B10" s="1390" t="s">
        <v>526</v>
      </c>
      <c r="C10" s="577" t="s">
        <v>517</v>
      </c>
      <c r="D10" s="577" t="s">
        <v>433</v>
      </c>
      <c r="E10" s="577" t="s">
        <v>518</v>
      </c>
      <c r="F10" s="578" t="s">
        <v>528</v>
      </c>
      <c r="G10" s="579">
        <v>0</v>
      </c>
      <c r="H10" s="580">
        <v>1.2</v>
      </c>
      <c r="I10" s="579"/>
      <c r="J10" s="581"/>
      <c r="K10" s="582"/>
      <c r="L10" s="583"/>
      <c r="M10" s="580">
        <v>4.5305</v>
      </c>
      <c r="N10" s="579"/>
      <c r="O10" s="583"/>
      <c r="P10" s="584">
        <v>2</v>
      </c>
      <c r="Q10" s="581">
        <f t="shared" si="0"/>
        <v>7.08</v>
      </c>
      <c r="R10" s="581">
        <f t="shared" si="1"/>
        <v>3.9000000000000004</v>
      </c>
      <c r="S10" s="584">
        <f t="shared" si="2"/>
        <v>14.16</v>
      </c>
      <c r="T10" s="585">
        <f t="shared" si="3"/>
        <v>7.8000000000000007</v>
      </c>
      <c r="U10" s="1352">
        <f>SUM(M10:M11)</f>
        <v>9.2395999999999994</v>
      </c>
      <c r="V10" s="1355">
        <f t="shared" ref="V10" si="20">TRUNC(U10*0.1,2)</f>
        <v>0.92</v>
      </c>
      <c r="W10" s="1355">
        <f>TRUNC(V10*$C$31,2)</f>
        <v>3.12</v>
      </c>
      <c r="X10" s="1358">
        <f t="shared" ref="X10" si="21">(K10+K11)+(N10+N11)</f>
        <v>0</v>
      </c>
      <c r="Y10" s="1355">
        <f>SUM(T10:T11)</f>
        <v>15.600000000000001</v>
      </c>
      <c r="Z10" s="1355">
        <f t="shared" ref="Z10" si="22">TRUNC(0.4*Y10,2)</f>
        <v>6.24</v>
      </c>
      <c r="AA10" s="1355">
        <f>TRUNC(Z10*$C$33*0.001*30,2)</f>
        <v>11.7</v>
      </c>
      <c r="AB10" s="1355">
        <f>TRUNC(Z10*$C$33*0.001*($C$32-30),2)</f>
        <v>54.6</v>
      </c>
      <c r="AC10" s="1355">
        <f t="shared" ref="AC10" si="23">U10-X10-Z10</f>
        <v>2.9995999999999992</v>
      </c>
      <c r="AD10" s="1355">
        <v>7.0000000000000007E-2</v>
      </c>
      <c r="AE10" s="1361">
        <f t="shared" ref="AE10" si="24">TRUNC(AC10*AD10,2)</f>
        <v>0.2</v>
      </c>
      <c r="AF10" s="1363">
        <f t="shared" ref="AF10" si="25">AD10-0.025</f>
        <v>4.5000000000000005E-2</v>
      </c>
      <c r="AG10" s="1361">
        <f t="shared" ref="AG10" si="26">TRUNC(Z10*AF10,2)</f>
        <v>0.28000000000000003</v>
      </c>
      <c r="AH10" s="1349">
        <f t="shared" ref="AH10" si="27">AE10+AG10</f>
        <v>0.48000000000000004</v>
      </c>
    </row>
    <row r="11" spans="2:34" ht="15" customHeight="1" thickBot="1" x14ac:dyDescent="0.25">
      <c r="B11" s="1391"/>
      <c r="C11" s="586" t="s">
        <v>517</v>
      </c>
      <c r="D11" s="586" t="s">
        <v>433</v>
      </c>
      <c r="E11" s="586" t="s">
        <v>518</v>
      </c>
      <c r="F11" s="587" t="s">
        <v>299</v>
      </c>
      <c r="G11" s="588">
        <v>0</v>
      </c>
      <c r="H11" s="589">
        <v>1.2</v>
      </c>
      <c r="I11" s="588"/>
      <c r="J11" s="590"/>
      <c r="K11" s="591"/>
      <c r="L11" s="592"/>
      <c r="M11" s="589">
        <v>4.7091000000000003</v>
      </c>
      <c r="N11" s="588"/>
      <c r="O11" s="592"/>
      <c r="P11" s="593">
        <v>2</v>
      </c>
      <c r="Q11" s="590">
        <f t="shared" si="0"/>
        <v>7.08</v>
      </c>
      <c r="R11" s="590">
        <f t="shared" si="1"/>
        <v>3.9000000000000004</v>
      </c>
      <c r="S11" s="593">
        <f t="shared" si="2"/>
        <v>14.16</v>
      </c>
      <c r="T11" s="594">
        <f t="shared" si="3"/>
        <v>7.8000000000000007</v>
      </c>
      <c r="U11" s="1354"/>
      <c r="V11" s="1357"/>
      <c r="W11" s="1357"/>
      <c r="X11" s="1360"/>
      <c r="Y11" s="1357"/>
      <c r="Z11" s="1357"/>
      <c r="AA11" s="1357"/>
      <c r="AB11" s="1357"/>
      <c r="AC11" s="1357"/>
      <c r="AD11" s="1357"/>
      <c r="AE11" s="1362"/>
      <c r="AF11" s="1364"/>
      <c r="AG11" s="1362"/>
      <c r="AH11" s="1351"/>
    </row>
    <row r="12" spans="2:34" ht="15" customHeight="1" x14ac:dyDescent="0.2">
      <c r="B12" s="1390" t="s">
        <v>523</v>
      </c>
      <c r="C12" s="577" t="s">
        <v>517</v>
      </c>
      <c r="D12" s="577" t="s">
        <v>433</v>
      </c>
      <c r="E12" s="577" t="s">
        <v>518</v>
      </c>
      <c r="F12" s="578" t="s">
        <v>528</v>
      </c>
      <c r="G12" s="579">
        <v>0</v>
      </c>
      <c r="H12" s="580">
        <v>1.2</v>
      </c>
      <c r="I12" s="579"/>
      <c r="J12" s="581"/>
      <c r="K12" s="582"/>
      <c r="L12" s="583"/>
      <c r="M12" s="580">
        <v>4.5580999999999996</v>
      </c>
      <c r="N12" s="579"/>
      <c r="O12" s="583"/>
      <c r="P12" s="584">
        <v>2</v>
      </c>
      <c r="Q12" s="581">
        <f t="shared" si="0"/>
        <v>7.08</v>
      </c>
      <c r="R12" s="581">
        <f t="shared" si="1"/>
        <v>3.9000000000000004</v>
      </c>
      <c r="S12" s="584">
        <f t="shared" si="2"/>
        <v>14.16</v>
      </c>
      <c r="T12" s="585">
        <f t="shared" si="3"/>
        <v>7.8000000000000007</v>
      </c>
      <c r="U12" s="1352">
        <f>SUM(M12:M13)</f>
        <v>9.4097000000000008</v>
      </c>
      <c r="V12" s="1355">
        <f t="shared" ref="V12" si="28">TRUNC(U12*0.1,2)</f>
        <v>0.94</v>
      </c>
      <c r="W12" s="1355">
        <f>TRUNC(V12*$C$31,2)</f>
        <v>3.19</v>
      </c>
      <c r="X12" s="1358">
        <f t="shared" ref="X12" si="29">(K12+K13)+(N12+N13)</f>
        <v>0</v>
      </c>
      <c r="Y12" s="1355">
        <f>SUM(T12:T13)</f>
        <v>15.600000000000001</v>
      </c>
      <c r="Z12" s="1355">
        <f t="shared" ref="Z12" si="30">TRUNC(0.4*Y12,2)</f>
        <v>6.24</v>
      </c>
      <c r="AA12" s="1355">
        <f>TRUNC(Z12*$C$33*0.001*30,2)</f>
        <v>11.7</v>
      </c>
      <c r="AB12" s="1355">
        <f>TRUNC(Z12*$C$33*0.001*($C$32-30),2)</f>
        <v>54.6</v>
      </c>
      <c r="AC12" s="1355">
        <f t="shared" ref="AC12" si="31">U12-X12-Z12</f>
        <v>3.1697000000000006</v>
      </c>
      <c r="AD12" s="1355">
        <v>7.0000000000000007E-2</v>
      </c>
      <c r="AE12" s="1361">
        <f t="shared" ref="AE12" si="32">TRUNC(AC12*AD12,2)</f>
        <v>0.22</v>
      </c>
      <c r="AF12" s="1363">
        <f t="shared" ref="AF12" si="33">AD12-0.025</f>
        <v>4.5000000000000005E-2</v>
      </c>
      <c r="AG12" s="1361">
        <f t="shared" ref="AG12" si="34">TRUNC(Z12*AF12,2)</f>
        <v>0.28000000000000003</v>
      </c>
      <c r="AH12" s="1349">
        <f t="shared" ref="AH12" si="35">AE12+AG12</f>
        <v>0.5</v>
      </c>
    </row>
    <row r="13" spans="2:34" ht="15" customHeight="1" thickBot="1" x14ac:dyDescent="0.25">
      <c r="B13" s="1391"/>
      <c r="C13" s="586" t="s">
        <v>517</v>
      </c>
      <c r="D13" s="586" t="s">
        <v>433</v>
      </c>
      <c r="E13" s="586" t="s">
        <v>518</v>
      </c>
      <c r="F13" s="587" t="s">
        <v>299</v>
      </c>
      <c r="G13" s="588">
        <v>0</v>
      </c>
      <c r="H13" s="589">
        <v>1.2</v>
      </c>
      <c r="I13" s="588"/>
      <c r="J13" s="590"/>
      <c r="K13" s="591"/>
      <c r="L13" s="592"/>
      <c r="M13" s="589">
        <v>4.8516000000000004</v>
      </c>
      <c r="N13" s="588"/>
      <c r="O13" s="592"/>
      <c r="P13" s="593">
        <v>2</v>
      </c>
      <c r="Q13" s="590">
        <f t="shared" si="0"/>
        <v>7.08</v>
      </c>
      <c r="R13" s="590">
        <f t="shared" si="1"/>
        <v>3.9000000000000004</v>
      </c>
      <c r="S13" s="593">
        <f t="shared" si="2"/>
        <v>14.16</v>
      </c>
      <c r="T13" s="594">
        <f t="shared" si="3"/>
        <v>7.8000000000000007</v>
      </c>
      <c r="U13" s="1354"/>
      <c r="V13" s="1357"/>
      <c r="W13" s="1357"/>
      <c r="X13" s="1360"/>
      <c r="Y13" s="1357"/>
      <c r="Z13" s="1357"/>
      <c r="AA13" s="1357"/>
      <c r="AB13" s="1357"/>
      <c r="AC13" s="1357"/>
      <c r="AD13" s="1357"/>
      <c r="AE13" s="1362"/>
      <c r="AF13" s="1364"/>
      <c r="AG13" s="1362"/>
      <c r="AH13" s="1351"/>
    </row>
    <row r="14" spans="2:34" ht="15" customHeight="1" x14ac:dyDescent="0.2">
      <c r="B14" s="1390" t="s">
        <v>581</v>
      </c>
      <c r="C14" s="577" t="s">
        <v>517</v>
      </c>
      <c r="D14" s="577" t="s">
        <v>433</v>
      </c>
      <c r="E14" s="577" t="s">
        <v>518</v>
      </c>
      <c r="F14" s="578" t="s">
        <v>528</v>
      </c>
      <c r="G14" s="579">
        <v>0</v>
      </c>
      <c r="H14" s="580">
        <v>1.2</v>
      </c>
      <c r="I14" s="579"/>
      <c r="J14" s="581"/>
      <c r="K14" s="582"/>
      <c r="L14" s="583"/>
      <c r="M14" s="580">
        <v>4.8764000000000003</v>
      </c>
      <c r="N14" s="579"/>
      <c r="O14" s="583"/>
      <c r="P14" s="584">
        <v>2</v>
      </c>
      <c r="Q14" s="581">
        <f t="shared" si="0"/>
        <v>7.08</v>
      </c>
      <c r="R14" s="581">
        <f t="shared" si="1"/>
        <v>3.9000000000000004</v>
      </c>
      <c r="S14" s="584">
        <f t="shared" si="2"/>
        <v>14.16</v>
      </c>
      <c r="T14" s="585">
        <f t="shared" si="3"/>
        <v>7.8000000000000007</v>
      </c>
      <c r="U14" s="1352">
        <f>SUM(M14:M15)</f>
        <v>9.4003000000000014</v>
      </c>
      <c r="V14" s="1355">
        <f t="shared" ref="V14" si="36">TRUNC(U14*0.1,2)</f>
        <v>0.94</v>
      </c>
      <c r="W14" s="1355">
        <f>TRUNC(V14*$C$31,2)</f>
        <v>3.19</v>
      </c>
      <c r="X14" s="1358">
        <f t="shared" ref="X14" si="37">(K14+K15)+(N14+N15)</f>
        <v>0</v>
      </c>
      <c r="Y14" s="1355">
        <f>SUM(T14:T15)</f>
        <v>15.600000000000001</v>
      </c>
      <c r="Z14" s="1355">
        <f t="shared" ref="Z14" si="38">TRUNC(0.4*Y14,2)</f>
        <v>6.24</v>
      </c>
      <c r="AA14" s="1355">
        <f>TRUNC(Z14*$C$33*0.001*30,2)</f>
        <v>11.7</v>
      </c>
      <c r="AB14" s="1355">
        <f>TRUNC(Z14*$C$33*0.001*($C$32-30),2)</f>
        <v>54.6</v>
      </c>
      <c r="AC14" s="1355">
        <f t="shared" ref="AC14" si="39">U14-X14-Z14</f>
        <v>3.1603000000000012</v>
      </c>
      <c r="AD14" s="1355">
        <v>7.0000000000000007E-2</v>
      </c>
      <c r="AE14" s="1361">
        <f t="shared" ref="AE14" si="40">TRUNC(AC14*AD14,2)</f>
        <v>0.22</v>
      </c>
      <c r="AF14" s="1363">
        <f t="shared" ref="AF14" si="41">AD14-0.025</f>
        <v>4.5000000000000005E-2</v>
      </c>
      <c r="AG14" s="1361">
        <f t="shared" ref="AG14" si="42">TRUNC(Z14*AF14,2)</f>
        <v>0.28000000000000003</v>
      </c>
      <c r="AH14" s="1349">
        <f t="shared" ref="AH14" si="43">AE14+AG14</f>
        <v>0.5</v>
      </c>
    </row>
    <row r="15" spans="2:34" ht="15" customHeight="1" thickBot="1" x14ac:dyDescent="0.25">
      <c r="B15" s="1391"/>
      <c r="C15" s="586" t="s">
        <v>517</v>
      </c>
      <c r="D15" s="586" t="s">
        <v>433</v>
      </c>
      <c r="E15" s="586" t="s">
        <v>518</v>
      </c>
      <c r="F15" s="587" t="s">
        <v>299</v>
      </c>
      <c r="G15" s="588">
        <v>0</v>
      </c>
      <c r="H15" s="589">
        <v>1.2</v>
      </c>
      <c r="I15" s="588"/>
      <c r="J15" s="590"/>
      <c r="K15" s="591"/>
      <c r="L15" s="592"/>
      <c r="M15" s="589">
        <v>4.5239000000000003</v>
      </c>
      <c r="N15" s="588"/>
      <c r="O15" s="592"/>
      <c r="P15" s="593">
        <v>2</v>
      </c>
      <c r="Q15" s="590">
        <f t="shared" si="0"/>
        <v>7.08</v>
      </c>
      <c r="R15" s="590">
        <f t="shared" si="1"/>
        <v>3.9000000000000004</v>
      </c>
      <c r="S15" s="593">
        <f t="shared" si="2"/>
        <v>14.16</v>
      </c>
      <c r="T15" s="594">
        <f t="shared" si="3"/>
        <v>7.8000000000000007</v>
      </c>
      <c r="U15" s="1354"/>
      <c r="V15" s="1357"/>
      <c r="W15" s="1357"/>
      <c r="X15" s="1360"/>
      <c r="Y15" s="1357"/>
      <c r="Z15" s="1357"/>
      <c r="AA15" s="1357"/>
      <c r="AB15" s="1357"/>
      <c r="AC15" s="1357"/>
      <c r="AD15" s="1357"/>
      <c r="AE15" s="1362"/>
      <c r="AF15" s="1364"/>
      <c r="AG15" s="1362"/>
      <c r="AH15" s="1351"/>
    </row>
    <row r="16" spans="2:34" ht="15" customHeight="1" x14ac:dyDescent="0.2">
      <c r="B16" s="1384" t="s">
        <v>520</v>
      </c>
      <c r="C16" s="577" t="s">
        <v>519</v>
      </c>
      <c r="D16" s="577" t="s">
        <v>433</v>
      </c>
      <c r="E16" s="577" t="s">
        <v>521</v>
      </c>
      <c r="F16" s="578" t="s">
        <v>528</v>
      </c>
      <c r="G16" s="579">
        <v>0</v>
      </c>
      <c r="H16" s="580">
        <v>1.2</v>
      </c>
      <c r="I16" s="579"/>
      <c r="J16" s="581"/>
      <c r="K16" s="582"/>
      <c r="L16" s="583"/>
      <c r="M16" s="580">
        <v>8.89</v>
      </c>
      <c r="N16" s="579"/>
      <c r="O16" s="583"/>
      <c r="P16" s="584">
        <v>2</v>
      </c>
      <c r="Q16" s="581">
        <f t="shared" si="0"/>
        <v>7.08</v>
      </c>
      <c r="R16" s="581">
        <f t="shared" si="1"/>
        <v>3.9000000000000004</v>
      </c>
      <c r="S16" s="584">
        <f t="shared" si="2"/>
        <v>14.16</v>
      </c>
      <c r="T16" s="585">
        <f t="shared" si="3"/>
        <v>7.8000000000000007</v>
      </c>
      <c r="U16" s="1352">
        <f>SUM(M16:M29)</f>
        <v>218.6533</v>
      </c>
      <c r="V16" s="1355">
        <f t="shared" ref="V16" si="44">TRUNC(U16*0.1,2)</f>
        <v>21.86</v>
      </c>
      <c r="W16" s="1355">
        <f>TRUNC(V16*$C$31,2)</f>
        <v>74.319999999999993</v>
      </c>
      <c r="X16" s="1358">
        <f t="shared" ref="X16" si="45">(K16+K17)+(N16+N17)</f>
        <v>0</v>
      </c>
      <c r="Y16" s="1355">
        <f>SUM(T16:T29)</f>
        <v>124.79999999999998</v>
      </c>
      <c r="Z16" s="1355">
        <f t="shared" ref="Z16" si="46">TRUNC(0.4*Y16,2)</f>
        <v>49.92</v>
      </c>
      <c r="AA16" s="1355">
        <f>TRUNC(Z16*$C$33*0.001*30,2)</f>
        <v>93.6</v>
      </c>
      <c r="AB16" s="1355">
        <f>TRUNC(Z16*$C$33*0.001*($C$32-30),2)</f>
        <v>436.8</v>
      </c>
      <c r="AC16" s="1355">
        <f t="shared" ref="AC16" si="47">U16-X16-Z16</f>
        <v>168.73329999999999</v>
      </c>
      <c r="AD16" s="1355">
        <v>7.0000000000000007E-2</v>
      </c>
      <c r="AE16" s="1361">
        <f t="shared" ref="AE16" si="48">TRUNC(AC16*AD16,2)</f>
        <v>11.81</v>
      </c>
      <c r="AF16" s="1363">
        <f t="shared" ref="AF16" si="49">AD16-0.025</f>
        <v>4.5000000000000005E-2</v>
      </c>
      <c r="AG16" s="1361">
        <f t="shared" ref="AG16" si="50">TRUNC(Z16*AF16,2)</f>
        <v>2.2400000000000002</v>
      </c>
      <c r="AH16" s="1349">
        <f t="shared" ref="AH16" si="51">AE16+AG16</f>
        <v>14.05</v>
      </c>
    </row>
    <row r="17" spans="2:34" ht="15" customHeight="1" x14ac:dyDescent="0.2">
      <c r="B17" s="1385"/>
      <c r="C17" s="349" t="s">
        <v>519</v>
      </c>
      <c r="D17" s="349" t="s">
        <v>433</v>
      </c>
      <c r="E17" s="349" t="s">
        <v>521</v>
      </c>
      <c r="F17" s="350" t="s">
        <v>299</v>
      </c>
      <c r="G17" s="351">
        <v>0</v>
      </c>
      <c r="H17" s="531">
        <v>1.2</v>
      </c>
      <c r="I17" s="351"/>
      <c r="J17" s="552"/>
      <c r="K17" s="550"/>
      <c r="L17" s="353"/>
      <c r="M17" s="531">
        <v>16.850000000000001</v>
      </c>
      <c r="N17" s="351"/>
      <c r="O17" s="353"/>
      <c r="P17" s="352">
        <v>2</v>
      </c>
      <c r="Q17" s="552">
        <f t="shared" si="0"/>
        <v>7.08</v>
      </c>
      <c r="R17" s="552">
        <f t="shared" si="1"/>
        <v>3.9000000000000004</v>
      </c>
      <c r="S17" s="352">
        <f t="shared" si="2"/>
        <v>14.16</v>
      </c>
      <c r="T17" s="354">
        <f t="shared" si="3"/>
        <v>7.8000000000000007</v>
      </c>
      <c r="U17" s="1353"/>
      <c r="V17" s="1356"/>
      <c r="W17" s="1356"/>
      <c r="X17" s="1359"/>
      <c r="Y17" s="1356"/>
      <c r="Z17" s="1356"/>
      <c r="AA17" s="1356"/>
      <c r="AB17" s="1356"/>
      <c r="AC17" s="1356"/>
      <c r="AD17" s="1356"/>
      <c r="AE17" s="1382"/>
      <c r="AF17" s="1383"/>
      <c r="AG17" s="1382"/>
      <c r="AH17" s="1350"/>
    </row>
    <row r="18" spans="2:34" ht="15" customHeight="1" x14ac:dyDescent="0.2">
      <c r="B18" s="1385"/>
      <c r="C18" s="349" t="s">
        <v>521</v>
      </c>
      <c r="D18" s="349" t="s">
        <v>433</v>
      </c>
      <c r="E18" s="349" t="s">
        <v>526</v>
      </c>
      <c r="F18" s="350" t="s">
        <v>528</v>
      </c>
      <c r="G18" s="351">
        <v>0</v>
      </c>
      <c r="H18" s="531">
        <v>1.2</v>
      </c>
      <c r="I18" s="351"/>
      <c r="J18" s="552"/>
      <c r="K18" s="550"/>
      <c r="L18" s="353"/>
      <c r="M18" s="531">
        <v>20.96</v>
      </c>
      <c r="N18" s="351"/>
      <c r="O18" s="353"/>
      <c r="P18" s="352">
        <v>2</v>
      </c>
      <c r="Q18" s="552">
        <f t="shared" si="0"/>
        <v>7.08</v>
      </c>
      <c r="R18" s="552">
        <f t="shared" si="1"/>
        <v>3.9000000000000004</v>
      </c>
      <c r="S18" s="352">
        <f t="shared" si="2"/>
        <v>14.16</v>
      </c>
      <c r="T18" s="354">
        <f t="shared" si="3"/>
        <v>7.8000000000000007</v>
      </c>
      <c r="U18" s="1353"/>
      <c r="V18" s="1356"/>
      <c r="W18" s="1356"/>
      <c r="X18" s="1359"/>
      <c r="Y18" s="1356"/>
      <c r="Z18" s="1356"/>
      <c r="AA18" s="1356"/>
      <c r="AB18" s="1356"/>
      <c r="AC18" s="1356"/>
      <c r="AD18" s="1356"/>
      <c r="AE18" s="1382"/>
      <c r="AF18" s="1383"/>
      <c r="AG18" s="1382"/>
      <c r="AH18" s="1350"/>
    </row>
    <row r="19" spans="2:34" ht="15" customHeight="1" x14ac:dyDescent="0.2">
      <c r="B19" s="1385"/>
      <c r="C19" s="349" t="s">
        <v>521</v>
      </c>
      <c r="D19" s="349" t="s">
        <v>433</v>
      </c>
      <c r="E19" s="349" t="s">
        <v>526</v>
      </c>
      <c r="F19" s="350" t="s">
        <v>299</v>
      </c>
      <c r="G19" s="351">
        <v>0</v>
      </c>
      <c r="H19" s="531">
        <v>1.2</v>
      </c>
      <c r="I19" s="351"/>
      <c r="J19" s="552"/>
      <c r="K19" s="550"/>
      <c r="L19" s="353"/>
      <c r="M19" s="531">
        <v>17.260000000000002</v>
      </c>
      <c r="N19" s="351"/>
      <c r="O19" s="353"/>
      <c r="P19" s="352">
        <v>2</v>
      </c>
      <c r="Q19" s="552">
        <f t="shared" si="0"/>
        <v>7.08</v>
      </c>
      <c r="R19" s="552">
        <f t="shared" si="1"/>
        <v>3.9000000000000004</v>
      </c>
      <c r="S19" s="352">
        <f t="shared" si="2"/>
        <v>14.16</v>
      </c>
      <c r="T19" s="354">
        <f t="shared" si="3"/>
        <v>7.8000000000000007</v>
      </c>
      <c r="U19" s="1353"/>
      <c r="V19" s="1356"/>
      <c r="W19" s="1356"/>
      <c r="X19" s="1359"/>
      <c r="Y19" s="1356"/>
      <c r="Z19" s="1356"/>
      <c r="AA19" s="1356"/>
      <c r="AB19" s="1356"/>
      <c r="AC19" s="1356"/>
      <c r="AD19" s="1356"/>
      <c r="AE19" s="1382"/>
      <c r="AF19" s="1383"/>
      <c r="AG19" s="1382"/>
      <c r="AH19" s="1350"/>
    </row>
    <row r="20" spans="2:34" ht="15" customHeight="1" x14ac:dyDescent="0.2">
      <c r="B20" s="1385"/>
      <c r="C20" s="349" t="s">
        <v>526</v>
      </c>
      <c r="D20" s="349" t="s">
        <v>433</v>
      </c>
      <c r="E20" s="349" t="s">
        <v>523</v>
      </c>
      <c r="F20" s="350" t="s">
        <v>528</v>
      </c>
      <c r="G20" s="351">
        <v>0</v>
      </c>
      <c r="H20" s="531">
        <v>1.2</v>
      </c>
      <c r="I20" s="351"/>
      <c r="J20" s="552"/>
      <c r="K20" s="550"/>
      <c r="L20" s="353"/>
      <c r="M20" s="531">
        <v>20.399999999999999</v>
      </c>
      <c r="N20" s="351"/>
      <c r="O20" s="353"/>
      <c r="P20" s="352">
        <v>2</v>
      </c>
      <c r="Q20" s="552">
        <f t="shared" si="0"/>
        <v>7.08</v>
      </c>
      <c r="R20" s="552">
        <f t="shared" si="1"/>
        <v>3.9000000000000004</v>
      </c>
      <c r="S20" s="352">
        <f t="shared" si="2"/>
        <v>14.16</v>
      </c>
      <c r="T20" s="354">
        <f t="shared" si="3"/>
        <v>7.8000000000000007</v>
      </c>
      <c r="U20" s="1353"/>
      <c r="V20" s="1356"/>
      <c r="W20" s="1356"/>
      <c r="X20" s="1359"/>
      <c r="Y20" s="1356"/>
      <c r="Z20" s="1356"/>
      <c r="AA20" s="1356"/>
      <c r="AB20" s="1356"/>
      <c r="AC20" s="1356"/>
      <c r="AD20" s="1356"/>
      <c r="AE20" s="1382"/>
      <c r="AF20" s="1383"/>
      <c r="AG20" s="1382"/>
      <c r="AH20" s="1350"/>
    </row>
    <row r="21" spans="2:34" ht="15" customHeight="1" x14ac:dyDescent="0.2">
      <c r="B21" s="1385"/>
      <c r="C21" s="349" t="s">
        <v>526</v>
      </c>
      <c r="D21" s="349" t="s">
        <v>433</v>
      </c>
      <c r="E21" s="349" t="s">
        <v>523</v>
      </c>
      <c r="F21" s="350" t="s">
        <v>299</v>
      </c>
      <c r="G21" s="351">
        <v>0</v>
      </c>
      <c r="H21" s="531">
        <v>1.2</v>
      </c>
      <c r="I21" s="351"/>
      <c r="J21" s="552"/>
      <c r="K21" s="550"/>
      <c r="L21" s="353"/>
      <c r="M21" s="531">
        <v>16.710999999999999</v>
      </c>
      <c r="N21" s="351"/>
      <c r="O21" s="353"/>
      <c r="P21" s="352">
        <v>2</v>
      </c>
      <c r="Q21" s="552">
        <f t="shared" si="0"/>
        <v>7.08</v>
      </c>
      <c r="R21" s="552">
        <f t="shared" si="1"/>
        <v>3.9000000000000004</v>
      </c>
      <c r="S21" s="352">
        <f t="shared" si="2"/>
        <v>14.16</v>
      </c>
      <c r="T21" s="354">
        <f t="shared" si="3"/>
        <v>7.8000000000000007</v>
      </c>
      <c r="U21" s="1353"/>
      <c r="V21" s="1356"/>
      <c r="W21" s="1356"/>
      <c r="X21" s="1359"/>
      <c r="Y21" s="1356"/>
      <c r="Z21" s="1356"/>
      <c r="AA21" s="1356"/>
      <c r="AB21" s="1356"/>
      <c r="AC21" s="1356"/>
      <c r="AD21" s="1356"/>
      <c r="AE21" s="1382"/>
      <c r="AF21" s="1383"/>
      <c r="AG21" s="1382"/>
      <c r="AH21" s="1350"/>
    </row>
    <row r="22" spans="2:34" ht="15" customHeight="1" x14ac:dyDescent="0.2">
      <c r="B22" s="1385"/>
      <c r="C22" s="349" t="s">
        <v>523</v>
      </c>
      <c r="D22" s="349" t="s">
        <v>433</v>
      </c>
      <c r="E22" s="349" t="s">
        <v>527</v>
      </c>
      <c r="F22" s="350" t="s">
        <v>528</v>
      </c>
      <c r="G22" s="351">
        <v>0</v>
      </c>
      <c r="H22" s="531">
        <v>1.2</v>
      </c>
      <c r="I22" s="351"/>
      <c r="J22" s="552"/>
      <c r="K22" s="550"/>
      <c r="L22" s="353"/>
      <c r="M22" s="531">
        <v>21.8749</v>
      </c>
      <c r="N22" s="351"/>
      <c r="O22" s="353"/>
      <c r="P22" s="352">
        <v>2</v>
      </c>
      <c r="Q22" s="552">
        <f t="shared" si="0"/>
        <v>7.08</v>
      </c>
      <c r="R22" s="552">
        <f t="shared" si="1"/>
        <v>3.9000000000000004</v>
      </c>
      <c r="S22" s="352">
        <f t="shared" si="2"/>
        <v>14.16</v>
      </c>
      <c r="T22" s="354">
        <f t="shared" si="3"/>
        <v>7.8000000000000007</v>
      </c>
      <c r="U22" s="1353"/>
      <c r="V22" s="1356"/>
      <c r="W22" s="1356"/>
      <c r="X22" s="1359"/>
      <c r="Y22" s="1356"/>
      <c r="Z22" s="1356"/>
      <c r="AA22" s="1356"/>
      <c r="AB22" s="1356"/>
      <c r="AC22" s="1356"/>
      <c r="AD22" s="1356"/>
      <c r="AE22" s="1382"/>
      <c r="AF22" s="1383"/>
      <c r="AG22" s="1382"/>
      <c r="AH22" s="1350"/>
    </row>
    <row r="23" spans="2:34" ht="15" customHeight="1" x14ac:dyDescent="0.2">
      <c r="B23" s="1385"/>
      <c r="C23" s="349" t="s">
        <v>523</v>
      </c>
      <c r="D23" s="349" t="s">
        <v>433</v>
      </c>
      <c r="E23" s="349" t="s">
        <v>527</v>
      </c>
      <c r="F23" s="350" t="s">
        <v>299</v>
      </c>
      <c r="G23" s="351">
        <v>0</v>
      </c>
      <c r="H23" s="531">
        <v>1.2</v>
      </c>
      <c r="I23" s="351"/>
      <c r="J23" s="552"/>
      <c r="K23" s="550"/>
      <c r="L23" s="353"/>
      <c r="M23" s="531">
        <v>11.22</v>
      </c>
      <c r="N23" s="351"/>
      <c r="O23" s="353"/>
      <c r="P23" s="352">
        <v>2</v>
      </c>
      <c r="Q23" s="552">
        <f t="shared" si="0"/>
        <v>7.08</v>
      </c>
      <c r="R23" s="552">
        <f t="shared" si="1"/>
        <v>3.9000000000000004</v>
      </c>
      <c r="S23" s="352">
        <f t="shared" si="2"/>
        <v>14.16</v>
      </c>
      <c r="T23" s="354">
        <f t="shared" si="3"/>
        <v>7.8000000000000007</v>
      </c>
      <c r="U23" s="1353"/>
      <c r="V23" s="1356"/>
      <c r="W23" s="1356"/>
      <c r="X23" s="1359"/>
      <c r="Y23" s="1356"/>
      <c r="Z23" s="1356"/>
      <c r="AA23" s="1356"/>
      <c r="AB23" s="1356"/>
      <c r="AC23" s="1356"/>
      <c r="AD23" s="1356"/>
      <c r="AE23" s="1382"/>
      <c r="AF23" s="1383"/>
      <c r="AG23" s="1382"/>
      <c r="AH23" s="1350"/>
    </row>
    <row r="24" spans="2:34" ht="15" customHeight="1" x14ac:dyDescent="0.2">
      <c r="B24" s="1385"/>
      <c r="C24" s="349" t="s">
        <v>527</v>
      </c>
      <c r="D24" s="349" t="s">
        <v>433</v>
      </c>
      <c r="E24" s="349" t="s">
        <v>581</v>
      </c>
      <c r="F24" s="350" t="s">
        <v>528</v>
      </c>
      <c r="G24" s="351">
        <v>0</v>
      </c>
      <c r="H24" s="531">
        <v>1.2</v>
      </c>
      <c r="I24" s="351"/>
      <c r="J24" s="552"/>
      <c r="K24" s="550"/>
      <c r="L24" s="353"/>
      <c r="M24" s="531">
        <v>21.23</v>
      </c>
      <c r="N24" s="351"/>
      <c r="O24" s="353"/>
      <c r="P24" s="352">
        <v>2</v>
      </c>
      <c r="Q24" s="552">
        <f t="shared" si="0"/>
        <v>7.08</v>
      </c>
      <c r="R24" s="552">
        <f t="shared" si="1"/>
        <v>3.9000000000000004</v>
      </c>
      <c r="S24" s="352">
        <f t="shared" si="2"/>
        <v>14.16</v>
      </c>
      <c r="T24" s="354">
        <f t="shared" si="3"/>
        <v>7.8000000000000007</v>
      </c>
      <c r="U24" s="1353"/>
      <c r="V24" s="1356"/>
      <c r="W24" s="1356"/>
      <c r="X24" s="1359"/>
      <c r="Y24" s="1356"/>
      <c r="Z24" s="1356"/>
      <c r="AA24" s="1356"/>
      <c r="AB24" s="1356"/>
      <c r="AC24" s="1356"/>
      <c r="AD24" s="1356"/>
      <c r="AE24" s="1382"/>
      <c r="AF24" s="1383"/>
      <c r="AG24" s="1382"/>
      <c r="AH24" s="1350"/>
    </row>
    <row r="25" spans="2:34" ht="15" customHeight="1" x14ac:dyDescent="0.2">
      <c r="B25" s="1385"/>
      <c r="C25" s="349" t="s">
        <v>527</v>
      </c>
      <c r="D25" s="349" t="s">
        <v>433</v>
      </c>
      <c r="E25" s="349" t="s">
        <v>581</v>
      </c>
      <c r="F25" s="350" t="s">
        <v>299</v>
      </c>
      <c r="G25" s="351">
        <v>0</v>
      </c>
      <c r="H25" s="531">
        <v>1.2</v>
      </c>
      <c r="I25" s="351"/>
      <c r="J25" s="552"/>
      <c r="K25" s="550"/>
      <c r="L25" s="353"/>
      <c r="M25" s="531">
        <v>10.26</v>
      </c>
      <c r="N25" s="351"/>
      <c r="O25" s="353"/>
      <c r="P25" s="352">
        <v>2</v>
      </c>
      <c r="Q25" s="552">
        <f t="shared" si="0"/>
        <v>7.08</v>
      </c>
      <c r="R25" s="552">
        <f t="shared" si="1"/>
        <v>3.9000000000000004</v>
      </c>
      <c r="S25" s="352">
        <f t="shared" si="2"/>
        <v>14.16</v>
      </c>
      <c r="T25" s="354">
        <f t="shared" si="3"/>
        <v>7.8000000000000007</v>
      </c>
      <c r="U25" s="1353"/>
      <c r="V25" s="1356"/>
      <c r="W25" s="1356"/>
      <c r="X25" s="1359"/>
      <c r="Y25" s="1356"/>
      <c r="Z25" s="1356"/>
      <c r="AA25" s="1356"/>
      <c r="AB25" s="1356"/>
      <c r="AC25" s="1356"/>
      <c r="AD25" s="1356"/>
      <c r="AE25" s="1382"/>
      <c r="AF25" s="1383"/>
      <c r="AG25" s="1382"/>
      <c r="AH25" s="1350"/>
    </row>
    <row r="26" spans="2:34" ht="15" customHeight="1" x14ac:dyDescent="0.2">
      <c r="B26" s="1385"/>
      <c r="C26" s="349" t="s">
        <v>581</v>
      </c>
      <c r="D26" s="349" t="s">
        <v>433</v>
      </c>
      <c r="E26" s="349" t="s">
        <v>582</v>
      </c>
      <c r="F26" s="350" t="s">
        <v>528</v>
      </c>
      <c r="G26" s="351">
        <v>0</v>
      </c>
      <c r="H26" s="531">
        <v>1.2</v>
      </c>
      <c r="I26" s="351"/>
      <c r="J26" s="552"/>
      <c r="K26" s="550"/>
      <c r="L26" s="353"/>
      <c r="M26" s="531">
        <v>22.128</v>
      </c>
      <c r="N26" s="351"/>
      <c r="O26" s="353"/>
      <c r="P26" s="352">
        <v>2</v>
      </c>
      <c r="Q26" s="552">
        <f t="shared" si="0"/>
        <v>7.08</v>
      </c>
      <c r="R26" s="552">
        <f t="shared" si="1"/>
        <v>3.9000000000000004</v>
      </c>
      <c r="S26" s="352">
        <f t="shared" si="2"/>
        <v>14.16</v>
      </c>
      <c r="T26" s="354">
        <f t="shared" si="3"/>
        <v>7.8000000000000007</v>
      </c>
      <c r="U26" s="1353"/>
      <c r="V26" s="1356"/>
      <c r="W26" s="1356"/>
      <c r="X26" s="1359"/>
      <c r="Y26" s="1356"/>
      <c r="Z26" s="1356"/>
      <c r="AA26" s="1356"/>
      <c r="AB26" s="1356"/>
      <c r="AC26" s="1356"/>
      <c r="AD26" s="1356"/>
      <c r="AE26" s="1382"/>
      <c r="AF26" s="1383"/>
      <c r="AG26" s="1382"/>
      <c r="AH26" s="1350"/>
    </row>
    <row r="27" spans="2:34" ht="15" customHeight="1" x14ac:dyDescent="0.2">
      <c r="B27" s="1385"/>
      <c r="C27" s="349" t="s">
        <v>581</v>
      </c>
      <c r="D27" s="349" t="s">
        <v>433</v>
      </c>
      <c r="E27" s="349" t="s">
        <v>582</v>
      </c>
      <c r="F27" s="350" t="s">
        <v>299</v>
      </c>
      <c r="G27" s="351">
        <v>0</v>
      </c>
      <c r="H27" s="531">
        <v>1.2</v>
      </c>
      <c r="I27" s="351"/>
      <c r="J27" s="552"/>
      <c r="K27" s="550"/>
      <c r="L27" s="353"/>
      <c r="M27" s="531">
        <v>18.609400000000001</v>
      </c>
      <c r="N27" s="351"/>
      <c r="O27" s="353"/>
      <c r="P27" s="352">
        <v>3</v>
      </c>
      <c r="Q27" s="552">
        <f t="shared" si="0"/>
        <v>7.08</v>
      </c>
      <c r="R27" s="552">
        <f t="shared" si="1"/>
        <v>3.9000000000000004</v>
      </c>
      <c r="S27" s="352">
        <f t="shared" si="2"/>
        <v>21.240000000000002</v>
      </c>
      <c r="T27" s="354">
        <f t="shared" si="3"/>
        <v>11.700000000000001</v>
      </c>
      <c r="U27" s="1353"/>
      <c r="V27" s="1356"/>
      <c r="W27" s="1356"/>
      <c r="X27" s="1359"/>
      <c r="Y27" s="1356"/>
      <c r="Z27" s="1356"/>
      <c r="AA27" s="1356"/>
      <c r="AB27" s="1356"/>
      <c r="AC27" s="1356"/>
      <c r="AD27" s="1356"/>
      <c r="AE27" s="1382"/>
      <c r="AF27" s="1383"/>
      <c r="AG27" s="1382"/>
      <c r="AH27" s="1350"/>
    </row>
    <row r="28" spans="2:34" ht="15" customHeight="1" x14ac:dyDescent="0.2">
      <c r="B28" s="1385"/>
      <c r="C28" s="349" t="s">
        <v>524</v>
      </c>
      <c r="D28" s="349" t="s">
        <v>433</v>
      </c>
      <c r="E28" s="349" t="s">
        <v>525</v>
      </c>
      <c r="F28" s="350" t="s">
        <v>528</v>
      </c>
      <c r="G28" s="351">
        <v>0</v>
      </c>
      <c r="H28" s="531">
        <v>1.2</v>
      </c>
      <c r="I28" s="351"/>
      <c r="J28" s="552"/>
      <c r="K28" s="550"/>
      <c r="L28" s="353"/>
      <c r="M28" s="531">
        <v>0</v>
      </c>
      <c r="N28" s="351"/>
      <c r="O28" s="353"/>
      <c r="P28" s="352">
        <v>3</v>
      </c>
      <c r="Q28" s="552">
        <f t="shared" si="0"/>
        <v>7.08</v>
      </c>
      <c r="R28" s="552">
        <f t="shared" si="1"/>
        <v>3.9000000000000004</v>
      </c>
      <c r="S28" s="352">
        <f t="shared" si="2"/>
        <v>21.240000000000002</v>
      </c>
      <c r="T28" s="354">
        <f t="shared" si="3"/>
        <v>11.700000000000001</v>
      </c>
      <c r="U28" s="1353"/>
      <c r="V28" s="1356"/>
      <c r="W28" s="1356"/>
      <c r="X28" s="1359"/>
      <c r="Y28" s="1356"/>
      <c r="Z28" s="1356"/>
      <c r="AA28" s="1356"/>
      <c r="AB28" s="1356"/>
      <c r="AC28" s="1356"/>
      <c r="AD28" s="1356"/>
      <c r="AE28" s="1382"/>
      <c r="AF28" s="1383"/>
      <c r="AG28" s="1382"/>
      <c r="AH28" s="1350"/>
    </row>
    <row r="29" spans="2:34" ht="15" customHeight="1" thickBot="1" x14ac:dyDescent="0.25">
      <c r="B29" s="1386"/>
      <c r="C29" s="586" t="s">
        <v>524</v>
      </c>
      <c r="D29" s="586" t="s">
        <v>433</v>
      </c>
      <c r="E29" s="586" t="s">
        <v>525</v>
      </c>
      <c r="F29" s="587" t="s">
        <v>299</v>
      </c>
      <c r="G29" s="588">
        <v>0</v>
      </c>
      <c r="H29" s="589">
        <v>1.2</v>
      </c>
      <c r="I29" s="588"/>
      <c r="J29" s="590"/>
      <c r="K29" s="591"/>
      <c r="L29" s="592"/>
      <c r="M29" s="589">
        <v>12.26</v>
      </c>
      <c r="N29" s="588"/>
      <c r="O29" s="592"/>
      <c r="P29" s="593">
        <v>4</v>
      </c>
      <c r="Q29" s="590">
        <f t="shared" si="0"/>
        <v>7.08</v>
      </c>
      <c r="R29" s="590">
        <f t="shared" si="1"/>
        <v>3.9000000000000004</v>
      </c>
      <c r="S29" s="593">
        <f t="shared" si="2"/>
        <v>28.32</v>
      </c>
      <c r="T29" s="594">
        <f t="shared" si="3"/>
        <v>15.600000000000001</v>
      </c>
      <c r="U29" s="1354"/>
      <c r="V29" s="1357"/>
      <c r="W29" s="1357"/>
      <c r="X29" s="1360"/>
      <c r="Y29" s="1357"/>
      <c r="Z29" s="1357"/>
      <c r="AA29" s="1357"/>
      <c r="AB29" s="1357"/>
      <c r="AC29" s="1357"/>
      <c r="AD29" s="1357"/>
      <c r="AE29" s="1362"/>
      <c r="AF29" s="1364"/>
      <c r="AG29" s="1362"/>
      <c r="AH29" s="1351"/>
    </row>
    <row r="30" spans="2:34" ht="16.5" thickBot="1" x14ac:dyDescent="0.25">
      <c r="B30" s="595"/>
      <c r="C30" s="596"/>
      <c r="D30" s="596"/>
      <c r="E30" s="596"/>
      <c r="F30" s="597"/>
      <c r="G30" s="598"/>
      <c r="H30" s="599"/>
      <c r="I30" s="600" t="s">
        <v>147</v>
      </c>
      <c r="J30" s="601">
        <f t="shared" ref="J30:P30" si="52">SUM(J6:J29)</f>
        <v>0</v>
      </c>
      <c r="K30" s="601">
        <f t="shared" si="52"/>
        <v>0</v>
      </c>
      <c r="L30" s="602">
        <f t="shared" si="52"/>
        <v>0</v>
      </c>
      <c r="M30" s="603">
        <f t="shared" si="52"/>
        <v>271.94569999999999</v>
      </c>
      <c r="N30" s="601">
        <f t="shared" si="52"/>
        <v>0</v>
      </c>
      <c r="O30" s="602">
        <f t="shared" si="52"/>
        <v>0</v>
      </c>
      <c r="P30" s="603">
        <f t="shared" si="52"/>
        <v>53</v>
      </c>
      <c r="Q30" s="604"/>
      <c r="R30" s="600"/>
      <c r="S30" s="601">
        <f t="shared" ref="S30:AC30" si="53">SUM(S6:S29)</f>
        <v>375.24000000000007</v>
      </c>
      <c r="T30" s="602">
        <f t="shared" si="53"/>
        <v>206.70000000000002</v>
      </c>
      <c r="U30" s="603">
        <f t="shared" si="53"/>
        <v>271.94569999999999</v>
      </c>
      <c r="V30" s="601">
        <f t="shared" si="53"/>
        <v>27.169999999999998</v>
      </c>
      <c r="W30" s="601">
        <f t="shared" si="53"/>
        <v>92.35</v>
      </c>
      <c r="X30" s="601">
        <f t="shared" si="53"/>
        <v>0</v>
      </c>
      <c r="Y30" s="601">
        <f t="shared" si="53"/>
        <v>206.7</v>
      </c>
      <c r="Z30" s="601">
        <f t="shared" si="53"/>
        <v>82.68</v>
      </c>
      <c r="AA30" s="601">
        <f t="shared" si="53"/>
        <v>155.01999999999998</v>
      </c>
      <c r="AB30" s="601">
        <f t="shared" si="53"/>
        <v>723.45</v>
      </c>
      <c r="AC30" s="601">
        <f t="shared" si="53"/>
        <v>189.26569999999998</v>
      </c>
      <c r="AD30" s="601" t="s">
        <v>40</v>
      </c>
      <c r="AE30" s="601">
        <f>SUM(AE6:AE29)</f>
        <v>13.22</v>
      </c>
      <c r="AF30" s="601" t="s">
        <v>40</v>
      </c>
      <c r="AG30" s="601">
        <f>SUM(AG6:AG29)</f>
        <v>3.71</v>
      </c>
      <c r="AH30" s="602">
        <f>SUM(AH6:AH29)</f>
        <v>16.93</v>
      </c>
    </row>
    <row r="31" spans="2:34" ht="15.75" x14ac:dyDescent="0.2">
      <c r="B31" s="356" t="s">
        <v>161</v>
      </c>
      <c r="C31" s="357">
        <f>DMT!F15</f>
        <v>3.4</v>
      </c>
      <c r="D31" s="358" t="s">
        <v>38</v>
      </c>
      <c r="E31" s="355"/>
      <c r="F31" s="252"/>
      <c r="G31" s="253"/>
      <c r="H31" s="253"/>
      <c r="I31" s="253"/>
      <c r="J31" s="253"/>
      <c r="K31" s="253"/>
      <c r="L31" s="253"/>
      <c r="M31" s="252"/>
      <c r="N31" s="253"/>
      <c r="O31" s="253"/>
      <c r="P31" s="253"/>
      <c r="Q31" s="253"/>
      <c r="R31" s="253"/>
      <c r="S31" s="253"/>
      <c r="T31" s="253"/>
      <c r="U31" s="253"/>
      <c r="V31" s="253"/>
      <c r="W31" s="253"/>
      <c r="X31" s="253"/>
      <c r="Y31" s="253"/>
      <c r="Z31" s="254"/>
      <c r="AA31" s="254"/>
      <c r="AB31" s="254"/>
      <c r="AC31" s="254"/>
      <c r="AD31" s="254"/>
      <c r="AE31" s="254"/>
      <c r="AF31" s="254"/>
      <c r="AG31" s="254"/>
      <c r="AH31" s="254"/>
    </row>
    <row r="32" spans="2:34" x14ac:dyDescent="0.2">
      <c r="B32" s="356" t="s">
        <v>429</v>
      </c>
      <c r="C32" s="361">
        <f>DMT!F13</f>
        <v>170</v>
      </c>
      <c r="D32" s="362" t="s">
        <v>38</v>
      </c>
      <c r="E32" s="355"/>
      <c r="F32" s="359"/>
      <c r="G32" s="355"/>
      <c r="H32" s="355"/>
      <c r="I32" s="355"/>
      <c r="J32" s="355"/>
      <c r="K32" s="355"/>
      <c r="L32" s="360"/>
      <c r="M32" s="360"/>
      <c r="N32" s="360"/>
      <c r="O32" s="360"/>
      <c r="P32" s="360"/>
      <c r="Q32" s="360"/>
      <c r="R32" s="360"/>
      <c r="S32" s="360"/>
      <c r="T32" s="360"/>
      <c r="U32" s="355"/>
      <c r="V32" s="355"/>
      <c r="W32" s="355"/>
      <c r="X32" s="360"/>
      <c r="Y32" s="360"/>
      <c r="Z32" s="360"/>
      <c r="AA32" s="360"/>
      <c r="AB32" s="360"/>
      <c r="AC32" s="360"/>
      <c r="AD32" s="360"/>
      <c r="AE32" s="355"/>
      <c r="AF32" s="355"/>
      <c r="AG32" s="355"/>
      <c r="AH32" s="355"/>
    </row>
    <row r="33" spans="2:35" x14ac:dyDescent="0.2">
      <c r="B33" s="363" t="s">
        <v>430</v>
      </c>
      <c r="C33" s="366">
        <v>62.5</v>
      </c>
      <c r="D33" s="362" t="s">
        <v>431</v>
      </c>
      <c r="E33" s="355"/>
      <c r="F33" s="359"/>
      <c r="G33" s="355"/>
      <c r="H33" s="355"/>
      <c r="I33" s="355"/>
      <c r="J33" s="355"/>
      <c r="K33" s="355"/>
      <c r="L33" s="363"/>
      <c r="M33" s="363"/>
      <c r="N33" s="364"/>
      <c r="O33" s="365"/>
      <c r="P33" s="360"/>
      <c r="Q33" s="360"/>
      <c r="R33" s="360"/>
      <c r="S33" s="360"/>
      <c r="T33" s="360"/>
      <c r="U33" s="355"/>
      <c r="V33" s="355"/>
      <c r="W33" s="355"/>
      <c r="X33" s="360"/>
      <c r="Y33" s="360"/>
      <c r="Z33" s="360"/>
      <c r="AA33" s="360"/>
      <c r="AB33" s="360"/>
      <c r="AC33" s="360"/>
      <c r="AD33" s="360"/>
      <c r="AE33" s="365"/>
      <c r="AF33" s="365"/>
      <c r="AG33" s="365"/>
      <c r="AH33" s="365"/>
    </row>
    <row r="34" spans="2:35" ht="15.75" thickBot="1" x14ac:dyDescent="0.25">
      <c r="F34" s="359"/>
      <c r="G34" s="355"/>
      <c r="H34" s="355"/>
      <c r="I34" s="355"/>
      <c r="J34" s="355"/>
      <c r="K34" s="355"/>
      <c r="L34" s="355"/>
      <c r="M34" s="363"/>
      <c r="N34" s="367"/>
      <c r="O34" s="365"/>
      <c r="P34" s="360"/>
      <c r="Q34" s="360"/>
      <c r="R34" s="360"/>
      <c r="S34" s="360"/>
      <c r="T34" s="360"/>
      <c r="U34" s="355"/>
      <c r="V34" s="355"/>
      <c r="W34" s="355"/>
      <c r="X34" s="360"/>
      <c r="Y34" s="360"/>
      <c r="Z34" s="360"/>
      <c r="AA34" s="360"/>
      <c r="AB34" s="360"/>
      <c r="AC34" s="360"/>
      <c r="AD34" s="360"/>
      <c r="AE34" s="365"/>
      <c r="AF34" s="365"/>
      <c r="AG34" s="365"/>
      <c r="AH34" s="365"/>
    </row>
    <row r="35" spans="2:35" ht="16.5" thickBot="1" x14ac:dyDescent="0.25">
      <c r="B35" s="253"/>
      <c r="C35" s="253"/>
      <c r="D35" s="253"/>
      <c r="E35" s="253"/>
      <c r="F35" s="252"/>
      <c r="G35" s="253"/>
      <c r="H35" s="253"/>
      <c r="I35" s="255"/>
      <c r="J35" s="255"/>
      <c r="K35" s="255"/>
      <c r="L35" s="260"/>
      <c r="M35" s="249"/>
      <c r="P35"/>
      <c r="Q35"/>
      <c r="R35"/>
      <c r="S35"/>
      <c r="T35"/>
      <c r="U35" s="1387" t="s">
        <v>748</v>
      </c>
      <c r="V35" s="1388"/>
      <c r="W35" s="1388"/>
      <c r="X35" s="1389"/>
      <c r="Y35" s="768"/>
      <c r="Z35" s="769"/>
      <c r="AA35" s="1387" t="s">
        <v>749</v>
      </c>
      <c r="AB35" s="1388"/>
      <c r="AC35" s="1388"/>
      <c r="AD35" s="1389"/>
      <c r="AE35" s="768"/>
      <c r="AF35" s="1387" t="s">
        <v>750</v>
      </c>
      <c r="AG35" s="1388"/>
      <c r="AH35" s="1388"/>
      <c r="AI35" s="1389"/>
    </row>
    <row r="36" spans="2:35" ht="15.75" x14ac:dyDescent="0.2">
      <c r="B36" s="253"/>
      <c r="C36" s="253"/>
      <c r="D36" s="253"/>
      <c r="E36" s="253"/>
      <c r="F36" s="261"/>
      <c r="G36" s="253"/>
      <c r="H36" s="253"/>
      <c r="I36" s="255"/>
      <c r="J36" s="255"/>
      <c r="K36" s="255"/>
      <c r="L36" s="255"/>
      <c r="M36" s="249"/>
      <c r="P36"/>
      <c r="Q36"/>
      <c r="R36"/>
      <c r="S36"/>
      <c r="T36"/>
      <c r="U36" s="753"/>
      <c r="V36" s="771" t="s">
        <v>751</v>
      </c>
      <c r="W36" s="833">
        <f>U30</f>
        <v>271.94569999999999</v>
      </c>
      <c r="X36" s="772" t="s">
        <v>1</v>
      </c>
      <c r="Y36" s="768"/>
      <c r="Z36" s="768"/>
      <c r="AA36" s="771"/>
      <c r="AB36" s="771" t="s">
        <v>752</v>
      </c>
      <c r="AC36" s="833">
        <f>Z30</f>
        <v>82.68</v>
      </c>
      <c r="AD36" s="773" t="s">
        <v>1</v>
      </c>
      <c r="AE36" s="768"/>
      <c r="AF36" s="834"/>
      <c r="AG36" s="834" t="s">
        <v>753</v>
      </c>
      <c r="AH36" s="833">
        <f>AH30</f>
        <v>16.93</v>
      </c>
      <c r="AI36" s="772" t="s">
        <v>1</v>
      </c>
    </row>
    <row r="37" spans="2:35" ht="15.75" x14ac:dyDescent="0.2">
      <c r="B37" s="253" t="s">
        <v>449</v>
      </c>
      <c r="C37" s="253"/>
      <c r="D37" s="253"/>
      <c r="E37" s="253"/>
      <c r="F37" s="252"/>
      <c r="G37" s="253"/>
      <c r="H37" s="253"/>
      <c r="I37" s="255"/>
      <c r="J37" s="255"/>
      <c r="K37" s="255"/>
      <c r="L37" s="255"/>
      <c r="M37" s="249"/>
      <c r="P37" s="253"/>
      <c r="Q37" s="255"/>
      <c r="R37" s="255"/>
      <c r="S37" s="259"/>
      <c r="T37" s="254"/>
      <c r="U37" s="764"/>
      <c r="V37" s="771" t="s">
        <v>754</v>
      </c>
      <c r="W37" s="835">
        <f>V30</f>
        <v>27.169999999999998</v>
      </c>
      <c r="X37" s="772" t="s">
        <v>2</v>
      </c>
      <c r="Y37" s="768"/>
      <c r="Z37" s="768"/>
      <c r="AA37" s="727"/>
      <c r="AB37" s="771" t="s">
        <v>755</v>
      </c>
      <c r="AC37" s="836">
        <v>62.5</v>
      </c>
      <c r="AD37" s="773" t="s">
        <v>756</v>
      </c>
      <c r="AE37" s="768"/>
      <c r="AF37" s="771"/>
      <c r="AG37" s="771" t="s">
        <v>757</v>
      </c>
      <c r="AH37" s="753">
        <v>7.0000000000000007E-2</v>
      </c>
      <c r="AI37" s="772" t="s">
        <v>3</v>
      </c>
    </row>
    <row r="38" spans="2:35" ht="15.75" x14ac:dyDescent="0.2">
      <c r="B38" s="253" t="s">
        <v>451</v>
      </c>
      <c r="C38" s="253"/>
      <c r="D38" s="253"/>
      <c r="E38" s="253"/>
      <c r="F38" s="252"/>
      <c r="G38" s="253"/>
      <c r="H38" s="253"/>
      <c r="I38" s="253"/>
      <c r="J38" s="255"/>
      <c r="K38" s="255"/>
      <c r="L38" s="253"/>
      <c r="M38" s="257"/>
      <c r="N38" s="262"/>
      <c r="O38" s="258"/>
      <c r="P38" s="253"/>
      <c r="Q38" s="253"/>
      <c r="R38" s="259"/>
      <c r="S38" s="253"/>
      <c r="T38" s="253"/>
      <c r="U38" s="764"/>
      <c r="V38" s="771" t="s">
        <v>758</v>
      </c>
      <c r="W38" s="835">
        <f>C31</f>
        <v>3.4</v>
      </c>
      <c r="X38" s="774" t="s">
        <v>38</v>
      </c>
      <c r="Y38" s="768"/>
      <c r="Z38" s="768"/>
      <c r="AA38" s="727"/>
      <c r="AB38" s="771" t="s">
        <v>759</v>
      </c>
      <c r="AC38" s="833">
        <f>TRUNC(Z30*AC37*30*0.001,2)</f>
        <v>155.02000000000001</v>
      </c>
      <c r="AD38" s="773" t="s">
        <v>39</v>
      </c>
      <c r="AE38" s="768"/>
      <c r="AF38" s="771"/>
      <c r="AG38" s="771" t="s">
        <v>760</v>
      </c>
      <c r="AH38" s="836">
        <f>TRUNC(AH37*AH36,2)</f>
        <v>1.18</v>
      </c>
      <c r="AI38" s="774" t="s">
        <v>2</v>
      </c>
    </row>
    <row r="39" spans="2:35" ht="15.75" x14ac:dyDescent="0.2">
      <c r="B39" s="253"/>
      <c r="C39" s="253"/>
      <c r="D39" s="253"/>
      <c r="E39" s="253"/>
      <c r="F39" s="252"/>
      <c r="G39" s="253"/>
      <c r="H39" s="253"/>
      <c r="I39" s="253"/>
      <c r="J39" s="253"/>
      <c r="K39" s="253"/>
      <c r="L39" s="253"/>
      <c r="M39" s="252"/>
      <c r="N39" s="253"/>
      <c r="O39" s="253" t="s">
        <v>361</v>
      </c>
      <c r="P39" s="253"/>
      <c r="Q39" s="253"/>
      <c r="R39" s="259"/>
      <c r="S39" s="253"/>
      <c r="T39" s="253"/>
      <c r="U39" s="764"/>
      <c r="V39" s="771" t="s">
        <v>761</v>
      </c>
      <c r="W39" s="833">
        <f>TRUNC(W38*W37,2)</f>
        <v>92.37</v>
      </c>
      <c r="X39" s="774" t="s">
        <v>8</v>
      </c>
      <c r="Y39" s="768"/>
      <c r="Z39" s="768"/>
      <c r="AA39" s="727"/>
      <c r="AB39" s="771" t="s">
        <v>762</v>
      </c>
      <c r="AC39" s="833">
        <f>TRUNC(Z30*AC37*(AC40-30)*0.001,2)</f>
        <v>723.45</v>
      </c>
      <c r="AD39" s="773" t="s">
        <v>39</v>
      </c>
      <c r="AE39" s="837"/>
      <c r="AF39" s="837"/>
      <c r="AG39" s="771" t="s">
        <v>763</v>
      </c>
      <c r="AH39" s="833">
        <f>Z30</f>
        <v>82.68</v>
      </c>
      <c r="AI39" s="772" t="s">
        <v>1</v>
      </c>
    </row>
    <row r="40" spans="2:35" ht="15.75" x14ac:dyDescent="0.2">
      <c r="B40" s="256"/>
      <c r="C40" s="256"/>
      <c r="D40" s="256"/>
      <c r="E40" s="256"/>
      <c r="F40" s="251"/>
      <c r="G40" s="256"/>
      <c r="H40" s="256"/>
      <c r="I40" s="256"/>
      <c r="J40" s="256"/>
      <c r="K40" s="256"/>
      <c r="L40" s="256"/>
      <c r="M40" s="251"/>
      <c r="N40" s="256"/>
      <c r="O40" s="256"/>
      <c r="P40" s="256"/>
      <c r="Q40" s="256"/>
      <c r="R40" s="259"/>
      <c r="S40" s="256"/>
      <c r="T40" s="256"/>
      <c r="U40" s="764"/>
      <c r="V40" s="771" t="s">
        <v>764</v>
      </c>
      <c r="W40" s="835">
        <f>AF32</f>
        <v>0</v>
      </c>
      <c r="X40" s="772" t="s">
        <v>1</v>
      </c>
      <c r="Y40" s="768"/>
      <c r="Z40" s="768"/>
      <c r="AA40" s="768"/>
      <c r="AB40" s="771" t="s">
        <v>765</v>
      </c>
      <c r="AC40" s="836">
        <f>C32</f>
        <v>170</v>
      </c>
      <c r="AD40" s="773" t="s">
        <v>38</v>
      </c>
      <c r="AE40" s="768"/>
      <c r="AF40" s="771"/>
      <c r="AG40" s="771" t="s">
        <v>766</v>
      </c>
      <c r="AH40" s="753">
        <f>AH37-0.025</f>
        <v>4.5000000000000005E-2</v>
      </c>
      <c r="AI40" s="772" t="s">
        <v>3</v>
      </c>
    </row>
    <row r="41" spans="2:35" x14ac:dyDescent="0.2">
      <c r="U41" s="767"/>
      <c r="V41" s="768"/>
      <c r="W41" s="768"/>
      <c r="X41" s="767"/>
      <c r="Y41" s="768"/>
      <c r="Z41" s="768"/>
      <c r="AA41" s="768"/>
      <c r="AB41" s="768"/>
      <c r="AC41" s="768"/>
      <c r="AD41" s="768"/>
      <c r="AE41" s="768"/>
      <c r="AF41" s="771"/>
      <c r="AG41" s="771" t="s">
        <v>767</v>
      </c>
      <c r="AH41" s="836">
        <f>TRUNC(AH40*AH39,2)</f>
        <v>3.72</v>
      </c>
      <c r="AI41" s="774" t="s">
        <v>2</v>
      </c>
    </row>
    <row r="42" spans="2:35" x14ac:dyDescent="0.2">
      <c r="U42" s="767"/>
      <c r="V42" s="768"/>
      <c r="W42" s="768"/>
      <c r="X42" s="767"/>
      <c r="Y42" s="768"/>
      <c r="Z42" s="768"/>
      <c r="AA42" s="768"/>
      <c r="AB42" s="768"/>
      <c r="AC42" s="768"/>
      <c r="AD42" s="768"/>
      <c r="AE42" s="768"/>
      <c r="AF42" s="768"/>
      <c r="AG42" s="838" t="s">
        <v>768</v>
      </c>
      <c r="AH42" s="839">
        <f>AH41+AH38</f>
        <v>4.9000000000000004</v>
      </c>
      <c r="AI42" s="775" t="s">
        <v>2</v>
      </c>
    </row>
    <row r="43" spans="2:35" x14ac:dyDescent="0.2">
      <c r="U43" s="764"/>
      <c r="V43" s="727"/>
      <c r="W43" s="727"/>
      <c r="X43" s="727"/>
      <c r="Y43" s="727"/>
      <c r="Z43" s="727"/>
      <c r="AA43" s="727"/>
      <c r="AB43" s="727"/>
      <c r="AC43" s="727"/>
      <c r="AD43" s="727"/>
      <c r="AE43" s="727"/>
      <c r="AF43" s="727"/>
      <c r="AG43" s="771" t="s">
        <v>769</v>
      </c>
      <c r="AH43" s="836">
        <v>0</v>
      </c>
      <c r="AI43" s="773" t="s">
        <v>1</v>
      </c>
    </row>
    <row r="44" spans="2:35" x14ac:dyDescent="0.2">
      <c r="B44"/>
    </row>
    <row r="45" spans="2:35" x14ac:dyDescent="0.2">
      <c r="B45"/>
    </row>
    <row r="46" spans="2:35" x14ac:dyDescent="0.2">
      <c r="B46"/>
    </row>
    <row r="47" spans="2:35" x14ac:dyDescent="0.2">
      <c r="B47"/>
    </row>
    <row r="48" spans="2:35" x14ac:dyDescent="0.2">
      <c r="B48"/>
    </row>
    <row r="49" spans="2:2" x14ac:dyDescent="0.2">
      <c r="B49"/>
    </row>
    <row r="50" spans="2:2" x14ac:dyDescent="0.2">
      <c r="B50"/>
    </row>
  </sheetData>
  <mergeCells count="119">
    <mergeCell ref="B16:B29"/>
    <mergeCell ref="V3:V4"/>
    <mergeCell ref="W3:W4"/>
    <mergeCell ref="U35:X35"/>
    <mergeCell ref="AA35:AD35"/>
    <mergeCell ref="AF35:AI35"/>
    <mergeCell ref="B6:B7"/>
    <mergeCell ref="B10:B11"/>
    <mergeCell ref="B12:B13"/>
    <mergeCell ref="B14:B15"/>
    <mergeCell ref="B8:B9"/>
    <mergeCell ref="AD6:AD7"/>
    <mergeCell ref="AE6:AE7"/>
    <mergeCell ref="AF6:AF7"/>
    <mergeCell ref="Y12:Y13"/>
    <mergeCell ref="Z12:Z13"/>
    <mergeCell ref="AA12:AA13"/>
    <mergeCell ref="AB12:AB13"/>
    <mergeCell ref="U10:U11"/>
    <mergeCell ref="V10:V11"/>
    <mergeCell ref="W10:W11"/>
    <mergeCell ref="X10:X11"/>
    <mergeCell ref="Y10:Y11"/>
    <mergeCell ref="Z10:Z11"/>
    <mergeCell ref="AA10:AA11"/>
    <mergeCell ref="AG6:AG7"/>
    <mergeCell ref="AD10:AD11"/>
    <mergeCell ref="AE10:AE11"/>
    <mergeCell ref="AF10:AF11"/>
    <mergeCell ref="AG10:AG11"/>
    <mergeCell ref="AC16:AC29"/>
    <mergeCell ref="AD16:AD29"/>
    <mergeCell ref="AE16:AE29"/>
    <mergeCell ref="AF16:AF29"/>
    <mergeCell ref="AG16:AG29"/>
    <mergeCell ref="AC12:AC13"/>
    <mergeCell ref="AC10:AC11"/>
    <mergeCell ref="AB10:AB11"/>
    <mergeCell ref="B2:AH2"/>
    <mergeCell ref="B3:B5"/>
    <mergeCell ref="C3:E4"/>
    <mergeCell ref="F3:F4"/>
    <mergeCell ref="G3:G4"/>
    <mergeCell ref="H3:H4"/>
    <mergeCell ref="I3:I4"/>
    <mergeCell ref="J3:J4"/>
    <mergeCell ref="K3:K4"/>
    <mergeCell ref="AE3:AE4"/>
    <mergeCell ref="AG3:AG4"/>
    <mergeCell ref="AH3:AH4"/>
    <mergeCell ref="AA3:AA4"/>
    <mergeCell ref="AB3:AB4"/>
    <mergeCell ref="AC3:AC4"/>
    <mergeCell ref="AD3:AD4"/>
    <mergeCell ref="X3:X4"/>
    <mergeCell ref="Y3:Y4"/>
    <mergeCell ref="Z3:Z4"/>
    <mergeCell ref="AF3:AF4"/>
    <mergeCell ref="L3:L4"/>
    <mergeCell ref="M3:O3"/>
    <mergeCell ref="P3:T3"/>
    <mergeCell ref="U3:U4"/>
    <mergeCell ref="AH6:AH7"/>
    <mergeCell ref="U8:U9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AH8:AH9"/>
    <mergeCell ref="U6:U7"/>
    <mergeCell ref="V6:V7"/>
    <mergeCell ref="W6:W7"/>
    <mergeCell ref="X6:X7"/>
    <mergeCell ref="Y6:Y7"/>
    <mergeCell ref="Z6:Z7"/>
    <mergeCell ref="AA6:AA7"/>
    <mergeCell ref="AB6:AB7"/>
    <mergeCell ref="AC6:AC7"/>
    <mergeCell ref="AH10:AH11"/>
    <mergeCell ref="AD12:AD13"/>
    <mergeCell ref="AE12:AE13"/>
    <mergeCell ref="AF12:AF13"/>
    <mergeCell ref="AG12:AG13"/>
    <mergeCell ref="AH12:AH13"/>
    <mergeCell ref="U14:U15"/>
    <mergeCell ref="V14:V15"/>
    <mergeCell ref="W14:W15"/>
    <mergeCell ref="X14:X15"/>
    <mergeCell ref="Y14:Y15"/>
    <mergeCell ref="Z14:Z15"/>
    <mergeCell ref="AA14:AA15"/>
    <mergeCell ref="AB14:AB15"/>
    <mergeCell ref="AC14:AC15"/>
    <mergeCell ref="AD14:AD15"/>
    <mergeCell ref="AE14:AE15"/>
    <mergeCell ref="AF14:AF15"/>
    <mergeCell ref="AG14:AG15"/>
    <mergeCell ref="AH14:AH15"/>
    <mergeCell ref="U12:U13"/>
    <mergeCell ref="V12:V13"/>
    <mergeCell ref="W12:W13"/>
    <mergeCell ref="X12:X13"/>
    <mergeCell ref="AH16:AH29"/>
    <mergeCell ref="U16:U29"/>
    <mergeCell ref="V16:V29"/>
    <mergeCell ref="W16:W29"/>
    <mergeCell ref="X16:X29"/>
    <mergeCell ref="Y16:Y29"/>
    <mergeCell ref="Z16:Z29"/>
    <mergeCell ref="AA16:AA29"/>
    <mergeCell ref="AB16:AB29"/>
  </mergeCells>
  <printOptions horizontalCentered="1"/>
  <pageMargins left="0.51181102362204722" right="0.51181102362204722" top="0.98425196850393704" bottom="0.59055118110236227" header="0.31496062992125984" footer="0.51181102362204722"/>
  <pageSetup paperSize="9" scale="28" fitToHeight="0" orientation="landscape" r:id="rId1"/>
  <headerFooter>
    <oddHeader>&amp;L&amp;G&amp;R&amp;G</oddHead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8469D-3E5D-457E-A863-2D047BB83595}">
  <sheetPr>
    <tabColor theme="5" tint="0.39997558519241921"/>
    <pageSetUpPr fitToPage="1"/>
  </sheetPr>
  <dimension ref="B1:U64"/>
  <sheetViews>
    <sheetView showGridLines="0" view="pageBreakPreview" zoomScale="85" zoomScaleNormal="80" zoomScaleSheetLayoutView="85" workbookViewId="0">
      <pane ySplit="4" topLeftCell="A32" activePane="bottomLeft" state="frozen"/>
      <selection activeCell="L9" sqref="L9"/>
      <selection pane="bottomLeft" activeCell="L9" sqref="L9"/>
    </sheetView>
  </sheetViews>
  <sheetFormatPr defaultColWidth="9.33203125" defaultRowHeight="12.75" x14ac:dyDescent="0.2"/>
  <cols>
    <col min="1" max="1" width="5.83203125" style="727" customWidth="1"/>
    <col min="2" max="2" width="32.33203125" style="764" customWidth="1"/>
    <col min="3" max="3" width="30" style="765" customWidth="1"/>
    <col min="4" max="4" width="9.33203125" style="766"/>
    <col min="5" max="5" width="30" style="765" customWidth="1"/>
    <col min="6" max="6" width="8.83203125" style="727" customWidth="1"/>
    <col min="7" max="7" width="21" style="764" customWidth="1"/>
    <col min="8" max="8" width="14.1640625" style="727" customWidth="1"/>
    <col min="9" max="9" width="15.6640625" style="727" customWidth="1"/>
    <col min="10" max="10" width="14" style="727" customWidth="1"/>
    <col min="11" max="11" width="13.83203125" style="727" customWidth="1"/>
    <col min="12" max="12" width="13.5" style="776" customWidth="1"/>
    <col min="13" max="13" width="10.83203125" style="727" bestFit="1" customWidth="1"/>
    <col min="14" max="14" width="9.33203125" style="727"/>
    <col min="15" max="16" width="15.33203125" style="727" customWidth="1"/>
    <col min="17" max="17" width="14" style="727" customWidth="1"/>
    <col min="18" max="18" width="18.6640625" style="727" customWidth="1"/>
    <col min="19" max="19" width="21.33203125" style="727" customWidth="1"/>
    <col min="20" max="20" width="17" style="727" customWidth="1"/>
    <col min="21" max="21" width="14.6640625" style="727" customWidth="1"/>
    <col min="22" max="16384" width="9.33203125" style="727"/>
  </cols>
  <sheetData>
    <row r="1" spans="2:21" ht="13.5" thickBot="1" x14ac:dyDescent="0.25"/>
    <row r="2" spans="2:21" ht="26.25" customHeight="1" thickBot="1" x14ac:dyDescent="0.25">
      <c r="B2" s="1430" t="s">
        <v>727</v>
      </c>
      <c r="C2" s="1431"/>
      <c r="D2" s="1431"/>
      <c r="E2" s="1431"/>
      <c r="F2" s="1431"/>
      <c r="G2" s="1431"/>
      <c r="H2" s="1431"/>
      <c r="I2" s="1431"/>
      <c r="J2" s="1431"/>
      <c r="K2" s="1431"/>
      <c r="L2" s="1431"/>
      <c r="M2" s="1431"/>
      <c r="N2" s="1431"/>
      <c r="O2" s="1431"/>
      <c r="P2" s="1431"/>
      <c r="Q2" s="1431"/>
      <c r="R2" s="1431"/>
      <c r="S2" s="1431"/>
      <c r="T2" s="1431"/>
      <c r="U2" s="1432"/>
    </row>
    <row r="3" spans="2:21" ht="15" x14ac:dyDescent="0.2">
      <c r="B3" s="1433" t="s">
        <v>4</v>
      </c>
      <c r="C3" s="1435" t="s">
        <v>35</v>
      </c>
      <c r="D3" s="1435"/>
      <c r="E3" s="1435"/>
      <c r="F3" s="1437" t="s">
        <v>36</v>
      </c>
      <c r="G3" s="1435" t="s">
        <v>728</v>
      </c>
      <c r="H3" s="1435" t="s">
        <v>729</v>
      </c>
      <c r="I3" s="1435" t="s">
        <v>730</v>
      </c>
      <c r="J3" s="1437" t="s">
        <v>731</v>
      </c>
      <c r="K3" s="1437"/>
      <c r="L3" s="1437"/>
      <c r="M3" s="1437" t="s">
        <v>37</v>
      </c>
      <c r="N3" s="1437"/>
      <c r="O3" s="1437"/>
      <c r="P3" s="1437"/>
      <c r="Q3" s="1435" t="s">
        <v>732</v>
      </c>
      <c r="R3" s="1435" t="s">
        <v>733</v>
      </c>
      <c r="S3" s="1435" t="s">
        <v>734</v>
      </c>
      <c r="T3" s="1435" t="s">
        <v>735</v>
      </c>
      <c r="U3" s="1439" t="s">
        <v>736</v>
      </c>
    </row>
    <row r="4" spans="2:21" ht="45.75" thickBot="1" x14ac:dyDescent="0.25">
      <c r="B4" s="1434"/>
      <c r="C4" s="1436"/>
      <c r="D4" s="1436"/>
      <c r="E4" s="1436"/>
      <c r="F4" s="1438"/>
      <c r="G4" s="1436"/>
      <c r="H4" s="1436"/>
      <c r="I4" s="1436"/>
      <c r="J4" s="728" t="s">
        <v>737</v>
      </c>
      <c r="K4" s="728" t="s">
        <v>738</v>
      </c>
      <c r="L4" s="728" t="s">
        <v>739</v>
      </c>
      <c r="M4" s="728" t="s">
        <v>740</v>
      </c>
      <c r="N4" s="728" t="s">
        <v>42</v>
      </c>
      <c r="O4" s="728" t="s">
        <v>741</v>
      </c>
      <c r="P4" s="728" t="s">
        <v>739</v>
      </c>
      <c r="Q4" s="1436"/>
      <c r="R4" s="1436"/>
      <c r="S4" s="1436"/>
      <c r="T4" s="1436"/>
      <c r="U4" s="1440"/>
    </row>
    <row r="5" spans="2:21" ht="15" x14ac:dyDescent="0.2">
      <c r="B5" s="1405" t="s">
        <v>657</v>
      </c>
      <c r="C5" s="1407" t="s">
        <v>742</v>
      </c>
      <c r="D5" s="1407" t="s">
        <v>433</v>
      </c>
      <c r="E5" s="1407" t="s">
        <v>658</v>
      </c>
      <c r="F5" s="1409" t="s">
        <v>299</v>
      </c>
      <c r="G5" s="1402">
        <v>0</v>
      </c>
      <c r="H5" s="1401">
        <v>1.2</v>
      </c>
      <c r="I5" s="1401">
        <v>0</v>
      </c>
      <c r="J5" s="1402">
        <v>11.01</v>
      </c>
      <c r="K5" s="1403">
        <f>I5*G5</f>
        <v>0</v>
      </c>
      <c r="L5" s="1404">
        <v>0</v>
      </c>
      <c r="M5" s="729">
        <v>2</v>
      </c>
      <c r="N5" s="730">
        <v>1</v>
      </c>
      <c r="O5" s="731">
        <f>5.5*1.2</f>
        <v>6.6</v>
      </c>
      <c r="P5" s="731">
        <f>1.2+1.2+1.5</f>
        <v>3.9</v>
      </c>
      <c r="Q5" s="1395">
        <f>((O5*M5)+(O6*M6)+(G5*(H5+I5))+J5)</f>
        <v>24.21</v>
      </c>
      <c r="R5" s="1395">
        <f>I5+K5</f>
        <v>0</v>
      </c>
      <c r="S5" s="1395">
        <f>L5+M5*P5+M6*P6</f>
        <v>7.8</v>
      </c>
      <c r="T5" s="1395">
        <f>0.2*S5</f>
        <v>1.56</v>
      </c>
      <c r="U5" s="1396">
        <f>(Q5-R5-T5)</f>
        <v>22.650000000000002</v>
      </c>
    </row>
    <row r="6" spans="2:21" ht="15" x14ac:dyDescent="0.2">
      <c r="B6" s="1406"/>
      <c r="C6" s="1408"/>
      <c r="D6" s="1408"/>
      <c r="E6" s="1408"/>
      <c r="F6" s="1397"/>
      <c r="G6" s="1398"/>
      <c r="H6" s="1399"/>
      <c r="I6" s="1399"/>
      <c r="J6" s="1398"/>
      <c r="K6" s="1400"/>
      <c r="L6" s="1392"/>
      <c r="M6" s="732">
        <v>0</v>
      </c>
      <c r="N6" s="733">
        <v>2</v>
      </c>
      <c r="O6" s="734">
        <f>6.5*1.2</f>
        <v>7.8</v>
      </c>
      <c r="P6" s="734">
        <f>1.2+1.2+2.5</f>
        <v>4.9000000000000004</v>
      </c>
      <c r="Q6" s="1393"/>
      <c r="R6" s="1393"/>
      <c r="S6" s="1393"/>
      <c r="T6" s="1393"/>
      <c r="U6" s="1394"/>
    </row>
    <row r="7" spans="2:21" ht="15" x14ac:dyDescent="0.2">
      <c r="B7" s="1406"/>
      <c r="C7" s="1408"/>
      <c r="D7" s="1408"/>
      <c r="E7" s="1408"/>
      <c r="F7" s="1397" t="s">
        <v>528</v>
      </c>
      <c r="G7" s="1398">
        <v>0</v>
      </c>
      <c r="H7" s="1399">
        <v>1.2</v>
      </c>
      <c r="I7" s="1399">
        <v>0</v>
      </c>
      <c r="J7" s="1398">
        <v>8.25</v>
      </c>
      <c r="K7" s="1400">
        <f>I7*G7</f>
        <v>0</v>
      </c>
      <c r="L7" s="1392">
        <v>0</v>
      </c>
      <c r="M7" s="732">
        <v>2</v>
      </c>
      <c r="N7" s="733">
        <v>1</v>
      </c>
      <c r="O7" s="734">
        <f>5.5*1.2</f>
        <v>6.6</v>
      </c>
      <c r="P7" s="734">
        <f>1.2+1.2+1.5</f>
        <v>3.9</v>
      </c>
      <c r="Q7" s="1393">
        <f>((O7*M7)+(O8*M8)+(G7*(H7+I7))+J7)</f>
        <v>21.45</v>
      </c>
      <c r="R7" s="1393">
        <f>I7+K7</f>
        <v>0</v>
      </c>
      <c r="S7" s="1393">
        <f>L7+M7*P7+M8*P8</f>
        <v>7.8</v>
      </c>
      <c r="T7" s="1393">
        <f>0.2*S7</f>
        <v>1.56</v>
      </c>
      <c r="U7" s="1394">
        <f>(Q7-R7-T7)</f>
        <v>19.89</v>
      </c>
    </row>
    <row r="8" spans="2:21" ht="15" x14ac:dyDescent="0.2">
      <c r="B8" s="1406"/>
      <c r="C8" s="1408"/>
      <c r="D8" s="1408"/>
      <c r="E8" s="1408"/>
      <c r="F8" s="1397"/>
      <c r="G8" s="1398"/>
      <c r="H8" s="1399"/>
      <c r="I8" s="1399"/>
      <c r="J8" s="1398"/>
      <c r="K8" s="1400"/>
      <c r="L8" s="1392"/>
      <c r="M8" s="732">
        <v>0</v>
      </c>
      <c r="N8" s="733">
        <v>2</v>
      </c>
      <c r="O8" s="734">
        <f>6.5*1.2</f>
        <v>7.8</v>
      </c>
      <c r="P8" s="734">
        <f>1.2+1.2+2.5</f>
        <v>4.9000000000000004</v>
      </c>
      <c r="Q8" s="1393"/>
      <c r="R8" s="1393"/>
      <c r="S8" s="1393"/>
      <c r="T8" s="1393"/>
      <c r="U8" s="1394"/>
    </row>
    <row r="9" spans="2:21" ht="15" x14ac:dyDescent="0.2">
      <c r="B9" s="1406"/>
      <c r="C9" s="1408" t="s">
        <v>658</v>
      </c>
      <c r="D9" s="1408" t="s">
        <v>433</v>
      </c>
      <c r="E9" s="1408" t="s">
        <v>743</v>
      </c>
      <c r="F9" s="1397" t="s">
        <v>299</v>
      </c>
      <c r="G9" s="1398">
        <v>0</v>
      </c>
      <c r="H9" s="1399">
        <v>1.2</v>
      </c>
      <c r="I9" s="1399">
        <v>0</v>
      </c>
      <c r="J9" s="1398">
        <v>9.15</v>
      </c>
      <c r="K9" s="1400">
        <f>I9*G9</f>
        <v>0</v>
      </c>
      <c r="L9" s="1392">
        <v>0</v>
      </c>
      <c r="M9" s="732">
        <v>2</v>
      </c>
      <c r="N9" s="733">
        <v>1</v>
      </c>
      <c r="O9" s="734">
        <f>5.5*1.2</f>
        <v>6.6</v>
      </c>
      <c r="P9" s="734">
        <f>1.2+1.2+1.5</f>
        <v>3.9</v>
      </c>
      <c r="Q9" s="1393">
        <f>((O9*M9)+(O10*M10)+(G9*(H9+I9))+J9)</f>
        <v>22.35</v>
      </c>
      <c r="R9" s="1393">
        <f>I9+K9</f>
        <v>0</v>
      </c>
      <c r="S9" s="1393">
        <f>L9+M9*P9+M10*P10</f>
        <v>7.8</v>
      </c>
      <c r="T9" s="1393">
        <f>0.2*S9</f>
        <v>1.56</v>
      </c>
      <c r="U9" s="1394">
        <f>(Q9-R9-T9)</f>
        <v>20.790000000000003</v>
      </c>
    </row>
    <row r="10" spans="2:21" ht="15" x14ac:dyDescent="0.2">
      <c r="B10" s="1406"/>
      <c r="C10" s="1408"/>
      <c r="D10" s="1408"/>
      <c r="E10" s="1408"/>
      <c r="F10" s="1397"/>
      <c r="G10" s="1398"/>
      <c r="H10" s="1399"/>
      <c r="I10" s="1399"/>
      <c r="J10" s="1398"/>
      <c r="K10" s="1400"/>
      <c r="L10" s="1392"/>
      <c r="M10" s="732">
        <v>0</v>
      </c>
      <c r="N10" s="733">
        <v>2</v>
      </c>
      <c r="O10" s="734">
        <f>6.5*1.2</f>
        <v>7.8</v>
      </c>
      <c r="P10" s="734">
        <f>1.2+1.2+2.5</f>
        <v>4.9000000000000004</v>
      </c>
      <c r="Q10" s="1393"/>
      <c r="R10" s="1393"/>
      <c r="S10" s="1393"/>
      <c r="T10" s="1393"/>
      <c r="U10" s="1394"/>
    </row>
    <row r="11" spans="2:21" ht="15" x14ac:dyDescent="0.2">
      <c r="B11" s="1406"/>
      <c r="C11" s="1408"/>
      <c r="D11" s="1408"/>
      <c r="E11" s="1408"/>
      <c r="F11" s="1397" t="s">
        <v>528</v>
      </c>
      <c r="G11" s="1398">
        <v>0</v>
      </c>
      <c r="H11" s="1399">
        <v>1.2</v>
      </c>
      <c r="I11" s="1399">
        <v>0</v>
      </c>
      <c r="J11" s="1398">
        <v>11.91</v>
      </c>
      <c r="K11" s="1400">
        <f>I11*G11</f>
        <v>0</v>
      </c>
      <c r="L11" s="1392">
        <v>0</v>
      </c>
      <c r="M11" s="732">
        <v>2</v>
      </c>
      <c r="N11" s="733">
        <v>1</v>
      </c>
      <c r="O11" s="734">
        <f>5.5*1.2</f>
        <v>6.6</v>
      </c>
      <c r="P11" s="734">
        <f>1.2+1.2+1.5</f>
        <v>3.9</v>
      </c>
      <c r="Q11" s="1393">
        <f>((O11*M11)+(O12*M12)+(G11*(H11+I11))+J11)</f>
        <v>25.11</v>
      </c>
      <c r="R11" s="1393">
        <f>I11+K11</f>
        <v>0</v>
      </c>
      <c r="S11" s="1393">
        <f>L11+M11*P11+M12*P12</f>
        <v>7.8</v>
      </c>
      <c r="T11" s="1393">
        <f>0.2*S11</f>
        <v>1.56</v>
      </c>
      <c r="U11" s="1394">
        <f>(Q11-R11-T11)</f>
        <v>23.55</v>
      </c>
    </row>
    <row r="12" spans="2:21" ht="15.75" thickBot="1" x14ac:dyDescent="0.25">
      <c r="B12" s="1429"/>
      <c r="C12" s="1408"/>
      <c r="D12" s="1408"/>
      <c r="E12" s="1408"/>
      <c r="F12" s="1397"/>
      <c r="G12" s="1398"/>
      <c r="H12" s="1399"/>
      <c r="I12" s="1399"/>
      <c r="J12" s="1398"/>
      <c r="K12" s="1400"/>
      <c r="L12" s="1392"/>
      <c r="M12" s="732">
        <v>0</v>
      </c>
      <c r="N12" s="733">
        <v>2</v>
      </c>
      <c r="O12" s="734">
        <f>6.5*1.2</f>
        <v>7.8</v>
      </c>
      <c r="P12" s="734">
        <f>1.2+1.2+2.5</f>
        <v>4.9000000000000004</v>
      </c>
      <c r="Q12" s="1393"/>
      <c r="R12" s="1393"/>
      <c r="S12" s="1393"/>
      <c r="T12" s="1393"/>
      <c r="U12" s="1394"/>
    </row>
    <row r="13" spans="2:21" ht="15" x14ac:dyDescent="0.2">
      <c r="B13" s="1405" t="s">
        <v>656</v>
      </c>
      <c r="C13" s="1407" t="s">
        <v>742</v>
      </c>
      <c r="D13" s="1407" t="s">
        <v>433</v>
      </c>
      <c r="E13" s="1407" t="s">
        <v>658</v>
      </c>
      <c r="F13" s="1409" t="s">
        <v>299</v>
      </c>
      <c r="G13" s="1402">
        <v>0</v>
      </c>
      <c r="H13" s="1401">
        <v>1.2</v>
      </c>
      <c r="I13" s="1401">
        <v>0</v>
      </c>
      <c r="J13" s="1402">
        <v>4.5199999999999996</v>
      </c>
      <c r="K13" s="1403">
        <f>I13*G13</f>
        <v>0</v>
      </c>
      <c r="L13" s="1404">
        <v>0</v>
      </c>
      <c r="M13" s="729">
        <v>2</v>
      </c>
      <c r="N13" s="730">
        <v>1</v>
      </c>
      <c r="O13" s="731">
        <f>5.5*1.2</f>
        <v>6.6</v>
      </c>
      <c r="P13" s="731">
        <f>1.2+1.2+1.5</f>
        <v>3.9</v>
      </c>
      <c r="Q13" s="1395">
        <f>((O13*M13)+(O14*M14)+(G13*(H13+I13))+J13)</f>
        <v>17.72</v>
      </c>
      <c r="R13" s="1395">
        <f>I13+K13</f>
        <v>0</v>
      </c>
      <c r="S13" s="1395">
        <f>L13+M13*P13+M14*P14</f>
        <v>7.8</v>
      </c>
      <c r="T13" s="1395">
        <f>0.2*S13</f>
        <v>1.56</v>
      </c>
      <c r="U13" s="1396">
        <f>(Q13-R13-T13)</f>
        <v>16.16</v>
      </c>
    </row>
    <row r="14" spans="2:21" ht="15" x14ac:dyDescent="0.2">
      <c r="B14" s="1406"/>
      <c r="C14" s="1408"/>
      <c r="D14" s="1408"/>
      <c r="E14" s="1408"/>
      <c r="F14" s="1397"/>
      <c r="G14" s="1398"/>
      <c r="H14" s="1399"/>
      <c r="I14" s="1399"/>
      <c r="J14" s="1398"/>
      <c r="K14" s="1400"/>
      <c r="L14" s="1392"/>
      <c r="M14" s="732">
        <v>0</v>
      </c>
      <c r="N14" s="733">
        <v>2</v>
      </c>
      <c r="O14" s="734">
        <f>6.5*1.2</f>
        <v>7.8</v>
      </c>
      <c r="P14" s="734">
        <f>1.2+1.2+2.5</f>
        <v>4.9000000000000004</v>
      </c>
      <c r="Q14" s="1393"/>
      <c r="R14" s="1393"/>
      <c r="S14" s="1393"/>
      <c r="T14" s="1393"/>
      <c r="U14" s="1394"/>
    </row>
    <row r="15" spans="2:21" ht="15" x14ac:dyDescent="0.2">
      <c r="B15" s="1406"/>
      <c r="C15" s="1408"/>
      <c r="D15" s="1408"/>
      <c r="E15" s="1408"/>
      <c r="F15" s="1397" t="s">
        <v>528</v>
      </c>
      <c r="G15" s="1398">
        <v>0</v>
      </c>
      <c r="H15" s="1399">
        <v>1.2</v>
      </c>
      <c r="I15" s="1399">
        <v>0</v>
      </c>
      <c r="J15" s="1398">
        <v>4.58</v>
      </c>
      <c r="K15" s="1400">
        <f>I15*G15</f>
        <v>0</v>
      </c>
      <c r="L15" s="1392">
        <v>0</v>
      </c>
      <c r="M15" s="732">
        <v>2</v>
      </c>
      <c r="N15" s="733">
        <v>1</v>
      </c>
      <c r="O15" s="734">
        <f>5.5*1.2</f>
        <v>6.6</v>
      </c>
      <c r="P15" s="734">
        <f>1.2+1.2+1.5</f>
        <v>3.9</v>
      </c>
      <c r="Q15" s="1393">
        <f>((O15*M15)+(O16*M16)+(G15*(H15+I15))+J15)</f>
        <v>17.78</v>
      </c>
      <c r="R15" s="1393">
        <f>I15+K15</f>
        <v>0</v>
      </c>
      <c r="S15" s="1393">
        <f>L15+M15*P15+M16*P16</f>
        <v>7.8</v>
      </c>
      <c r="T15" s="1393">
        <f>0.2*S15</f>
        <v>1.56</v>
      </c>
      <c r="U15" s="1394">
        <f>(Q15-R15-T15)</f>
        <v>16.220000000000002</v>
      </c>
    </row>
    <row r="16" spans="2:21" ht="15" x14ac:dyDescent="0.2">
      <c r="B16" s="1406"/>
      <c r="C16" s="1408"/>
      <c r="D16" s="1408"/>
      <c r="E16" s="1408"/>
      <c r="F16" s="1397"/>
      <c r="G16" s="1398"/>
      <c r="H16" s="1399"/>
      <c r="I16" s="1399"/>
      <c r="J16" s="1398"/>
      <c r="K16" s="1400"/>
      <c r="L16" s="1392"/>
      <c r="M16" s="732">
        <v>0</v>
      </c>
      <c r="N16" s="733">
        <v>2</v>
      </c>
      <c r="O16" s="734">
        <f>6.5*1.2</f>
        <v>7.8</v>
      </c>
      <c r="P16" s="734">
        <f>1.2+1.2+2.5</f>
        <v>4.9000000000000004</v>
      </c>
      <c r="Q16" s="1393"/>
      <c r="R16" s="1393"/>
      <c r="S16" s="1393"/>
      <c r="T16" s="1393"/>
      <c r="U16" s="1394"/>
    </row>
    <row r="17" spans="2:21" ht="15" x14ac:dyDescent="0.2">
      <c r="B17" s="1406"/>
      <c r="C17" s="1408" t="s">
        <v>658</v>
      </c>
      <c r="D17" s="1408" t="s">
        <v>433</v>
      </c>
      <c r="E17" s="1408" t="s">
        <v>743</v>
      </c>
      <c r="F17" s="1397" t="s">
        <v>299</v>
      </c>
      <c r="G17" s="1398">
        <v>0</v>
      </c>
      <c r="H17" s="1399">
        <v>1.2</v>
      </c>
      <c r="I17" s="1399">
        <v>0</v>
      </c>
      <c r="J17" s="1398">
        <v>4.53</v>
      </c>
      <c r="K17" s="1400">
        <f>I17*G17</f>
        <v>0</v>
      </c>
      <c r="L17" s="1392">
        <v>0</v>
      </c>
      <c r="M17" s="732">
        <v>2</v>
      </c>
      <c r="N17" s="733">
        <v>1</v>
      </c>
      <c r="O17" s="734">
        <f>5.5*1.2</f>
        <v>6.6</v>
      </c>
      <c r="P17" s="734">
        <f>1.2+1.2+1.5</f>
        <v>3.9</v>
      </c>
      <c r="Q17" s="1393">
        <f>((O17*M17)+(O18*M18)+(G17*(H17+I17))+J17)</f>
        <v>17.73</v>
      </c>
      <c r="R17" s="1393">
        <f>I17+K17</f>
        <v>0</v>
      </c>
      <c r="S17" s="1393">
        <f>L17+M17*P17+M18*P18</f>
        <v>7.8</v>
      </c>
      <c r="T17" s="1393">
        <f>0.2*S17</f>
        <v>1.56</v>
      </c>
      <c r="U17" s="1394">
        <f>(Q17-R17-T17)</f>
        <v>16.170000000000002</v>
      </c>
    </row>
    <row r="18" spans="2:21" ht="15" x14ac:dyDescent="0.2">
      <c r="B18" s="1406"/>
      <c r="C18" s="1408"/>
      <c r="D18" s="1408"/>
      <c r="E18" s="1408"/>
      <c r="F18" s="1397"/>
      <c r="G18" s="1398"/>
      <c r="H18" s="1399"/>
      <c r="I18" s="1399"/>
      <c r="J18" s="1398"/>
      <c r="K18" s="1400"/>
      <c r="L18" s="1392"/>
      <c r="M18" s="732">
        <v>0</v>
      </c>
      <c r="N18" s="733">
        <v>2</v>
      </c>
      <c r="O18" s="734">
        <f>6.5*1.2</f>
        <v>7.8</v>
      </c>
      <c r="P18" s="734">
        <f>1.2+1.2+2.5</f>
        <v>4.9000000000000004</v>
      </c>
      <c r="Q18" s="1393"/>
      <c r="R18" s="1393"/>
      <c r="S18" s="1393"/>
      <c r="T18" s="1393"/>
      <c r="U18" s="1394"/>
    </row>
    <row r="19" spans="2:21" ht="15" x14ac:dyDescent="0.2">
      <c r="B19" s="1406"/>
      <c r="C19" s="1408"/>
      <c r="D19" s="1408"/>
      <c r="E19" s="1408"/>
      <c r="F19" s="1397" t="s">
        <v>528</v>
      </c>
      <c r="G19" s="1398">
        <v>0</v>
      </c>
      <c r="H19" s="1399">
        <v>1.2</v>
      </c>
      <c r="I19" s="1399">
        <v>0</v>
      </c>
      <c r="J19" s="1398">
        <v>4.53</v>
      </c>
      <c r="K19" s="1400">
        <f>I19*G19</f>
        <v>0</v>
      </c>
      <c r="L19" s="1392">
        <v>0</v>
      </c>
      <c r="M19" s="732">
        <v>2</v>
      </c>
      <c r="N19" s="733">
        <v>1</v>
      </c>
      <c r="O19" s="734">
        <f>5.5*1.2</f>
        <v>6.6</v>
      </c>
      <c r="P19" s="734">
        <f>1.2+1.2+1.5</f>
        <v>3.9</v>
      </c>
      <c r="Q19" s="1393">
        <f>((O19*M19)+(O20*M20)+(G19*(H19+I19))+J19)</f>
        <v>17.73</v>
      </c>
      <c r="R19" s="1393">
        <f>I19+K19</f>
        <v>0</v>
      </c>
      <c r="S19" s="1393">
        <f>L19+M19*P19+M20*P20</f>
        <v>7.8</v>
      </c>
      <c r="T19" s="1393">
        <f>0.2*S19</f>
        <v>1.56</v>
      </c>
      <c r="U19" s="1394">
        <f>(Q19-R19-T19)</f>
        <v>16.170000000000002</v>
      </c>
    </row>
    <row r="20" spans="2:21" ht="15.75" thickBot="1" x14ac:dyDescent="0.25">
      <c r="B20" s="1429"/>
      <c r="C20" s="1408"/>
      <c r="D20" s="1408"/>
      <c r="E20" s="1408"/>
      <c r="F20" s="1397"/>
      <c r="G20" s="1398"/>
      <c r="H20" s="1399"/>
      <c r="I20" s="1399"/>
      <c r="J20" s="1398"/>
      <c r="K20" s="1400"/>
      <c r="L20" s="1392"/>
      <c r="M20" s="732">
        <v>0</v>
      </c>
      <c r="N20" s="733">
        <v>2</v>
      </c>
      <c r="O20" s="734">
        <f>6.5*1.2</f>
        <v>7.8</v>
      </c>
      <c r="P20" s="734">
        <f>1.2+1.2+2.5</f>
        <v>4.9000000000000004</v>
      </c>
      <c r="Q20" s="1393"/>
      <c r="R20" s="1393"/>
      <c r="S20" s="1393"/>
      <c r="T20" s="1393"/>
      <c r="U20" s="1394"/>
    </row>
    <row r="21" spans="2:21" ht="15" x14ac:dyDescent="0.2">
      <c r="B21" s="1405" t="s">
        <v>655</v>
      </c>
      <c r="C21" s="1407" t="s">
        <v>742</v>
      </c>
      <c r="D21" s="1407" t="s">
        <v>433</v>
      </c>
      <c r="E21" s="1407" t="s">
        <v>658</v>
      </c>
      <c r="F21" s="1409" t="s">
        <v>299</v>
      </c>
      <c r="G21" s="1402">
        <v>0</v>
      </c>
      <c r="H21" s="1401">
        <v>1.2</v>
      </c>
      <c r="I21" s="1401">
        <v>0</v>
      </c>
      <c r="J21" s="1402">
        <v>5.87</v>
      </c>
      <c r="K21" s="1403">
        <f>I21*G21</f>
        <v>0</v>
      </c>
      <c r="L21" s="1404">
        <v>0</v>
      </c>
      <c r="M21" s="729">
        <v>2</v>
      </c>
      <c r="N21" s="730">
        <v>1</v>
      </c>
      <c r="O21" s="731">
        <f>5.5*1.2</f>
        <v>6.6</v>
      </c>
      <c r="P21" s="731">
        <f>1.2+1.2+1.5</f>
        <v>3.9</v>
      </c>
      <c r="Q21" s="1395">
        <f>((O21*M21)+(O22*M22)+(G21*(H21+I21))+J21)</f>
        <v>19.07</v>
      </c>
      <c r="R21" s="1395">
        <f>I21+K21</f>
        <v>0</v>
      </c>
      <c r="S21" s="1395">
        <f>L21+M21*P21+M22*P22</f>
        <v>7.8</v>
      </c>
      <c r="T21" s="1395">
        <f>0.2*S21</f>
        <v>1.56</v>
      </c>
      <c r="U21" s="1396">
        <f>(Q21-R21-T21)</f>
        <v>17.510000000000002</v>
      </c>
    </row>
    <row r="22" spans="2:21" ht="15" x14ac:dyDescent="0.2">
      <c r="B22" s="1406"/>
      <c r="C22" s="1408"/>
      <c r="D22" s="1408"/>
      <c r="E22" s="1408"/>
      <c r="F22" s="1397"/>
      <c r="G22" s="1398"/>
      <c r="H22" s="1399"/>
      <c r="I22" s="1399"/>
      <c r="J22" s="1398"/>
      <c r="K22" s="1400"/>
      <c r="L22" s="1392"/>
      <c r="M22" s="732">
        <v>0</v>
      </c>
      <c r="N22" s="733">
        <v>2</v>
      </c>
      <c r="O22" s="734">
        <f>6.5*1.2</f>
        <v>7.8</v>
      </c>
      <c r="P22" s="734">
        <f>1.2+1.2+2.5</f>
        <v>4.9000000000000004</v>
      </c>
      <c r="Q22" s="1393"/>
      <c r="R22" s="1393"/>
      <c r="S22" s="1393"/>
      <c r="T22" s="1393"/>
      <c r="U22" s="1394"/>
    </row>
    <row r="23" spans="2:21" ht="15" x14ac:dyDescent="0.2">
      <c r="B23" s="1406"/>
      <c r="C23" s="1408"/>
      <c r="D23" s="1408"/>
      <c r="E23" s="1408"/>
      <c r="F23" s="1397" t="s">
        <v>528</v>
      </c>
      <c r="G23" s="1398">
        <v>0</v>
      </c>
      <c r="H23" s="1399">
        <v>1.2</v>
      </c>
      <c r="I23" s="1399">
        <v>0</v>
      </c>
      <c r="J23" s="1398">
        <v>4.8</v>
      </c>
      <c r="K23" s="1400">
        <f>I23*G23</f>
        <v>0</v>
      </c>
      <c r="L23" s="1392">
        <v>0</v>
      </c>
      <c r="M23" s="732">
        <v>2</v>
      </c>
      <c r="N23" s="733">
        <v>1</v>
      </c>
      <c r="O23" s="734">
        <f>5.5*1.2</f>
        <v>6.6</v>
      </c>
      <c r="P23" s="734">
        <f>1.2+1.2+1.5</f>
        <v>3.9</v>
      </c>
      <c r="Q23" s="1393">
        <f>((O23*M23)+(O24*M24)+(G23*(H23+I23))+J23)</f>
        <v>18</v>
      </c>
      <c r="R23" s="1393">
        <f>I23+K23</f>
        <v>0</v>
      </c>
      <c r="S23" s="1393">
        <f>L23+M23*P23+M24*P24</f>
        <v>7.8</v>
      </c>
      <c r="T23" s="1393">
        <f>0.2*S23</f>
        <v>1.56</v>
      </c>
      <c r="U23" s="1394">
        <f>(Q23-R23-T23)</f>
        <v>16.440000000000001</v>
      </c>
    </row>
    <row r="24" spans="2:21" ht="15" x14ac:dyDescent="0.2">
      <c r="B24" s="1406"/>
      <c r="C24" s="1408"/>
      <c r="D24" s="1408"/>
      <c r="E24" s="1408"/>
      <c r="F24" s="1397"/>
      <c r="G24" s="1398"/>
      <c r="H24" s="1399"/>
      <c r="I24" s="1399"/>
      <c r="J24" s="1398"/>
      <c r="K24" s="1400"/>
      <c r="L24" s="1392"/>
      <c r="M24" s="732">
        <v>0</v>
      </c>
      <c r="N24" s="733">
        <v>2</v>
      </c>
      <c r="O24" s="734">
        <f>6.5*1.2</f>
        <v>7.8</v>
      </c>
      <c r="P24" s="734">
        <f>1.2+1.2+2.5</f>
        <v>4.9000000000000004</v>
      </c>
      <c r="Q24" s="1393"/>
      <c r="R24" s="1393"/>
      <c r="S24" s="1393"/>
      <c r="T24" s="1393"/>
      <c r="U24" s="1394"/>
    </row>
    <row r="25" spans="2:21" ht="15" x14ac:dyDescent="0.2">
      <c r="B25" s="1406"/>
      <c r="C25" s="1408" t="s">
        <v>658</v>
      </c>
      <c r="D25" s="1408" t="s">
        <v>433</v>
      </c>
      <c r="E25" s="1408" t="s">
        <v>743</v>
      </c>
      <c r="F25" s="1397" t="s">
        <v>299</v>
      </c>
      <c r="G25" s="1398">
        <v>0</v>
      </c>
      <c r="H25" s="1399">
        <v>1.2</v>
      </c>
      <c r="I25" s="1399">
        <v>0</v>
      </c>
      <c r="J25" s="1398">
        <v>6.31</v>
      </c>
      <c r="K25" s="1400">
        <f>I25*G25</f>
        <v>0</v>
      </c>
      <c r="L25" s="1392">
        <v>0</v>
      </c>
      <c r="M25" s="732">
        <v>2</v>
      </c>
      <c r="N25" s="733">
        <v>1</v>
      </c>
      <c r="O25" s="734">
        <f>5.5*1.2</f>
        <v>6.6</v>
      </c>
      <c r="P25" s="734">
        <f>1.2+1.2+1.5</f>
        <v>3.9</v>
      </c>
      <c r="Q25" s="1393">
        <f>((O25*M25)+(O26*M26)+(G25*(H25+I25))+J25)</f>
        <v>19.509999999999998</v>
      </c>
      <c r="R25" s="1393">
        <f>I25+K25</f>
        <v>0</v>
      </c>
      <c r="S25" s="1393">
        <f>L25+M25*P25+M26*P26</f>
        <v>7.8</v>
      </c>
      <c r="T25" s="1393">
        <f>0.2*S25</f>
        <v>1.56</v>
      </c>
      <c r="U25" s="1394">
        <f>(Q25-R25-T25)</f>
        <v>17.95</v>
      </c>
    </row>
    <row r="26" spans="2:21" ht="15" x14ac:dyDescent="0.2">
      <c r="B26" s="1406"/>
      <c r="C26" s="1408"/>
      <c r="D26" s="1408"/>
      <c r="E26" s="1408"/>
      <c r="F26" s="1397"/>
      <c r="G26" s="1398"/>
      <c r="H26" s="1399"/>
      <c r="I26" s="1399"/>
      <c r="J26" s="1398"/>
      <c r="K26" s="1400"/>
      <c r="L26" s="1392"/>
      <c r="M26" s="732">
        <v>0</v>
      </c>
      <c r="N26" s="733">
        <v>2</v>
      </c>
      <c r="O26" s="734">
        <f>6.5*1.2</f>
        <v>7.8</v>
      </c>
      <c r="P26" s="734">
        <f>1.2+1.2+2.5</f>
        <v>4.9000000000000004</v>
      </c>
      <c r="Q26" s="1393"/>
      <c r="R26" s="1393"/>
      <c r="S26" s="1393"/>
      <c r="T26" s="1393"/>
      <c r="U26" s="1394"/>
    </row>
    <row r="27" spans="2:21" ht="15" x14ac:dyDescent="0.2">
      <c r="B27" s="1406"/>
      <c r="C27" s="1408"/>
      <c r="D27" s="1408"/>
      <c r="E27" s="1408"/>
      <c r="F27" s="1397" t="s">
        <v>528</v>
      </c>
      <c r="G27" s="1398">
        <v>0</v>
      </c>
      <c r="H27" s="1399">
        <v>1.2</v>
      </c>
      <c r="I27" s="1399">
        <v>0</v>
      </c>
      <c r="J27" s="1398">
        <v>7.27</v>
      </c>
      <c r="K27" s="1400">
        <f>I27*G27</f>
        <v>0</v>
      </c>
      <c r="L27" s="1392">
        <v>0</v>
      </c>
      <c r="M27" s="732">
        <v>2</v>
      </c>
      <c r="N27" s="733">
        <v>1</v>
      </c>
      <c r="O27" s="734">
        <f>5.5*1.2</f>
        <v>6.6</v>
      </c>
      <c r="P27" s="734">
        <f>1.2+1.2+1.5</f>
        <v>3.9</v>
      </c>
      <c r="Q27" s="1393">
        <f>((O27*M27)+(O28*M28)+(G27*(H27+I27))+J27)</f>
        <v>20.47</v>
      </c>
      <c r="R27" s="1393">
        <f>I27+K27</f>
        <v>0</v>
      </c>
      <c r="S27" s="1393">
        <f>L27+M27*P27+M28*P28</f>
        <v>7.8</v>
      </c>
      <c r="T27" s="1393">
        <f>0.2*S27</f>
        <v>1.56</v>
      </c>
      <c r="U27" s="1394">
        <f>(Q27-R27-T27)</f>
        <v>18.91</v>
      </c>
    </row>
    <row r="28" spans="2:21" ht="15.75" thickBot="1" x14ac:dyDescent="0.25">
      <c r="B28" s="1429"/>
      <c r="C28" s="1408"/>
      <c r="D28" s="1408"/>
      <c r="E28" s="1408"/>
      <c r="F28" s="1397"/>
      <c r="G28" s="1398"/>
      <c r="H28" s="1399"/>
      <c r="I28" s="1399"/>
      <c r="J28" s="1398"/>
      <c r="K28" s="1400"/>
      <c r="L28" s="1392"/>
      <c r="M28" s="732">
        <v>0</v>
      </c>
      <c r="N28" s="733">
        <v>2</v>
      </c>
      <c r="O28" s="734">
        <f>6.5*1.2</f>
        <v>7.8</v>
      </c>
      <c r="P28" s="734">
        <f>1.2+1.2+2.5</f>
        <v>4.9000000000000004</v>
      </c>
      <c r="Q28" s="1393"/>
      <c r="R28" s="1393"/>
      <c r="S28" s="1393"/>
      <c r="T28" s="1393"/>
      <c r="U28" s="1394"/>
    </row>
    <row r="29" spans="2:21" ht="15" x14ac:dyDescent="0.2">
      <c r="B29" s="1416" t="s">
        <v>744</v>
      </c>
      <c r="C29" s="1407" t="s">
        <v>703</v>
      </c>
      <c r="D29" s="1407" t="s">
        <v>433</v>
      </c>
      <c r="E29" s="1407" t="s">
        <v>657</v>
      </c>
      <c r="F29" s="1409" t="s">
        <v>299</v>
      </c>
      <c r="G29" s="1402">
        <v>0</v>
      </c>
      <c r="H29" s="1401">
        <v>1.2</v>
      </c>
      <c r="I29" s="1401">
        <v>0</v>
      </c>
      <c r="J29" s="1402">
        <v>0</v>
      </c>
      <c r="K29" s="1403">
        <f>I29*G29</f>
        <v>0</v>
      </c>
      <c r="L29" s="1404">
        <v>0</v>
      </c>
      <c r="M29" s="729">
        <v>2</v>
      </c>
      <c r="N29" s="730">
        <v>1</v>
      </c>
      <c r="O29" s="731">
        <f>5.5*1.2</f>
        <v>6.6</v>
      </c>
      <c r="P29" s="731">
        <f>1.2+1.2+1.5</f>
        <v>3.9</v>
      </c>
      <c r="Q29" s="1395">
        <f>((O29*M29)+(O30*M30)+(G29*(H29+I29))+J29)</f>
        <v>13.2</v>
      </c>
      <c r="R29" s="1395">
        <f>I29+K29</f>
        <v>0</v>
      </c>
      <c r="S29" s="1395">
        <f>L29+M29*P29+M30*P30</f>
        <v>7.8</v>
      </c>
      <c r="T29" s="1395">
        <f>0.2*S29</f>
        <v>1.56</v>
      </c>
      <c r="U29" s="1396">
        <f>(Q29-R29-T29)</f>
        <v>11.639999999999999</v>
      </c>
    </row>
    <row r="30" spans="2:21" ht="15" x14ac:dyDescent="0.2">
      <c r="B30" s="1417"/>
      <c r="C30" s="1408"/>
      <c r="D30" s="1408"/>
      <c r="E30" s="1408"/>
      <c r="F30" s="1397"/>
      <c r="G30" s="1398"/>
      <c r="H30" s="1399"/>
      <c r="I30" s="1399"/>
      <c r="J30" s="1398"/>
      <c r="K30" s="1400"/>
      <c r="L30" s="1392"/>
      <c r="M30" s="732">
        <v>0</v>
      </c>
      <c r="N30" s="733">
        <v>2</v>
      </c>
      <c r="O30" s="734">
        <f>6.5*1.2</f>
        <v>7.8</v>
      </c>
      <c r="P30" s="734">
        <f>1.2+1.2+2.5</f>
        <v>4.9000000000000004</v>
      </c>
      <c r="Q30" s="1393"/>
      <c r="R30" s="1393"/>
      <c r="S30" s="1393"/>
      <c r="T30" s="1393"/>
      <c r="U30" s="1394"/>
    </row>
    <row r="31" spans="2:21" ht="15" x14ac:dyDescent="0.2">
      <c r="B31" s="1417"/>
      <c r="C31" s="1408"/>
      <c r="D31" s="1408"/>
      <c r="E31" s="1408"/>
      <c r="F31" s="1397" t="s">
        <v>528</v>
      </c>
      <c r="G31" s="1398">
        <v>0</v>
      </c>
      <c r="H31" s="1399">
        <v>1.2</v>
      </c>
      <c r="I31" s="1399">
        <v>0</v>
      </c>
      <c r="J31" s="1398">
        <v>0</v>
      </c>
      <c r="K31" s="1400">
        <f>I31*G31</f>
        <v>0</v>
      </c>
      <c r="L31" s="1392">
        <v>0</v>
      </c>
      <c r="M31" s="732">
        <v>2</v>
      </c>
      <c r="N31" s="733">
        <v>1</v>
      </c>
      <c r="O31" s="734">
        <f>5.5*1.2</f>
        <v>6.6</v>
      </c>
      <c r="P31" s="734">
        <f>1.2+1.2+1.5</f>
        <v>3.9</v>
      </c>
      <c r="Q31" s="1393">
        <f>((O31*M31)+(O32*M32)+(G31*(H31+I31))+J31)</f>
        <v>13.2</v>
      </c>
      <c r="R31" s="1393">
        <f>I31+K31</f>
        <v>0</v>
      </c>
      <c r="S31" s="1393">
        <f>L31+M31*P31+M32*P32</f>
        <v>7.8</v>
      </c>
      <c r="T31" s="1393">
        <f>0.2*S31</f>
        <v>1.56</v>
      </c>
      <c r="U31" s="1394">
        <f>(Q31-R31-T31)</f>
        <v>11.639999999999999</v>
      </c>
    </row>
    <row r="32" spans="2:21" ht="15" x14ac:dyDescent="0.2">
      <c r="B32" s="1417"/>
      <c r="C32" s="1408"/>
      <c r="D32" s="1408"/>
      <c r="E32" s="1408"/>
      <c r="F32" s="1397"/>
      <c r="G32" s="1398"/>
      <c r="H32" s="1399"/>
      <c r="I32" s="1399"/>
      <c r="J32" s="1398"/>
      <c r="K32" s="1400"/>
      <c r="L32" s="1392"/>
      <c r="M32" s="732">
        <v>0</v>
      </c>
      <c r="N32" s="733">
        <v>2</v>
      </c>
      <c r="O32" s="734">
        <f>6.5*1.2</f>
        <v>7.8</v>
      </c>
      <c r="P32" s="734">
        <f>1.2+1.2+2.5</f>
        <v>4.9000000000000004</v>
      </c>
      <c r="Q32" s="1393"/>
      <c r="R32" s="1393"/>
      <c r="S32" s="1393"/>
      <c r="T32" s="1393"/>
      <c r="U32" s="1394"/>
    </row>
    <row r="33" spans="2:21" ht="15" x14ac:dyDescent="0.2">
      <c r="B33" s="1417"/>
      <c r="C33" s="1408" t="s">
        <v>657</v>
      </c>
      <c r="D33" s="1408" t="s">
        <v>433</v>
      </c>
      <c r="E33" s="1408" t="s">
        <v>656</v>
      </c>
      <c r="F33" s="1397" t="s">
        <v>299</v>
      </c>
      <c r="G33" s="1398">
        <v>0</v>
      </c>
      <c r="H33" s="1399">
        <v>1.2</v>
      </c>
      <c r="I33" s="1399">
        <v>0</v>
      </c>
      <c r="J33" s="1398">
        <v>0</v>
      </c>
      <c r="K33" s="1400">
        <f>I33*G33</f>
        <v>0</v>
      </c>
      <c r="L33" s="1392">
        <v>0</v>
      </c>
      <c r="M33" s="732">
        <v>2</v>
      </c>
      <c r="N33" s="733">
        <v>1</v>
      </c>
      <c r="O33" s="734">
        <f>5.5*1.2</f>
        <v>6.6</v>
      </c>
      <c r="P33" s="734">
        <f>1.2+1.2+1.5</f>
        <v>3.9</v>
      </c>
      <c r="Q33" s="1393">
        <f>((O33*M33)+(O34*M34)+(G33*(H33+I33))+J33)</f>
        <v>13.2</v>
      </c>
      <c r="R33" s="1393">
        <f>I33+K33</f>
        <v>0</v>
      </c>
      <c r="S33" s="1393">
        <f>L33+M33*P33+M34*P34</f>
        <v>7.8</v>
      </c>
      <c r="T33" s="1393">
        <f>0.2*S33</f>
        <v>1.56</v>
      </c>
      <c r="U33" s="1394">
        <f>(Q33-R33-T33)</f>
        <v>11.639999999999999</v>
      </c>
    </row>
    <row r="34" spans="2:21" ht="15" x14ac:dyDescent="0.2">
      <c r="B34" s="1417"/>
      <c r="C34" s="1408"/>
      <c r="D34" s="1408"/>
      <c r="E34" s="1408"/>
      <c r="F34" s="1397"/>
      <c r="G34" s="1398"/>
      <c r="H34" s="1399"/>
      <c r="I34" s="1399"/>
      <c r="J34" s="1398"/>
      <c r="K34" s="1400"/>
      <c r="L34" s="1392"/>
      <c r="M34" s="732">
        <v>0</v>
      </c>
      <c r="N34" s="733">
        <v>2</v>
      </c>
      <c r="O34" s="734">
        <f>6.5*1.2</f>
        <v>7.8</v>
      </c>
      <c r="P34" s="734">
        <f>1.2+1.2+2.5</f>
        <v>4.9000000000000004</v>
      </c>
      <c r="Q34" s="1393"/>
      <c r="R34" s="1393"/>
      <c r="S34" s="1393"/>
      <c r="T34" s="1393"/>
      <c r="U34" s="1394"/>
    </row>
    <row r="35" spans="2:21" ht="15" x14ac:dyDescent="0.2">
      <c r="B35" s="1417"/>
      <c r="C35" s="1408"/>
      <c r="D35" s="1408"/>
      <c r="E35" s="1408"/>
      <c r="F35" s="1397" t="s">
        <v>528</v>
      </c>
      <c r="G35" s="1398">
        <v>0</v>
      </c>
      <c r="H35" s="1399">
        <v>1.2</v>
      </c>
      <c r="I35" s="1399">
        <v>0</v>
      </c>
      <c r="J35" s="1398">
        <v>0</v>
      </c>
      <c r="K35" s="1400">
        <f>I35*G35</f>
        <v>0</v>
      </c>
      <c r="L35" s="1392">
        <v>0</v>
      </c>
      <c r="M35" s="732">
        <v>2</v>
      </c>
      <c r="N35" s="733">
        <v>1</v>
      </c>
      <c r="O35" s="734">
        <f>5.5*1.2</f>
        <v>6.6</v>
      </c>
      <c r="P35" s="734">
        <f>1.2+1.2+1.5</f>
        <v>3.9</v>
      </c>
      <c r="Q35" s="1393">
        <f>((O35*M35)+(O36*M36)+(G35*(H35+I35))+J35)</f>
        <v>13.2</v>
      </c>
      <c r="R35" s="1393">
        <f>I35+K35</f>
        <v>0</v>
      </c>
      <c r="S35" s="1393">
        <f>L35+M35*P35+M36*P36</f>
        <v>7.8</v>
      </c>
      <c r="T35" s="1393">
        <f>0.2*S35</f>
        <v>1.56</v>
      </c>
      <c r="U35" s="1394">
        <f>(Q35-R35-T35)</f>
        <v>11.639999999999999</v>
      </c>
    </row>
    <row r="36" spans="2:21" ht="15" x14ac:dyDescent="0.2">
      <c r="B36" s="1417"/>
      <c r="C36" s="1408"/>
      <c r="D36" s="1408"/>
      <c r="E36" s="1408"/>
      <c r="F36" s="1397"/>
      <c r="G36" s="1398"/>
      <c r="H36" s="1399"/>
      <c r="I36" s="1399"/>
      <c r="J36" s="1398"/>
      <c r="K36" s="1400"/>
      <c r="L36" s="1392"/>
      <c r="M36" s="732">
        <v>0</v>
      </c>
      <c r="N36" s="733">
        <v>2</v>
      </c>
      <c r="O36" s="734">
        <f>6.5*1.2</f>
        <v>7.8</v>
      </c>
      <c r="P36" s="734">
        <f>1.2+1.2+2.5</f>
        <v>4.9000000000000004</v>
      </c>
      <c r="Q36" s="1393"/>
      <c r="R36" s="1393"/>
      <c r="S36" s="1393"/>
      <c r="T36" s="1393"/>
      <c r="U36" s="1394"/>
    </row>
    <row r="37" spans="2:21" ht="15" x14ac:dyDescent="0.2">
      <c r="B37" s="1417"/>
      <c r="C37" s="1408" t="s">
        <v>656</v>
      </c>
      <c r="D37" s="1408" t="s">
        <v>433</v>
      </c>
      <c r="E37" s="1408" t="s">
        <v>655</v>
      </c>
      <c r="F37" s="1397" t="s">
        <v>299</v>
      </c>
      <c r="G37" s="1398">
        <v>0</v>
      </c>
      <c r="H37" s="1399">
        <v>1.2</v>
      </c>
      <c r="I37" s="1399">
        <v>0</v>
      </c>
      <c r="J37" s="1398">
        <v>0</v>
      </c>
      <c r="K37" s="1400">
        <f>I37*G37</f>
        <v>0</v>
      </c>
      <c r="L37" s="1392">
        <v>0</v>
      </c>
      <c r="M37" s="732">
        <v>2</v>
      </c>
      <c r="N37" s="733">
        <v>1</v>
      </c>
      <c r="O37" s="734">
        <f>5.5*1.2</f>
        <v>6.6</v>
      </c>
      <c r="P37" s="734">
        <f>1.2+1.2+1.5</f>
        <v>3.9</v>
      </c>
      <c r="Q37" s="1393">
        <f>((O37*M37)+(O38*M38)+(G37*(H37+I37))+J37)</f>
        <v>13.2</v>
      </c>
      <c r="R37" s="1393">
        <f>I37+K37</f>
        <v>0</v>
      </c>
      <c r="S37" s="1393">
        <f>L37+M37*P37+M38*P38</f>
        <v>7.8</v>
      </c>
      <c r="T37" s="1393">
        <f>0.2*S37</f>
        <v>1.56</v>
      </c>
      <c r="U37" s="1394">
        <f>(Q37-R37-T37)</f>
        <v>11.639999999999999</v>
      </c>
    </row>
    <row r="38" spans="2:21" ht="15" x14ac:dyDescent="0.2">
      <c r="B38" s="1417"/>
      <c r="C38" s="1408"/>
      <c r="D38" s="1408"/>
      <c r="E38" s="1408"/>
      <c r="F38" s="1397"/>
      <c r="G38" s="1398"/>
      <c r="H38" s="1399"/>
      <c r="I38" s="1399"/>
      <c r="J38" s="1398"/>
      <c r="K38" s="1400"/>
      <c r="L38" s="1392"/>
      <c r="M38" s="732">
        <v>0</v>
      </c>
      <c r="N38" s="733">
        <v>2</v>
      </c>
      <c r="O38" s="734">
        <f>6.5*1.2</f>
        <v>7.8</v>
      </c>
      <c r="P38" s="734">
        <f>1.2+1.2+2.5</f>
        <v>4.9000000000000004</v>
      </c>
      <c r="Q38" s="1393"/>
      <c r="R38" s="1393"/>
      <c r="S38" s="1393"/>
      <c r="T38" s="1393"/>
      <c r="U38" s="1394"/>
    </row>
    <row r="39" spans="2:21" ht="15" x14ac:dyDescent="0.2">
      <c r="B39" s="1417"/>
      <c r="C39" s="1408"/>
      <c r="D39" s="1408"/>
      <c r="E39" s="1408"/>
      <c r="F39" s="1397" t="s">
        <v>528</v>
      </c>
      <c r="G39" s="1398">
        <v>0</v>
      </c>
      <c r="H39" s="1399">
        <v>1.2</v>
      </c>
      <c r="I39" s="1399">
        <v>0</v>
      </c>
      <c r="J39" s="1398">
        <v>0</v>
      </c>
      <c r="K39" s="1400">
        <f>I39*G39</f>
        <v>0</v>
      </c>
      <c r="L39" s="1392">
        <v>0</v>
      </c>
      <c r="M39" s="732">
        <v>2</v>
      </c>
      <c r="N39" s="733">
        <v>1</v>
      </c>
      <c r="O39" s="734">
        <f>5.5*1.2</f>
        <v>6.6</v>
      </c>
      <c r="P39" s="734">
        <f>1.2+1.2+1.5</f>
        <v>3.9</v>
      </c>
      <c r="Q39" s="1393">
        <f>((O39*M39)+(O40*M40)+(G39*(H39+I39))+J39)</f>
        <v>13.2</v>
      </c>
      <c r="R39" s="1393">
        <f>I39+K39</f>
        <v>0</v>
      </c>
      <c r="S39" s="1393">
        <f>L39+M39*P39+M40*P40</f>
        <v>7.8</v>
      </c>
      <c r="T39" s="1393">
        <f>0.2*S39</f>
        <v>1.56</v>
      </c>
      <c r="U39" s="1394">
        <f>(Q39-R39-T39)</f>
        <v>11.639999999999999</v>
      </c>
    </row>
    <row r="40" spans="2:21" ht="15" x14ac:dyDescent="0.2">
      <c r="B40" s="1417"/>
      <c r="C40" s="1408"/>
      <c r="D40" s="1408"/>
      <c r="E40" s="1408"/>
      <c r="F40" s="1397"/>
      <c r="G40" s="1398"/>
      <c r="H40" s="1399"/>
      <c r="I40" s="1399"/>
      <c r="J40" s="1398"/>
      <c r="K40" s="1400"/>
      <c r="L40" s="1392"/>
      <c r="M40" s="732">
        <v>0</v>
      </c>
      <c r="N40" s="733">
        <v>2</v>
      </c>
      <c r="O40" s="734">
        <f>6.5*1.2</f>
        <v>7.8</v>
      </c>
      <c r="P40" s="734">
        <f>1.2+1.2+2.5</f>
        <v>4.9000000000000004</v>
      </c>
      <c r="Q40" s="1393"/>
      <c r="R40" s="1393"/>
      <c r="S40" s="1393"/>
      <c r="T40" s="1393"/>
      <c r="U40" s="1394"/>
    </row>
    <row r="41" spans="2:21" ht="15" x14ac:dyDescent="0.2">
      <c r="B41" s="1417"/>
      <c r="C41" s="1408" t="s">
        <v>655</v>
      </c>
      <c r="D41" s="1412" t="s">
        <v>433</v>
      </c>
      <c r="E41" s="1412" t="s">
        <v>745</v>
      </c>
      <c r="F41" s="1414" t="s">
        <v>299</v>
      </c>
      <c r="G41" s="1415">
        <v>0</v>
      </c>
      <c r="H41" s="1426">
        <v>1.2</v>
      </c>
      <c r="I41" s="1426">
        <v>0</v>
      </c>
      <c r="J41" s="1415">
        <v>0</v>
      </c>
      <c r="K41" s="1427">
        <f>I41*G41</f>
        <v>0</v>
      </c>
      <c r="L41" s="1428">
        <v>0</v>
      </c>
      <c r="M41" s="735">
        <v>2</v>
      </c>
      <c r="N41" s="736">
        <v>1</v>
      </c>
      <c r="O41" s="737">
        <f>5.5*1.2</f>
        <v>6.6</v>
      </c>
      <c r="P41" s="737">
        <f>1.2+1.2+1.5</f>
        <v>3.9</v>
      </c>
      <c r="Q41" s="1420">
        <f>((O41*M41)+(O42*M42)+(G41*(H41+I41))+J41)</f>
        <v>13.2</v>
      </c>
      <c r="R41" s="1420">
        <f>I41+K41</f>
        <v>0</v>
      </c>
      <c r="S41" s="1420">
        <f>L41+M41*P41+M42*P42</f>
        <v>7.8</v>
      </c>
      <c r="T41" s="1420">
        <f>0.2*S41</f>
        <v>1.56</v>
      </c>
      <c r="U41" s="1421">
        <f>(Q41-R41-T41)</f>
        <v>11.639999999999999</v>
      </c>
    </row>
    <row r="42" spans="2:21" ht="15" x14ac:dyDescent="0.2">
      <c r="B42" s="1417"/>
      <c r="C42" s="1408"/>
      <c r="D42" s="1408"/>
      <c r="E42" s="1408"/>
      <c r="F42" s="1397"/>
      <c r="G42" s="1398"/>
      <c r="H42" s="1399"/>
      <c r="I42" s="1399"/>
      <c r="J42" s="1398"/>
      <c r="K42" s="1400"/>
      <c r="L42" s="1392"/>
      <c r="M42" s="732">
        <v>0</v>
      </c>
      <c r="N42" s="733">
        <v>2</v>
      </c>
      <c r="O42" s="734">
        <f>6.5*1.2</f>
        <v>7.8</v>
      </c>
      <c r="P42" s="734">
        <f>1.2+1.2+2.5</f>
        <v>4.9000000000000004</v>
      </c>
      <c r="Q42" s="1393"/>
      <c r="R42" s="1393"/>
      <c r="S42" s="1393"/>
      <c r="T42" s="1393"/>
      <c r="U42" s="1394"/>
    </row>
    <row r="43" spans="2:21" ht="15" x14ac:dyDescent="0.2">
      <c r="B43" s="1417"/>
      <c r="C43" s="1408"/>
      <c r="D43" s="1408"/>
      <c r="E43" s="1408"/>
      <c r="F43" s="1397" t="s">
        <v>528</v>
      </c>
      <c r="G43" s="1398">
        <v>0</v>
      </c>
      <c r="H43" s="1399">
        <v>1.2</v>
      </c>
      <c r="I43" s="1399">
        <v>0</v>
      </c>
      <c r="J43" s="1398">
        <v>0</v>
      </c>
      <c r="K43" s="1400">
        <f>I43*G43</f>
        <v>0</v>
      </c>
      <c r="L43" s="1392">
        <v>0</v>
      </c>
      <c r="M43" s="732">
        <v>2</v>
      </c>
      <c r="N43" s="733">
        <v>1</v>
      </c>
      <c r="O43" s="734">
        <f>5.5*1.2</f>
        <v>6.6</v>
      </c>
      <c r="P43" s="734">
        <f>1.2+1.2+1.5</f>
        <v>3.9</v>
      </c>
      <c r="Q43" s="1393">
        <f>((O43*M43)+(O44*M44)+(G43*(H43+I43))+J43)</f>
        <v>13.2</v>
      </c>
      <c r="R43" s="1393">
        <f>I43+K43</f>
        <v>0</v>
      </c>
      <c r="S43" s="1393">
        <f>L43+M43*P43+M44*P44</f>
        <v>7.8</v>
      </c>
      <c r="T43" s="1393">
        <f>0.2*S43</f>
        <v>1.56</v>
      </c>
      <c r="U43" s="1394">
        <f>(Q43-R43-T43)</f>
        <v>11.639999999999999</v>
      </c>
    </row>
    <row r="44" spans="2:21" ht="15.75" thickBot="1" x14ac:dyDescent="0.25">
      <c r="B44" s="1418"/>
      <c r="C44" s="1408"/>
      <c r="D44" s="1413"/>
      <c r="E44" s="1413"/>
      <c r="F44" s="1422"/>
      <c r="G44" s="1423"/>
      <c r="H44" s="1424"/>
      <c r="I44" s="1424"/>
      <c r="J44" s="1423"/>
      <c r="K44" s="1425"/>
      <c r="L44" s="1410"/>
      <c r="M44" s="738">
        <v>0</v>
      </c>
      <c r="N44" s="739">
        <v>2</v>
      </c>
      <c r="O44" s="740">
        <f>6.5*1.2</f>
        <v>7.8</v>
      </c>
      <c r="P44" s="740">
        <f>1.2+1.2+2.5</f>
        <v>4.9000000000000004</v>
      </c>
      <c r="Q44" s="1411"/>
      <c r="R44" s="1411"/>
      <c r="S44" s="1411"/>
      <c r="T44" s="1411"/>
      <c r="U44" s="1419"/>
    </row>
    <row r="45" spans="2:21" ht="15" x14ac:dyDescent="0.2">
      <c r="B45" s="1405" t="s">
        <v>703</v>
      </c>
      <c r="C45" s="1407" t="s">
        <v>746</v>
      </c>
      <c r="D45" s="1407" t="s">
        <v>433</v>
      </c>
      <c r="E45" s="1407" t="s">
        <v>747</v>
      </c>
      <c r="F45" s="1409" t="s">
        <v>299</v>
      </c>
      <c r="G45" s="1402">
        <v>0</v>
      </c>
      <c r="H45" s="1401">
        <v>1.2</v>
      </c>
      <c r="I45" s="1401">
        <v>0</v>
      </c>
      <c r="J45" s="1402"/>
      <c r="K45" s="1403">
        <f>I45*G45</f>
        <v>0</v>
      </c>
      <c r="L45" s="1404">
        <v>0</v>
      </c>
      <c r="M45" s="729">
        <v>2</v>
      </c>
      <c r="N45" s="730">
        <v>1</v>
      </c>
      <c r="O45" s="731">
        <f>5.5*1.2</f>
        <v>6.6</v>
      </c>
      <c r="P45" s="731">
        <f>1.2+1.2+1.5</f>
        <v>3.9</v>
      </c>
      <c r="Q45" s="1395">
        <f>((O45*M45)+(O46*M46)+(G45*(H45+I45))+J45)</f>
        <v>13.2</v>
      </c>
      <c r="R45" s="1395">
        <f>I45+K45</f>
        <v>0</v>
      </c>
      <c r="S45" s="1395">
        <f>L45+M45*P45+M46*P46</f>
        <v>7.8</v>
      </c>
      <c r="T45" s="1395">
        <f>0.2*S45</f>
        <v>1.56</v>
      </c>
      <c r="U45" s="1396">
        <f>(Q45-R45-T45)</f>
        <v>11.639999999999999</v>
      </c>
    </row>
    <row r="46" spans="2:21" ht="15" x14ac:dyDescent="0.2">
      <c r="B46" s="1406"/>
      <c r="C46" s="1408"/>
      <c r="D46" s="1408"/>
      <c r="E46" s="1408"/>
      <c r="F46" s="1397"/>
      <c r="G46" s="1398"/>
      <c r="H46" s="1399"/>
      <c r="I46" s="1399"/>
      <c r="J46" s="1398"/>
      <c r="K46" s="1400"/>
      <c r="L46" s="1392"/>
      <c r="M46" s="732">
        <v>0</v>
      </c>
      <c r="N46" s="733">
        <v>2</v>
      </c>
      <c r="O46" s="734">
        <f>6.5*1.2</f>
        <v>7.8</v>
      </c>
      <c r="P46" s="734">
        <f>1.2+1.2+2.5</f>
        <v>4.9000000000000004</v>
      </c>
      <c r="Q46" s="1393"/>
      <c r="R46" s="1393"/>
      <c r="S46" s="1393"/>
      <c r="T46" s="1393"/>
      <c r="U46" s="1394"/>
    </row>
    <row r="47" spans="2:21" ht="15" x14ac:dyDescent="0.2">
      <c r="B47" s="1406"/>
      <c r="C47" s="1408"/>
      <c r="D47" s="1408"/>
      <c r="E47" s="1408"/>
      <c r="F47" s="1397" t="s">
        <v>528</v>
      </c>
      <c r="G47" s="1398">
        <v>0</v>
      </c>
      <c r="H47" s="1399">
        <v>1.2</v>
      </c>
      <c r="I47" s="1399">
        <v>0</v>
      </c>
      <c r="J47" s="1398">
        <v>4.42</v>
      </c>
      <c r="K47" s="1400">
        <f>I47*G47</f>
        <v>0</v>
      </c>
      <c r="L47" s="1392">
        <v>0</v>
      </c>
      <c r="M47" s="732">
        <v>2</v>
      </c>
      <c r="N47" s="733">
        <v>1</v>
      </c>
      <c r="O47" s="734">
        <f>5.5*1.2</f>
        <v>6.6</v>
      </c>
      <c r="P47" s="734">
        <f>1.2+1.2+1.5</f>
        <v>3.9</v>
      </c>
      <c r="Q47" s="1393">
        <f>((O47*M47)+(O48*M48)+(G47*(H47+I47))+J47)</f>
        <v>17.619999999999997</v>
      </c>
      <c r="R47" s="1393">
        <f>I47+K47</f>
        <v>0</v>
      </c>
      <c r="S47" s="1393">
        <f>L47+M47*P47+M48*P48</f>
        <v>7.8</v>
      </c>
      <c r="T47" s="1393">
        <f>0.2*S47</f>
        <v>1.56</v>
      </c>
      <c r="U47" s="1394">
        <f>(Q47-R47-T47)</f>
        <v>16.059999999999999</v>
      </c>
    </row>
    <row r="48" spans="2:21" ht="15" x14ac:dyDescent="0.2">
      <c r="B48" s="1406"/>
      <c r="C48" s="1408"/>
      <c r="D48" s="1408"/>
      <c r="E48" s="1408"/>
      <c r="F48" s="1397"/>
      <c r="G48" s="1398"/>
      <c r="H48" s="1399"/>
      <c r="I48" s="1399"/>
      <c r="J48" s="1398"/>
      <c r="K48" s="1400"/>
      <c r="L48" s="1392"/>
      <c r="M48" s="732">
        <v>0</v>
      </c>
      <c r="N48" s="733">
        <v>2</v>
      </c>
      <c r="O48" s="734">
        <f>6.5*1.2</f>
        <v>7.8</v>
      </c>
      <c r="P48" s="734">
        <f>1.2+1.2+2.5</f>
        <v>4.9000000000000004</v>
      </c>
      <c r="Q48" s="1393"/>
      <c r="R48" s="1393"/>
      <c r="S48" s="1393"/>
      <c r="T48" s="1393"/>
      <c r="U48" s="1394"/>
    </row>
    <row r="49" spans="2:21" ht="15.75" thickBot="1" x14ac:dyDescent="0.25">
      <c r="B49" s="741" t="s">
        <v>0</v>
      </c>
      <c r="C49" s="742"/>
      <c r="D49" s="742"/>
      <c r="E49" s="743"/>
      <c r="F49" s="744"/>
      <c r="G49" s="745">
        <f>SUM(G9:G28)</f>
        <v>0</v>
      </c>
      <c r="H49" s="746"/>
      <c r="I49" s="747"/>
      <c r="J49" s="748">
        <f>SUM(J5:J48)</f>
        <v>87.149999999999991</v>
      </c>
      <c r="K49" s="748">
        <f>SUM(K5:K48)</f>
        <v>0</v>
      </c>
      <c r="L49" s="749"/>
      <c r="M49" s="748">
        <f>SUM(M5:M48)</f>
        <v>44</v>
      </c>
      <c r="N49" s="750"/>
      <c r="O49" s="751"/>
      <c r="P49" s="752"/>
      <c r="Q49" s="748">
        <f>SUM(Q5:Q48)</f>
        <v>377.5499999999999</v>
      </c>
      <c r="R49" s="748">
        <f>SUM(R5:R48)</f>
        <v>0</v>
      </c>
      <c r="S49" s="748">
        <f>SUM(S5:S48)</f>
        <v>171.60000000000002</v>
      </c>
      <c r="T49" s="748">
        <f>SUM(T5:T48)</f>
        <v>34.319999999999993</v>
      </c>
      <c r="U49" s="748">
        <f>SUM(U5:U48)</f>
        <v>343.2299999999999</v>
      </c>
    </row>
    <row r="50" spans="2:21" ht="15" x14ac:dyDescent="0.2">
      <c r="B50" s="753"/>
      <c r="C50" s="754"/>
      <c r="D50" s="754"/>
      <c r="E50" s="754"/>
      <c r="F50" s="753"/>
      <c r="G50" s="755"/>
      <c r="H50" s="756"/>
      <c r="I50" s="756"/>
      <c r="J50" s="757"/>
      <c r="K50" s="757"/>
      <c r="L50" s="758"/>
      <c r="M50" s="759"/>
      <c r="N50" s="759"/>
      <c r="O50" s="759"/>
      <c r="P50" s="759"/>
      <c r="Q50" s="759"/>
      <c r="R50" s="759"/>
      <c r="S50" s="759"/>
      <c r="T50" s="759"/>
      <c r="U50" s="759"/>
    </row>
    <row r="51" spans="2:21" ht="15.75" thickBot="1" x14ac:dyDescent="0.25">
      <c r="B51" s="753"/>
      <c r="C51" s="754"/>
      <c r="D51" s="754"/>
      <c r="E51" s="754"/>
      <c r="F51" s="753"/>
      <c r="G51" s="760"/>
      <c r="H51" s="761"/>
      <c r="I51" s="761"/>
      <c r="J51" s="762"/>
      <c r="K51" s="757"/>
      <c r="L51" s="758"/>
      <c r="M51" s="763"/>
      <c r="N51" s="763"/>
      <c r="O51" s="763"/>
      <c r="P51" s="763"/>
      <c r="Q51" s="759"/>
      <c r="R51" s="763"/>
      <c r="S51" s="763"/>
      <c r="T51" s="763"/>
      <c r="U51" s="763"/>
    </row>
    <row r="52" spans="2:21" ht="18" customHeight="1" thickBot="1" x14ac:dyDescent="0.25">
      <c r="F52" s="767"/>
      <c r="G52" s="1387" t="s">
        <v>748</v>
      </c>
      <c r="H52" s="1388"/>
      <c r="I52" s="1388"/>
      <c r="J52" s="1389"/>
      <c r="K52" s="768"/>
      <c r="L52" s="769"/>
      <c r="M52" s="1387" t="s">
        <v>749</v>
      </c>
      <c r="N52" s="1388"/>
      <c r="O52" s="1388"/>
      <c r="P52" s="1389"/>
      <c r="Q52" s="768"/>
      <c r="R52" s="1387" t="s">
        <v>750</v>
      </c>
      <c r="S52" s="1388"/>
      <c r="T52" s="1388"/>
      <c r="U52" s="1389"/>
    </row>
    <row r="53" spans="2:21" ht="18" customHeight="1" x14ac:dyDescent="0.2">
      <c r="C53" s="770"/>
      <c r="F53" s="771"/>
      <c r="G53" s="753"/>
      <c r="H53" s="771" t="s">
        <v>751</v>
      </c>
      <c r="I53" s="833">
        <f>Q49</f>
        <v>377.5499999999999</v>
      </c>
      <c r="J53" s="772" t="s">
        <v>1</v>
      </c>
      <c r="K53" s="768"/>
      <c r="L53" s="768"/>
      <c r="M53" s="771"/>
      <c r="N53" s="771" t="s">
        <v>752</v>
      </c>
      <c r="O53" s="833">
        <f>T49</f>
        <v>34.319999999999993</v>
      </c>
      <c r="P53" s="773" t="s">
        <v>1</v>
      </c>
      <c r="Q53" s="768"/>
      <c r="R53" s="834"/>
      <c r="S53" s="834" t="s">
        <v>753</v>
      </c>
      <c r="T53" s="833">
        <f>U49</f>
        <v>343.2299999999999</v>
      </c>
      <c r="U53" s="772" t="s">
        <v>1</v>
      </c>
    </row>
    <row r="54" spans="2:21" ht="18" customHeight="1" x14ac:dyDescent="0.2">
      <c r="F54" s="767"/>
      <c r="H54" s="771" t="s">
        <v>754</v>
      </c>
      <c r="I54" s="835">
        <f>TRUNC(I53*0.1,2)</f>
        <v>37.75</v>
      </c>
      <c r="J54" s="772" t="s">
        <v>2</v>
      </c>
      <c r="K54" s="768"/>
      <c r="L54" s="768"/>
      <c r="N54" s="771" t="s">
        <v>755</v>
      </c>
      <c r="O54" s="836">
        <v>62.5</v>
      </c>
      <c r="P54" s="773" t="s">
        <v>756</v>
      </c>
      <c r="Q54" s="768"/>
      <c r="R54" s="771"/>
      <c r="S54" s="771" t="s">
        <v>757</v>
      </c>
      <c r="T54" s="753">
        <v>7.0000000000000007E-2</v>
      </c>
      <c r="U54" s="772" t="s">
        <v>3</v>
      </c>
    </row>
    <row r="55" spans="2:21" ht="18" customHeight="1" x14ac:dyDescent="0.2">
      <c r="F55" s="767"/>
      <c r="H55" s="771" t="s">
        <v>758</v>
      </c>
      <c r="I55" s="835">
        <f>DMT!F15</f>
        <v>3.4</v>
      </c>
      <c r="J55" s="774" t="s">
        <v>38</v>
      </c>
      <c r="K55" s="768"/>
      <c r="L55" s="768"/>
      <c r="N55" s="771" t="s">
        <v>759</v>
      </c>
      <c r="O55" s="833">
        <f>TRUNC(T49*O54*30*0.001,2)</f>
        <v>64.349999999999994</v>
      </c>
      <c r="P55" s="773" t="s">
        <v>39</v>
      </c>
      <c r="Q55" s="768"/>
      <c r="R55" s="771"/>
      <c r="S55" s="771" t="s">
        <v>760</v>
      </c>
      <c r="T55" s="836">
        <f>TRUNC(T54*T53,2)</f>
        <v>24.02</v>
      </c>
      <c r="U55" s="774" t="s">
        <v>2</v>
      </c>
    </row>
    <row r="56" spans="2:21" ht="18" customHeight="1" x14ac:dyDescent="0.2">
      <c r="F56" s="767"/>
      <c r="H56" s="771" t="s">
        <v>761</v>
      </c>
      <c r="I56" s="833">
        <f>TRUNC(I55*I54,2)</f>
        <v>128.35</v>
      </c>
      <c r="J56" s="774" t="s">
        <v>8</v>
      </c>
      <c r="K56" s="768"/>
      <c r="L56" s="768"/>
      <c r="N56" s="771" t="s">
        <v>762</v>
      </c>
      <c r="O56" s="833">
        <f>TRUNC(T49*O54*(O57-30)*0.001,2)</f>
        <v>300.3</v>
      </c>
      <c r="P56" s="773" t="s">
        <v>39</v>
      </c>
      <c r="Q56" s="837"/>
      <c r="R56" s="837"/>
      <c r="S56" s="771" t="s">
        <v>763</v>
      </c>
      <c r="T56" s="833">
        <f>T49</f>
        <v>34.319999999999993</v>
      </c>
      <c r="U56" s="772" t="s">
        <v>1</v>
      </c>
    </row>
    <row r="57" spans="2:21" ht="18" customHeight="1" x14ac:dyDescent="0.2">
      <c r="F57" s="767"/>
      <c r="H57" s="771" t="s">
        <v>764</v>
      </c>
      <c r="I57" s="835">
        <f>R49</f>
        <v>0</v>
      </c>
      <c r="J57" s="772" t="s">
        <v>1</v>
      </c>
      <c r="K57" s="768"/>
      <c r="L57" s="768"/>
      <c r="M57" s="768"/>
      <c r="N57" s="771" t="s">
        <v>765</v>
      </c>
      <c r="O57" s="836">
        <f>DMT!F13</f>
        <v>170</v>
      </c>
      <c r="P57" s="773" t="s">
        <v>38</v>
      </c>
      <c r="Q57" s="768"/>
      <c r="R57" s="771"/>
      <c r="S57" s="771" t="s">
        <v>766</v>
      </c>
      <c r="T57" s="753">
        <f>T54-0.025</f>
        <v>4.5000000000000005E-2</v>
      </c>
      <c r="U57" s="772" t="s">
        <v>3</v>
      </c>
    </row>
    <row r="58" spans="2:21" ht="18" customHeight="1" x14ac:dyDescent="0.2">
      <c r="F58" s="767"/>
      <c r="G58" s="767"/>
      <c r="H58" s="768"/>
      <c r="I58" s="768"/>
      <c r="J58" s="767"/>
      <c r="K58" s="768"/>
      <c r="L58" s="768"/>
      <c r="M58" s="768"/>
      <c r="N58" s="768"/>
      <c r="O58" s="768"/>
      <c r="P58" s="768"/>
      <c r="Q58" s="768"/>
      <c r="R58" s="771"/>
      <c r="S58" s="771" t="s">
        <v>767</v>
      </c>
      <c r="T58" s="836">
        <f>TRUNC(T57*T56,2)</f>
        <v>1.54</v>
      </c>
      <c r="U58" s="774" t="s">
        <v>2</v>
      </c>
    </row>
    <row r="59" spans="2:21" ht="18" customHeight="1" x14ac:dyDescent="0.2">
      <c r="F59" s="767"/>
      <c r="G59" s="767"/>
      <c r="H59" s="768"/>
      <c r="I59" s="768"/>
      <c r="J59" s="767"/>
      <c r="K59" s="768"/>
      <c r="L59" s="768"/>
      <c r="M59" s="768"/>
      <c r="N59" s="768"/>
      <c r="O59" s="768"/>
      <c r="P59" s="768"/>
      <c r="Q59" s="768"/>
      <c r="R59" s="768"/>
      <c r="S59" s="838" t="s">
        <v>768</v>
      </c>
      <c r="T59" s="839">
        <f>T58+T55</f>
        <v>25.56</v>
      </c>
      <c r="U59" s="775" t="s">
        <v>2</v>
      </c>
    </row>
    <row r="60" spans="2:21" ht="18" customHeight="1" x14ac:dyDescent="0.2">
      <c r="L60" s="727"/>
      <c r="S60" s="771" t="s">
        <v>769</v>
      </c>
      <c r="T60" s="836">
        <v>0</v>
      </c>
      <c r="U60" s="773" t="s">
        <v>1</v>
      </c>
    </row>
    <row r="61" spans="2:21" x14ac:dyDescent="0.2">
      <c r="I61" s="832"/>
      <c r="O61" s="832"/>
    </row>
    <row r="62" spans="2:21" x14ac:dyDescent="0.2">
      <c r="I62" s="832"/>
      <c r="O62" s="832"/>
    </row>
    <row r="63" spans="2:21" x14ac:dyDescent="0.2">
      <c r="I63" s="832"/>
      <c r="T63" s="832"/>
    </row>
    <row r="64" spans="2:21" x14ac:dyDescent="0.2">
      <c r="T64" s="832"/>
    </row>
  </sheetData>
  <mergeCells count="319">
    <mergeCell ref="J5:J6"/>
    <mergeCell ref="K5:K6"/>
    <mergeCell ref="L7:L8"/>
    <mergeCell ref="Q7:Q8"/>
    <mergeCell ref="H7:H8"/>
    <mergeCell ref="B2:U2"/>
    <mergeCell ref="B3:B4"/>
    <mergeCell ref="C3:E4"/>
    <mergeCell ref="F3:F4"/>
    <mergeCell ref="G3:G4"/>
    <mergeCell ref="H3:H4"/>
    <mergeCell ref="I3:I4"/>
    <mergeCell ref="J3:L3"/>
    <mergeCell ref="M3:P3"/>
    <mergeCell ref="Q3:Q4"/>
    <mergeCell ref="R3:R4"/>
    <mergeCell ref="S3:S4"/>
    <mergeCell ref="T3:T4"/>
    <mergeCell ref="U3:U4"/>
    <mergeCell ref="R7:R8"/>
    <mergeCell ref="S7:S8"/>
    <mergeCell ref="T7:T8"/>
    <mergeCell ref="U7:U8"/>
    <mergeCell ref="R5:R6"/>
    <mergeCell ref="K11:K12"/>
    <mergeCell ref="L11:L12"/>
    <mergeCell ref="I9:I10"/>
    <mergeCell ref="J9:J10"/>
    <mergeCell ref="K9:K10"/>
    <mergeCell ref="L9:L10"/>
    <mergeCell ref="Q9:Q10"/>
    <mergeCell ref="R9:R10"/>
    <mergeCell ref="F9:F10"/>
    <mergeCell ref="G9:G10"/>
    <mergeCell ref="H9:H10"/>
    <mergeCell ref="B13:B20"/>
    <mergeCell ref="C13:C16"/>
    <mergeCell ref="D13:D16"/>
    <mergeCell ref="E13:E16"/>
    <mergeCell ref="F13:F14"/>
    <mergeCell ref="C9:C12"/>
    <mergeCell ref="D9:D12"/>
    <mergeCell ref="E9:E12"/>
    <mergeCell ref="Q13:Q14"/>
    <mergeCell ref="L17:L18"/>
    <mergeCell ref="Q17:Q18"/>
    <mergeCell ref="B5:B12"/>
    <mergeCell ref="C5:C8"/>
    <mergeCell ref="D5:D8"/>
    <mergeCell ref="E5:E8"/>
    <mergeCell ref="F5:F6"/>
    <mergeCell ref="G5:G6"/>
    <mergeCell ref="F7:F8"/>
    <mergeCell ref="G7:G8"/>
    <mergeCell ref="L5:L6"/>
    <mergeCell ref="Q5:Q6"/>
    <mergeCell ref="F11:F12"/>
    <mergeCell ref="G11:G12"/>
    <mergeCell ref="H11:H12"/>
    <mergeCell ref="I7:I8"/>
    <mergeCell ref="J7:J8"/>
    <mergeCell ref="K7:K8"/>
    <mergeCell ref="H5:H6"/>
    <mergeCell ref="I5:I6"/>
    <mergeCell ref="R13:R14"/>
    <mergeCell ref="S13:S14"/>
    <mergeCell ref="T13:T14"/>
    <mergeCell ref="U13:U14"/>
    <mergeCell ref="K13:K14"/>
    <mergeCell ref="L13:L14"/>
    <mergeCell ref="Q11:Q12"/>
    <mergeCell ref="R11:R12"/>
    <mergeCell ref="S11:S12"/>
    <mergeCell ref="T11:T12"/>
    <mergeCell ref="U11:U12"/>
    <mergeCell ref="S5:S6"/>
    <mergeCell ref="T5:T6"/>
    <mergeCell ref="U5:U6"/>
    <mergeCell ref="S9:S10"/>
    <mergeCell ref="T9:T10"/>
    <mergeCell ref="U9:U10"/>
    <mergeCell ref="I11:I12"/>
    <mergeCell ref="J11:J12"/>
    <mergeCell ref="F15:F16"/>
    <mergeCell ref="G15:G16"/>
    <mergeCell ref="H15:H16"/>
    <mergeCell ref="I15:I16"/>
    <mergeCell ref="J15:J16"/>
    <mergeCell ref="G13:G14"/>
    <mergeCell ref="H13:H14"/>
    <mergeCell ref="I13:I14"/>
    <mergeCell ref="J13:J14"/>
    <mergeCell ref="R17:R18"/>
    <mergeCell ref="S17:S18"/>
    <mergeCell ref="T17:T18"/>
    <mergeCell ref="U17:U18"/>
    <mergeCell ref="U15:U16"/>
    <mergeCell ref="C17:C20"/>
    <mergeCell ref="D17:D20"/>
    <mergeCell ref="E17:E20"/>
    <mergeCell ref="F17:F18"/>
    <mergeCell ref="G17:G18"/>
    <mergeCell ref="H17:H18"/>
    <mergeCell ref="I17:I18"/>
    <mergeCell ref="J17:J18"/>
    <mergeCell ref="K17:K18"/>
    <mergeCell ref="K15:K16"/>
    <mergeCell ref="L15:L16"/>
    <mergeCell ref="Q15:Q16"/>
    <mergeCell ref="R15:R16"/>
    <mergeCell ref="S15:S16"/>
    <mergeCell ref="T15:T16"/>
    <mergeCell ref="L19:L20"/>
    <mergeCell ref="Q19:Q20"/>
    <mergeCell ref="R19:R20"/>
    <mergeCell ref="S19:S20"/>
    <mergeCell ref="T19:T20"/>
    <mergeCell ref="U19:U20"/>
    <mergeCell ref="F19:F20"/>
    <mergeCell ref="G19:G20"/>
    <mergeCell ref="H19:H20"/>
    <mergeCell ref="I19:I20"/>
    <mergeCell ref="J19:J20"/>
    <mergeCell ref="K19:K20"/>
    <mergeCell ref="F23:F24"/>
    <mergeCell ref="G23:G24"/>
    <mergeCell ref="H23:H24"/>
    <mergeCell ref="I23:I24"/>
    <mergeCell ref="J23:J24"/>
    <mergeCell ref="K23:K24"/>
    <mergeCell ref="H21:H22"/>
    <mergeCell ref="I21:I22"/>
    <mergeCell ref="J21:J22"/>
    <mergeCell ref="K21:K22"/>
    <mergeCell ref="F21:F22"/>
    <mergeCell ref="G21:G22"/>
    <mergeCell ref="L23:L24"/>
    <mergeCell ref="Q23:Q24"/>
    <mergeCell ref="R23:R24"/>
    <mergeCell ref="S23:S24"/>
    <mergeCell ref="U21:U22"/>
    <mergeCell ref="L21:L22"/>
    <mergeCell ref="Q21:Q22"/>
    <mergeCell ref="Q25:Q26"/>
    <mergeCell ref="R25:R26"/>
    <mergeCell ref="S25:S26"/>
    <mergeCell ref="T25:T26"/>
    <mergeCell ref="U25:U26"/>
    <mergeCell ref="U27:U28"/>
    <mergeCell ref="L27:L28"/>
    <mergeCell ref="Q27:Q28"/>
    <mergeCell ref="R27:R28"/>
    <mergeCell ref="R21:R22"/>
    <mergeCell ref="S21:S22"/>
    <mergeCell ref="T21:T22"/>
    <mergeCell ref="D41:D44"/>
    <mergeCell ref="I27:I28"/>
    <mergeCell ref="J27:J28"/>
    <mergeCell ref="G25:G26"/>
    <mergeCell ref="H25:H26"/>
    <mergeCell ref="I25:I26"/>
    <mergeCell ref="J25:J26"/>
    <mergeCell ref="T23:T24"/>
    <mergeCell ref="U23:U24"/>
    <mergeCell ref="K27:K28"/>
    <mergeCell ref="S27:S28"/>
    <mergeCell ref="T27:T28"/>
    <mergeCell ref="K25:K26"/>
    <mergeCell ref="L25:L26"/>
    <mergeCell ref="U29:U30"/>
    <mergeCell ref="F31:F32"/>
    <mergeCell ref="G31:G32"/>
    <mergeCell ref="H31:H32"/>
    <mergeCell ref="I31:I32"/>
    <mergeCell ref="J31:J32"/>
    <mergeCell ref="K31:K32"/>
    <mergeCell ref="L31:L32"/>
    <mergeCell ref="Q31:Q32"/>
    <mergeCell ref="R31:R32"/>
    <mergeCell ref="B21:B28"/>
    <mergeCell ref="C21:C24"/>
    <mergeCell ref="D21:D24"/>
    <mergeCell ref="E21:E24"/>
    <mergeCell ref="C25:C28"/>
    <mergeCell ref="F27:F28"/>
    <mergeCell ref="G27:G28"/>
    <mergeCell ref="H27:H28"/>
    <mergeCell ref="D25:D28"/>
    <mergeCell ref="E25:E28"/>
    <mergeCell ref="F25:F26"/>
    <mergeCell ref="K29:K30"/>
    <mergeCell ref="L29:L30"/>
    <mergeCell ref="Q29:Q30"/>
    <mergeCell ref="R29:R30"/>
    <mergeCell ref="S29:S30"/>
    <mergeCell ref="T29:T30"/>
    <mergeCell ref="S31:S32"/>
    <mergeCell ref="T31:T32"/>
    <mergeCell ref="U31:U32"/>
    <mergeCell ref="F29:F30"/>
    <mergeCell ref="G29:G30"/>
    <mergeCell ref="H29:H30"/>
    <mergeCell ref="I29:I30"/>
    <mergeCell ref="J29:J30"/>
    <mergeCell ref="T33:T34"/>
    <mergeCell ref="U33:U34"/>
    <mergeCell ref="F35:F36"/>
    <mergeCell ref="G35:G36"/>
    <mergeCell ref="H35:H36"/>
    <mergeCell ref="I35:I36"/>
    <mergeCell ref="J35:J36"/>
    <mergeCell ref="K35:K36"/>
    <mergeCell ref="L35:L36"/>
    <mergeCell ref="Q35:Q36"/>
    <mergeCell ref="J33:J34"/>
    <mergeCell ref="K33:K34"/>
    <mergeCell ref="L33:L34"/>
    <mergeCell ref="Q33:Q34"/>
    <mergeCell ref="R33:R34"/>
    <mergeCell ref="S33:S34"/>
    <mergeCell ref="R35:R36"/>
    <mergeCell ref="S35:S36"/>
    <mergeCell ref="T35:T36"/>
    <mergeCell ref="U35:U36"/>
    <mergeCell ref="F33:F34"/>
    <mergeCell ref="G33:G34"/>
    <mergeCell ref="H33:H34"/>
    <mergeCell ref="I33:I34"/>
    <mergeCell ref="S37:S38"/>
    <mergeCell ref="T37:T38"/>
    <mergeCell ref="U37:U38"/>
    <mergeCell ref="F39:F40"/>
    <mergeCell ref="G39:G40"/>
    <mergeCell ref="H39:H40"/>
    <mergeCell ref="I39:I40"/>
    <mergeCell ref="J39:J40"/>
    <mergeCell ref="K39:K40"/>
    <mergeCell ref="L39:L40"/>
    <mergeCell ref="I37:I38"/>
    <mergeCell ref="J37:J38"/>
    <mergeCell ref="K37:K38"/>
    <mergeCell ref="L37:L38"/>
    <mergeCell ref="Q37:Q38"/>
    <mergeCell ref="R37:R38"/>
    <mergeCell ref="Q39:Q40"/>
    <mergeCell ref="R39:R40"/>
    <mergeCell ref="S39:S40"/>
    <mergeCell ref="T39:T40"/>
    <mergeCell ref="U39:U40"/>
    <mergeCell ref="F37:F38"/>
    <mergeCell ref="G37:G38"/>
    <mergeCell ref="H37:H38"/>
    <mergeCell ref="S43:S44"/>
    <mergeCell ref="T43:T44"/>
    <mergeCell ref="U43:U44"/>
    <mergeCell ref="R41:R42"/>
    <mergeCell ref="S41:S42"/>
    <mergeCell ref="T41:T42"/>
    <mergeCell ref="U41:U42"/>
    <mergeCell ref="F43:F44"/>
    <mergeCell ref="G43:G44"/>
    <mergeCell ref="H43:H44"/>
    <mergeCell ref="I43:I44"/>
    <mergeCell ref="J43:J44"/>
    <mergeCell ref="K43:K44"/>
    <mergeCell ref="H41:H42"/>
    <mergeCell ref="I41:I42"/>
    <mergeCell ref="J41:J42"/>
    <mergeCell ref="K41:K42"/>
    <mergeCell ref="L41:L42"/>
    <mergeCell ref="Q41:Q42"/>
    <mergeCell ref="B45:B48"/>
    <mergeCell ref="C45:C48"/>
    <mergeCell ref="D45:D48"/>
    <mergeCell ref="E45:E48"/>
    <mergeCell ref="F45:F46"/>
    <mergeCell ref="G45:G46"/>
    <mergeCell ref="L43:L44"/>
    <mergeCell ref="Q43:Q44"/>
    <mergeCell ref="R43:R44"/>
    <mergeCell ref="R45:R46"/>
    <mergeCell ref="E41:E44"/>
    <mergeCell ref="F41:F42"/>
    <mergeCell ref="G41:G42"/>
    <mergeCell ref="B29:B44"/>
    <mergeCell ref="C29:C32"/>
    <mergeCell ref="D29:D32"/>
    <mergeCell ref="E29:E32"/>
    <mergeCell ref="C33:C36"/>
    <mergeCell ref="D33:D36"/>
    <mergeCell ref="E33:E36"/>
    <mergeCell ref="C37:C40"/>
    <mergeCell ref="D37:D40"/>
    <mergeCell ref="E37:E40"/>
    <mergeCell ref="C41:C44"/>
    <mergeCell ref="S45:S46"/>
    <mergeCell ref="T45:T46"/>
    <mergeCell ref="U45:U46"/>
    <mergeCell ref="F47:F48"/>
    <mergeCell ref="G47:G48"/>
    <mergeCell ref="H47:H48"/>
    <mergeCell ref="I47:I48"/>
    <mergeCell ref="J47:J48"/>
    <mergeCell ref="K47:K48"/>
    <mergeCell ref="H45:H46"/>
    <mergeCell ref="I45:I46"/>
    <mergeCell ref="J45:J46"/>
    <mergeCell ref="K45:K46"/>
    <mergeCell ref="L45:L46"/>
    <mergeCell ref="Q45:Q46"/>
    <mergeCell ref="G52:J52"/>
    <mergeCell ref="M52:P52"/>
    <mergeCell ref="R52:U52"/>
    <mergeCell ref="L47:L48"/>
    <mergeCell ref="Q47:Q48"/>
    <mergeCell ref="R47:R48"/>
    <mergeCell ref="S47:S48"/>
    <mergeCell ref="T47:T48"/>
    <mergeCell ref="U47:U48"/>
  </mergeCells>
  <printOptions horizontalCentered="1"/>
  <pageMargins left="0.51181102362204722" right="0.51181102362204722" top="0.98425196850393704" bottom="0.70866141732283472" header="0.31496062992125984" footer="0.51181102362204722"/>
  <pageSetup paperSize="9" scale="44" fitToHeight="0" orientation="landscape" r:id="rId1"/>
  <headerFooter>
    <oddHeader>&amp;L&amp;G&amp;R&amp;G</oddHeader>
  </headerFooter>
  <legacy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21998-FAE8-4E3E-A5E0-65C23AFC6217}">
  <sheetPr>
    <tabColor theme="6" tint="0.39997558519241921"/>
    <pageSetUpPr fitToPage="1"/>
  </sheetPr>
  <dimension ref="B1:J52"/>
  <sheetViews>
    <sheetView showGridLines="0" view="pageBreakPreview" topLeftCell="B1" zoomScale="85" zoomScaleNormal="70" zoomScaleSheetLayoutView="85" workbookViewId="0">
      <selection activeCell="L9" sqref="L9"/>
    </sheetView>
  </sheetViews>
  <sheetFormatPr defaultColWidth="14.1640625" defaultRowHeight="39.950000000000003" customHeight="1" x14ac:dyDescent="0.25"/>
  <cols>
    <col min="1" max="1" width="14.1640625" style="287"/>
    <col min="2" max="2" width="41.83203125" style="287" bestFit="1" customWidth="1"/>
    <col min="3" max="7" width="33.33203125" style="287" customWidth="1"/>
    <col min="8" max="8" width="40.5" style="287" customWidth="1"/>
    <col min="9" max="14" width="33.33203125" style="287" customWidth="1"/>
    <col min="15" max="16384" width="14.1640625" style="287"/>
  </cols>
  <sheetData>
    <row r="1" spans="2:8" ht="39.950000000000003" customHeight="1" thickBot="1" x14ac:dyDescent="0.3"/>
    <row r="2" spans="2:8" ht="39.950000000000003" customHeight="1" thickBot="1" x14ac:dyDescent="0.3">
      <c r="B2" s="1443" t="s">
        <v>382</v>
      </c>
      <c r="C2" s="1444"/>
      <c r="D2" s="1444"/>
      <c r="E2" s="1444"/>
      <c r="F2" s="1444"/>
      <c r="G2" s="1444"/>
      <c r="H2" s="1445"/>
    </row>
    <row r="3" spans="2:8" ht="39.950000000000003" customHeight="1" thickBot="1" x14ac:dyDescent="0.3">
      <c r="B3" s="288" t="s">
        <v>156</v>
      </c>
      <c r="C3" s="289" t="s">
        <v>252</v>
      </c>
      <c r="D3" s="289" t="s">
        <v>253</v>
      </c>
      <c r="E3" s="289" t="s">
        <v>254</v>
      </c>
      <c r="F3" s="289" t="s">
        <v>255</v>
      </c>
      <c r="G3" s="289" t="s">
        <v>159</v>
      </c>
      <c r="H3" s="290" t="s">
        <v>256</v>
      </c>
    </row>
    <row r="4" spans="2:8" ht="45" customHeight="1" x14ac:dyDescent="0.25">
      <c r="B4" s="291" t="s">
        <v>404</v>
      </c>
      <c r="C4" s="292"/>
      <c r="D4" s="292" t="s">
        <v>259</v>
      </c>
      <c r="E4" s="292" t="s">
        <v>258</v>
      </c>
      <c r="F4" s="293">
        <v>0.1</v>
      </c>
      <c r="G4" s="605">
        <v>486.28</v>
      </c>
      <c r="H4" s="294">
        <f>F4*G4</f>
        <v>48.628</v>
      </c>
    </row>
    <row r="5" spans="2:8" ht="45" customHeight="1" thickBot="1" x14ac:dyDescent="0.3">
      <c r="B5" s="295" t="s">
        <v>405</v>
      </c>
      <c r="C5" s="296"/>
      <c r="D5" s="296" t="s">
        <v>259</v>
      </c>
      <c r="E5" s="296" t="s">
        <v>258</v>
      </c>
      <c r="F5" s="297">
        <v>0.1</v>
      </c>
      <c r="G5" s="297">
        <v>864.67</v>
      </c>
      <c r="H5" s="298">
        <f>F5*G5</f>
        <v>86.466999999999999</v>
      </c>
    </row>
    <row r="6" spans="2:8" ht="45" hidden="1" customHeight="1" thickBot="1" x14ac:dyDescent="0.3">
      <c r="B6" s="299" t="s">
        <v>404</v>
      </c>
      <c r="C6" s="300"/>
      <c r="D6" s="301" t="s">
        <v>257</v>
      </c>
      <c r="E6" s="300" t="s">
        <v>258</v>
      </c>
      <c r="F6" s="301">
        <v>0.1</v>
      </c>
      <c r="G6" s="301">
        <v>0</v>
      </c>
      <c r="H6" s="302">
        <f t="shared" ref="H6:H7" si="0">F6*G6</f>
        <v>0</v>
      </c>
    </row>
    <row r="7" spans="2:8" ht="45" hidden="1" customHeight="1" x14ac:dyDescent="0.25">
      <c r="B7" s="295" t="s">
        <v>406</v>
      </c>
      <c r="C7" s="296"/>
      <c r="D7" s="297" t="s">
        <v>257</v>
      </c>
      <c r="E7" s="296" t="s">
        <v>258</v>
      </c>
      <c r="F7" s="297">
        <v>0.1</v>
      </c>
      <c r="G7" s="297">
        <v>0</v>
      </c>
      <c r="H7" s="298">
        <f t="shared" si="0"/>
        <v>0</v>
      </c>
    </row>
    <row r="8" spans="2:8" ht="45" hidden="1" customHeight="1" x14ac:dyDescent="0.25">
      <c r="B8" s="295" t="s">
        <v>414</v>
      </c>
      <c r="C8" s="296"/>
      <c r="D8" s="303" t="s">
        <v>257</v>
      </c>
      <c r="E8" s="296" t="s">
        <v>258</v>
      </c>
      <c r="F8" s="297">
        <v>0.1</v>
      </c>
      <c r="G8" s="297">
        <v>0</v>
      </c>
      <c r="H8" s="298">
        <f>G8*F8</f>
        <v>0</v>
      </c>
    </row>
    <row r="9" spans="2:8" ht="45" hidden="1" customHeight="1" x14ac:dyDescent="0.25">
      <c r="B9" s="304" t="s">
        <v>415</v>
      </c>
      <c r="C9" s="305"/>
      <c r="D9" s="303" t="s">
        <v>257</v>
      </c>
      <c r="E9" s="296" t="s">
        <v>258</v>
      </c>
      <c r="F9" s="305">
        <v>0.3</v>
      </c>
      <c r="G9" s="297">
        <v>0</v>
      </c>
      <c r="H9" s="306">
        <f>G9*F9</f>
        <v>0</v>
      </c>
    </row>
    <row r="10" spans="2:8" ht="45" hidden="1" customHeight="1" x14ac:dyDescent="0.25">
      <c r="B10" s="304" t="s">
        <v>415</v>
      </c>
      <c r="C10" s="305"/>
      <c r="D10" s="305" t="s">
        <v>259</v>
      </c>
      <c r="E10" s="296" t="s">
        <v>258</v>
      </c>
      <c r="F10" s="305">
        <v>0.3</v>
      </c>
      <c r="G10" s="297">
        <v>0</v>
      </c>
      <c r="H10" s="306">
        <f>G10*F10</f>
        <v>0</v>
      </c>
    </row>
    <row r="11" spans="2:8" ht="45" hidden="1" customHeight="1" x14ac:dyDescent="0.25">
      <c r="B11" s="304" t="s">
        <v>422</v>
      </c>
      <c r="C11" s="305"/>
      <c r="D11" s="305" t="s">
        <v>427</v>
      </c>
      <c r="E11" s="296" t="s">
        <v>258</v>
      </c>
      <c r="F11" s="305">
        <v>0.1</v>
      </c>
      <c r="G11" s="297">
        <v>0</v>
      </c>
      <c r="H11" s="306">
        <f>G11*F11</f>
        <v>0</v>
      </c>
    </row>
    <row r="12" spans="2:8" ht="45" hidden="1" customHeight="1" thickBot="1" x14ac:dyDescent="0.3">
      <c r="B12" s="304" t="s">
        <v>422</v>
      </c>
      <c r="C12" s="305"/>
      <c r="D12" s="305" t="s">
        <v>257</v>
      </c>
      <c r="E12" s="296" t="s">
        <v>258</v>
      </c>
      <c r="F12" s="305">
        <v>0.2</v>
      </c>
      <c r="G12" s="297">
        <v>0</v>
      </c>
      <c r="H12" s="306">
        <f>G12*F12</f>
        <v>0</v>
      </c>
    </row>
    <row r="13" spans="2:8" ht="39.950000000000003" customHeight="1" thickBot="1" x14ac:dyDescent="0.3">
      <c r="B13" s="1443" t="s">
        <v>383</v>
      </c>
      <c r="C13" s="1444"/>
      <c r="D13" s="1444"/>
      <c r="E13" s="1444"/>
      <c r="F13" s="1444"/>
      <c r="G13" s="1444"/>
      <c r="H13" s="1445"/>
    </row>
    <row r="14" spans="2:8" ht="39.950000000000003" customHeight="1" thickBot="1" x14ac:dyDescent="0.3">
      <c r="B14" s="288" t="s">
        <v>156</v>
      </c>
      <c r="C14" s="289" t="s">
        <v>252</v>
      </c>
      <c r="D14" s="289" t="s">
        <v>253</v>
      </c>
      <c r="E14" s="289" t="s">
        <v>260</v>
      </c>
      <c r="F14" s="289" t="s">
        <v>255</v>
      </c>
      <c r="G14" s="289" t="s">
        <v>159</v>
      </c>
      <c r="H14" s="290" t="s">
        <v>256</v>
      </c>
    </row>
    <row r="15" spans="2:8" ht="45" customHeight="1" x14ac:dyDescent="0.25">
      <c r="B15" s="307" t="s">
        <v>261</v>
      </c>
      <c r="C15" s="308"/>
      <c r="D15" s="308" t="s">
        <v>257</v>
      </c>
      <c r="E15" s="308">
        <v>1.45</v>
      </c>
      <c r="F15" s="308">
        <v>0</v>
      </c>
      <c r="G15" s="308">
        <v>10</v>
      </c>
      <c r="H15" s="309">
        <f>E15*G15</f>
        <v>14.5</v>
      </c>
    </row>
    <row r="16" spans="2:8" ht="45" customHeight="1" x14ac:dyDescent="0.25">
      <c r="B16" s="310" t="s">
        <v>384</v>
      </c>
      <c r="C16" s="297"/>
      <c r="D16" s="301" t="s">
        <v>257</v>
      </c>
      <c r="E16" s="297" t="s">
        <v>40</v>
      </c>
      <c r="F16" s="297">
        <v>0.4</v>
      </c>
      <c r="G16" s="297">
        <v>94.27</v>
      </c>
      <c r="H16" s="302">
        <f>F16*G16</f>
        <v>37.707999999999998</v>
      </c>
    </row>
    <row r="17" spans="2:9" ht="45" customHeight="1" x14ac:dyDescent="0.25">
      <c r="B17" s="310" t="s">
        <v>509</v>
      </c>
      <c r="C17" s="297"/>
      <c r="D17" s="301" t="s">
        <v>257</v>
      </c>
      <c r="E17" s="297" t="s">
        <v>40</v>
      </c>
      <c r="F17" s="297">
        <v>0.3</v>
      </c>
      <c r="G17" s="297">
        <v>0</v>
      </c>
      <c r="H17" s="302">
        <f>F17*G17</f>
        <v>0</v>
      </c>
    </row>
    <row r="18" spans="2:9" ht="45" customHeight="1" x14ac:dyDescent="0.25">
      <c r="B18" s="310" t="s">
        <v>262</v>
      </c>
      <c r="C18" s="297"/>
      <c r="D18" s="301" t="s">
        <v>257</v>
      </c>
      <c r="E18" s="297">
        <f>4*0.4</f>
        <v>1.6</v>
      </c>
      <c r="F18" s="297">
        <v>0.4</v>
      </c>
      <c r="G18" s="297">
        <f>(2*7)+(2*8)</f>
        <v>30</v>
      </c>
      <c r="H18" s="302">
        <f>G18*E18</f>
        <v>48</v>
      </c>
    </row>
    <row r="19" spans="2:9" ht="45" customHeight="1" thickBot="1" x14ac:dyDescent="0.3">
      <c r="B19" s="310" t="s">
        <v>263</v>
      </c>
      <c r="C19" s="297"/>
      <c r="D19" s="297" t="s">
        <v>257</v>
      </c>
      <c r="E19" s="297">
        <v>1.1000000000000001</v>
      </c>
      <c r="F19" s="297" t="s">
        <v>40</v>
      </c>
      <c r="G19" s="297">
        <v>26</v>
      </c>
      <c r="H19" s="298">
        <f>E19*G19</f>
        <v>28.6</v>
      </c>
      <c r="I19" s="311"/>
    </row>
    <row r="20" spans="2:9" ht="45" hidden="1" customHeight="1" x14ac:dyDescent="0.25">
      <c r="B20" s="304" t="s">
        <v>416</v>
      </c>
      <c r="C20" s="305"/>
      <c r="D20" s="303" t="s">
        <v>257</v>
      </c>
      <c r="E20" s="305">
        <v>1.6</v>
      </c>
      <c r="F20" s="305" t="s">
        <v>40</v>
      </c>
      <c r="G20" s="297">
        <v>0</v>
      </c>
      <c r="H20" s="312">
        <f>G20*E20</f>
        <v>0</v>
      </c>
      <c r="I20" s="311"/>
    </row>
    <row r="21" spans="2:9" ht="45" hidden="1" customHeight="1" x14ac:dyDescent="0.25">
      <c r="B21" s="304" t="s">
        <v>417</v>
      </c>
      <c r="C21" s="305"/>
      <c r="D21" s="303" t="s">
        <v>257</v>
      </c>
      <c r="E21" s="305" t="s">
        <v>40</v>
      </c>
      <c r="F21" s="305">
        <v>0.4</v>
      </c>
      <c r="G21" s="297">
        <v>0</v>
      </c>
      <c r="H21" s="312">
        <f>F21*G21</f>
        <v>0</v>
      </c>
      <c r="I21" s="311"/>
    </row>
    <row r="22" spans="2:9" ht="63" hidden="1" customHeight="1" x14ac:dyDescent="0.25">
      <c r="B22" s="304" t="s">
        <v>418</v>
      </c>
      <c r="C22" s="305"/>
      <c r="D22" s="303" t="s">
        <v>257</v>
      </c>
      <c r="E22" s="305">
        <v>3.84</v>
      </c>
      <c r="F22" s="305" t="s">
        <v>40</v>
      </c>
      <c r="G22" s="297">
        <v>0</v>
      </c>
      <c r="H22" s="306">
        <f>G22*E22</f>
        <v>0</v>
      </c>
      <c r="I22" s="311"/>
    </row>
    <row r="23" spans="2:9" ht="74.25" hidden="1" customHeight="1" x14ac:dyDescent="0.25">
      <c r="B23" s="304" t="s">
        <v>423</v>
      </c>
      <c r="C23" s="305"/>
      <c r="D23" s="303" t="s">
        <v>257</v>
      </c>
      <c r="E23" s="305">
        <v>0.28000000000000003</v>
      </c>
      <c r="F23" s="305" t="s">
        <v>40</v>
      </c>
      <c r="G23" s="297">
        <v>0</v>
      </c>
      <c r="H23" s="306">
        <f>G23*E23</f>
        <v>0</v>
      </c>
      <c r="I23" s="311"/>
    </row>
    <row r="24" spans="2:9" ht="48.75" hidden="1" customHeight="1" x14ac:dyDescent="0.25">
      <c r="B24" s="304" t="s">
        <v>424</v>
      </c>
      <c r="C24" s="305"/>
      <c r="D24" s="303" t="s">
        <v>257</v>
      </c>
      <c r="E24" s="305">
        <v>0.34</v>
      </c>
      <c r="F24" s="305" t="s">
        <v>40</v>
      </c>
      <c r="G24" s="297">
        <v>0</v>
      </c>
      <c r="H24" s="306">
        <f>G24*E24</f>
        <v>0</v>
      </c>
      <c r="I24" s="311"/>
    </row>
    <row r="25" spans="2:9" ht="48.75" hidden="1" customHeight="1" x14ac:dyDescent="0.25">
      <c r="B25" s="313" t="s">
        <v>510</v>
      </c>
      <c r="C25" s="303"/>
      <c r="D25" s="303" t="s">
        <v>425</v>
      </c>
      <c r="E25" s="303" t="s">
        <v>40</v>
      </c>
      <c r="F25" s="303" t="s">
        <v>40</v>
      </c>
      <c r="G25" s="301">
        <v>0</v>
      </c>
      <c r="H25" s="312">
        <f>G25</f>
        <v>0</v>
      </c>
      <c r="I25" s="311"/>
    </row>
    <row r="26" spans="2:9" ht="48.75" hidden="1" customHeight="1" thickBot="1" x14ac:dyDescent="0.3">
      <c r="B26" s="314" t="s">
        <v>515</v>
      </c>
      <c r="C26" s="315"/>
      <c r="D26" s="315" t="s">
        <v>40</v>
      </c>
      <c r="E26" s="315" t="s">
        <v>40</v>
      </c>
      <c r="F26" s="315" t="s">
        <v>40</v>
      </c>
      <c r="G26" s="339">
        <v>0</v>
      </c>
      <c r="H26" s="316">
        <f>ROUND(G26,0)</f>
        <v>0</v>
      </c>
      <c r="I26" s="317" t="s">
        <v>426</v>
      </c>
    </row>
    <row r="27" spans="2:9" ht="30" customHeight="1" x14ac:dyDescent="0.25">
      <c r="B27" s="1446" t="s">
        <v>407</v>
      </c>
      <c r="C27" s="1447"/>
      <c r="D27" s="1447"/>
      <c r="E27" s="1447"/>
      <c r="F27" s="1447"/>
      <c r="G27" s="554">
        <f>TRUNC(SUM(G4:G12),2)-G10-G9</f>
        <v>1350.95</v>
      </c>
      <c r="H27" s="318" t="s">
        <v>3</v>
      </c>
      <c r="I27" s="311"/>
    </row>
    <row r="28" spans="2:9" ht="30" customHeight="1" x14ac:dyDescent="0.25">
      <c r="B28" s="1448" t="s">
        <v>408</v>
      </c>
      <c r="C28" s="1449"/>
      <c r="D28" s="1449"/>
      <c r="E28" s="1449"/>
      <c r="F28" s="1449"/>
      <c r="G28" s="606">
        <f>H16+H18+H21+H17+H10+H9</f>
        <v>85.707999999999998</v>
      </c>
      <c r="H28" s="319" t="s">
        <v>1</v>
      </c>
      <c r="I28" s="311"/>
    </row>
    <row r="29" spans="2:9" ht="30" customHeight="1" x14ac:dyDescent="0.25">
      <c r="B29" s="1448" t="s">
        <v>409</v>
      </c>
      <c r="C29" s="1449"/>
      <c r="D29" s="1449"/>
      <c r="E29" s="1449"/>
      <c r="F29" s="1449"/>
      <c r="G29" s="606">
        <f>H15+H19+H22+H20+H23+H24</f>
        <v>43.1</v>
      </c>
      <c r="H29" s="319" t="s">
        <v>1</v>
      </c>
      <c r="I29" s="311"/>
    </row>
    <row r="30" spans="2:9" ht="30" hidden="1" customHeight="1" x14ac:dyDescent="0.25">
      <c r="B30" s="1448" t="s">
        <v>512</v>
      </c>
      <c r="C30" s="1449"/>
      <c r="D30" s="1449"/>
      <c r="E30" s="1449"/>
      <c r="F30" s="1449"/>
      <c r="G30" s="606">
        <f>H23+H24</f>
        <v>0</v>
      </c>
      <c r="H30" s="319" t="s">
        <v>1</v>
      </c>
      <c r="I30" s="311"/>
    </row>
    <row r="31" spans="2:9" ht="30" hidden="1" customHeight="1" x14ac:dyDescent="0.25">
      <c r="B31" s="1448" t="s">
        <v>513</v>
      </c>
      <c r="C31" s="1449"/>
      <c r="D31" s="1449"/>
      <c r="E31" s="1449"/>
      <c r="F31" s="1449"/>
      <c r="G31" s="606">
        <f>H26</f>
        <v>0</v>
      </c>
      <c r="H31" s="319" t="s">
        <v>514</v>
      </c>
      <c r="I31" s="311"/>
    </row>
    <row r="32" spans="2:9" ht="30" hidden="1" customHeight="1" thickBot="1" x14ac:dyDescent="0.3">
      <c r="B32" s="1441" t="s">
        <v>511</v>
      </c>
      <c r="C32" s="1442"/>
      <c r="D32" s="1442"/>
      <c r="E32" s="1442"/>
      <c r="F32" s="1442"/>
      <c r="G32" s="553">
        <f>H25</f>
        <v>0</v>
      </c>
      <c r="H32" s="320" t="s">
        <v>1</v>
      </c>
      <c r="I32" s="311"/>
    </row>
    <row r="33" spans="2:10" ht="29.25" customHeight="1" thickBot="1" x14ac:dyDescent="0.3">
      <c r="B33" s="607"/>
      <c r="C33" s="608"/>
      <c r="D33" s="608"/>
      <c r="E33" s="608"/>
      <c r="F33" s="608"/>
      <c r="G33" s="608"/>
      <c r="H33" s="609"/>
      <c r="I33" s="311"/>
    </row>
    <row r="34" spans="2:10" ht="39.950000000000003" customHeight="1" thickBot="1" x14ac:dyDescent="0.3">
      <c r="B34" s="1443" t="s">
        <v>151</v>
      </c>
      <c r="C34" s="1444"/>
      <c r="D34" s="1444"/>
      <c r="E34" s="1444"/>
      <c r="F34" s="1444"/>
      <c r="G34" s="1444"/>
      <c r="H34" s="1445"/>
    </row>
    <row r="35" spans="2:10" ht="39.75" customHeight="1" thickBot="1" x14ac:dyDescent="0.3">
      <c r="B35" s="288" t="s">
        <v>156</v>
      </c>
      <c r="C35" s="289" t="s">
        <v>264</v>
      </c>
      <c r="D35" s="289" t="s">
        <v>265</v>
      </c>
      <c r="E35" s="289" t="s">
        <v>266</v>
      </c>
      <c r="F35" s="289" t="s">
        <v>267</v>
      </c>
      <c r="G35" s="289" t="s">
        <v>268</v>
      </c>
      <c r="H35" s="290" t="s">
        <v>256</v>
      </c>
    </row>
    <row r="36" spans="2:10" ht="45" customHeight="1" x14ac:dyDescent="0.25">
      <c r="B36" s="321" t="s">
        <v>261</v>
      </c>
      <c r="C36" s="301"/>
      <c r="D36" s="301" t="s">
        <v>269</v>
      </c>
      <c r="E36" s="322" t="s">
        <v>393</v>
      </c>
      <c r="F36" s="301">
        <v>10</v>
      </c>
      <c r="G36" s="301">
        <v>0.3</v>
      </c>
      <c r="H36" s="302">
        <f>G36*F36</f>
        <v>3</v>
      </c>
    </row>
    <row r="37" spans="2:10" ht="45" customHeight="1" thickBot="1" x14ac:dyDescent="0.3">
      <c r="B37" s="321" t="s">
        <v>270</v>
      </c>
      <c r="C37" s="301"/>
      <c r="D37" s="301" t="s">
        <v>271</v>
      </c>
      <c r="E37" s="301" t="s">
        <v>339</v>
      </c>
      <c r="F37" s="301">
        <v>8</v>
      </c>
      <c r="G37" s="301">
        <v>0.19600000000000001</v>
      </c>
      <c r="H37" s="302">
        <f t="shared" ref="H37:H45" si="1">G37*F37</f>
        <v>1.5680000000000001</v>
      </c>
    </row>
    <row r="38" spans="2:10" ht="45" hidden="1" customHeight="1" x14ac:dyDescent="0.25">
      <c r="B38" s="321" t="s">
        <v>262</v>
      </c>
      <c r="C38" s="301"/>
      <c r="D38" s="301" t="s">
        <v>529</v>
      </c>
      <c r="E38" s="301" t="s">
        <v>421</v>
      </c>
      <c r="F38" s="301">
        <v>0</v>
      </c>
      <c r="G38" s="301">
        <f>0.45*0.45</f>
        <v>0.20250000000000001</v>
      </c>
      <c r="H38" s="302">
        <f t="shared" si="1"/>
        <v>0</v>
      </c>
    </row>
    <row r="39" spans="2:10" ht="45" hidden="1" customHeight="1" x14ac:dyDescent="0.25">
      <c r="B39" s="321" t="s">
        <v>419</v>
      </c>
      <c r="C39" s="301"/>
      <c r="D39" s="301" t="s">
        <v>420</v>
      </c>
      <c r="E39" s="301" t="s">
        <v>421</v>
      </c>
      <c r="F39" s="301">
        <v>0</v>
      </c>
      <c r="G39" s="301">
        <f>0.45*0.45</f>
        <v>0.20250000000000001</v>
      </c>
      <c r="H39" s="302">
        <f t="shared" si="1"/>
        <v>0</v>
      </c>
    </row>
    <row r="40" spans="2:10" ht="45" hidden="1" customHeight="1" x14ac:dyDescent="0.25">
      <c r="B40" s="321" t="s">
        <v>394</v>
      </c>
      <c r="C40" s="301"/>
      <c r="D40" s="301" t="s">
        <v>395</v>
      </c>
      <c r="E40" s="301" t="s">
        <v>339</v>
      </c>
      <c r="F40" s="301">
        <v>0</v>
      </c>
      <c r="G40" s="301">
        <v>0.19600000000000001</v>
      </c>
      <c r="H40" s="302">
        <f t="shared" si="1"/>
        <v>0</v>
      </c>
    </row>
    <row r="41" spans="2:10" ht="45" hidden="1" customHeight="1" x14ac:dyDescent="0.25">
      <c r="B41" s="321" t="s">
        <v>263</v>
      </c>
      <c r="C41" s="301"/>
      <c r="D41" s="301" t="s">
        <v>385</v>
      </c>
      <c r="E41" s="301" t="s">
        <v>339</v>
      </c>
      <c r="F41" s="301">
        <v>0</v>
      </c>
      <c r="G41" s="301">
        <v>0.19600000000000001</v>
      </c>
      <c r="H41" s="302">
        <f t="shared" si="1"/>
        <v>0</v>
      </c>
    </row>
    <row r="42" spans="2:10" ht="45" hidden="1" customHeight="1" x14ac:dyDescent="0.25">
      <c r="B42" s="321" t="s">
        <v>386</v>
      </c>
      <c r="C42" s="301"/>
      <c r="D42" s="301" t="s">
        <v>387</v>
      </c>
      <c r="E42" s="301" t="s">
        <v>339</v>
      </c>
      <c r="F42" s="301">
        <v>0</v>
      </c>
      <c r="G42" s="301">
        <v>0.2</v>
      </c>
      <c r="H42" s="302">
        <f t="shared" si="1"/>
        <v>0</v>
      </c>
    </row>
    <row r="43" spans="2:10" ht="45" hidden="1" customHeight="1" x14ac:dyDescent="0.25">
      <c r="B43" s="321" t="s">
        <v>388</v>
      </c>
      <c r="C43" s="301"/>
      <c r="D43" s="301" t="s">
        <v>387</v>
      </c>
      <c r="E43" s="301" t="s">
        <v>339</v>
      </c>
      <c r="F43" s="301">
        <v>0</v>
      </c>
      <c r="G43" s="301">
        <v>0.2</v>
      </c>
      <c r="H43" s="302">
        <f t="shared" si="1"/>
        <v>0</v>
      </c>
    </row>
    <row r="44" spans="2:10" ht="45" hidden="1" customHeight="1" x14ac:dyDescent="0.25">
      <c r="B44" s="321" t="s">
        <v>389</v>
      </c>
      <c r="C44" s="323"/>
      <c r="D44" s="301" t="s">
        <v>390</v>
      </c>
      <c r="E44" s="301" t="s">
        <v>339</v>
      </c>
      <c r="F44" s="301">
        <v>0</v>
      </c>
      <c r="G44" s="301">
        <v>0.2</v>
      </c>
      <c r="H44" s="302">
        <f t="shared" si="1"/>
        <v>0</v>
      </c>
    </row>
    <row r="45" spans="2:10" ht="45" hidden="1" customHeight="1" thickBot="1" x14ac:dyDescent="0.3">
      <c r="B45" s="321" t="s">
        <v>391</v>
      </c>
      <c r="C45" s="610"/>
      <c r="D45" s="293" t="s">
        <v>392</v>
      </c>
      <c r="E45" s="301" t="s">
        <v>339</v>
      </c>
      <c r="F45" s="301">
        <v>0</v>
      </c>
      <c r="G45" s="301">
        <v>0.2</v>
      </c>
      <c r="H45" s="302">
        <f t="shared" si="1"/>
        <v>0</v>
      </c>
    </row>
    <row r="46" spans="2:10" ht="30" customHeight="1" x14ac:dyDescent="0.25">
      <c r="B46" s="1446" t="s">
        <v>410</v>
      </c>
      <c r="C46" s="1447"/>
      <c r="D46" s="1447"/>
      <c r="E46" s="1447"/>
      <c r="F46" s="1447">
        <f>SUM(F36:F45)</f>
        <v>18</v>
      </c>
      <c r="G46" s="554">
        <f>SUM(F36:F45)</f>
        <v>18</v>
      </c>
      <c r="H46" s="318" t="s">
        <v>41</v>
      </c>
      <c r="I46" s="311"/>
      <c r="J46" s="286"/>
    </row>
    <row r="47" spans="2:10" ht="30" customHeight="1" thickBot="1" x14ac:dyDescent="0.3">
      <c r="B47" s="1441" t="s">
        <v>411</v>
      </c>
      <c r="C47" s="1442"/>
      <c r="D47" s="1442"/>
      <c r="E47" s="1442"/>
      <c r="F47" s="1442">
        <f>SUM(F37:F46)</f>
        <v>26</v>
      </c>
      <c r="G47" s="553">
        <v>0</v>
      </c>
      <c r="H47" s="320" t="s">
        <v>41</v>
      </c>
      <c r="I47" s="311"/>
      <c r="J47" s="286"/>
    </row>
    <row r="48" spans="2:10" ht="39.950000000000003" customHeight="1" thickBot="1" x14ac:dyDescent="0.3">
      <c r="B48" s="1443" t="s">
        <v>152</v>
      </c>
      <c r="C48" s="1444"/>
      <c r="D48" s="1444"/>
      <c r="E48" s="1444"/>
      <c r="F48" s="1444"/>
      <c r="G48" s="1444"/>
      <c r="H48" s="1445"/>
      <c r="I48" s="311"/>
    </row>
    <row r="49" spans="2:8" ht="39.950000000000003" customHeight="1" thickBot="1" x14ac:dyDescent="0.3">
      <c r="B49" s="288" t="s">
        <v>156</v>
      </c>
      <c r="C49" s="289" t="s">
        <v>264</v>
      </c>
      <c r="D49" s="289" t="s">
        <v>266</v>
      </c>
      <c r="E49" s="289" t="s">
        <v>267</v>
      </c>
      <c r="F49" s="289" t="s">
        <v>272</v>
      </c>
      <c r="G49" s="289" t="s">
        <v>268</v>
      </c>
      <c r="H49" s="290" t="s">
        <v>256</v>
      </c>
    </row>
    <row r="50" spans="2:8" ht="45" customHeight="1" thickBot="1" x14ac:dyDescent="0.3">
      <c r="B50" s="324" t="s">
        <v>273</v>
      </c>
      <c r="C50" s="325"/>
      <c r="D50" s="325" t="s">
        <v>396</v>
      </c>
      <c r="E50" s="297">
        <v>20</v>
      </c>
      <c r="F50" s="325">
        <f>E50/2</f>
        <v>10</v>
      </c>
      <c r="G50" s="326">
        <f>0.45*0.2</f>
        <v>9.0000000000000011E-2</v>
      </c>
      <c r="H50" s="327">
        <f>+E50*G50</f>
        <v>1.8000000000000003</v>
      </c>
    </row>
    <row r="51" spans="2:8" ht="30" customHeight="1" x14ac:dyDescent="0.25">
      <c r="B51" s="1446" t="s">
        <v>412</v>
      </c>
      <c r="C51" s="1447"/>
      <c r="D51" s="1447"/>
      <c r="E51" s="1447"/>
      <c r="F51" s="1447"/>
      <c r="G51" s="328">
        <f>E50</f>
        <v>20</v>
      </c>
      <c r="H51" s="318" t="s">
        <v>41</v>
      </c>
    </row>
    <row r="52" spans="2:8" ht="30" customHeight="1" thickBot="1" x14ac:dyDescent="0.3">
      <c r="B52" s="1441" t="s">
        <v>413</v>
      </c>
      <c r="C52" s="1442"/>
      <c r="D52" s="1442"/>
      <c r="E52" s="1442"/>
      <c r="F52" s="1442"/>
      <c r="G52" s="329">
        <f>F50</f>
        <v>10</v>
      </c>
      <c r="H52" s="320" t="s">
        <v>41</v>
      </c>
    </row>
  </sheetData>
  <mergeCells count="14">
    <mergeCell ref="B52:F52"/>
    <mergeCell ref="B2:H2"/>
    <mergeCell ref="B13:H13"/>
    <mergeCell ref="B27:F27"/>
    <mergeCell ref="B28:F28"/>
    <mergeCell ref="B31:F31"/>
    <mergeCell ref="B34:H34"/>
    <mergeCell ref="B46:F46"/>
    <mergeCell ref="B47:F47"/>
    <mergeCell ref="B48:H48"/>
    <mergeCell ref="B51:F51"/>
    <mergeCell ref="B32:F32"/>
    <mergeCell ref="B29:F29"/>
    <mergeCell ref="B30:F30"/>
  </mergeCells>
  <printOptions horizontalCentered="1"/>
  <pageMargins left="0.51181102362204722" right="0.51181102362204722" top="0.98425196850393704" bottom="0.59055118110236227" header="0.31496062992125984" footer="0.51181102362204722"/>
  <pageSetup paperSize="9" scale="41" fitToHeight="0" orientation="portrait" r:id="rId1"/>
  <headerFooter>
    <oddHeader>&amp;L&amp;G&amp;R&amp;G</oddHead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Paint.Picture" shapeId="125953" r:id="rId5">
          <objectPr defaultSize="0" autoPict="0" r:id="rId6">
            <anchor moveWithCells="1">
              <from>
                <xdr:col>2</xdr:col>
                <xdr:colOff>485775</xdr:colOff>
                <xdr:row>49</xdr:row>
                <xdr:rowOff>38100</xdr:rowOff>
              </from>
              <to>
                <xdr:col>2</xdr:col>
                <xdr:colOff>1514475</xdr:colOff>
                <xdr:row>49</xdr:row>
                <xdr:rowOff>504825</xdr:rowOff>
              </to>
            </anchor>
          </objectPr>
        </oleObject>
      </mc:Choice>
      <mc:Fallback>
        <oleObject progId="Paint.Picture" shapeId="125953" r:id="rId5"/>
      </mc:Fallback>
    </mc:AlternateContent>
  </oleObjec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4BD1A-07C6-4893-B35B-BDDD9ECA2CC6}">
  <sheetPr>
    <tabColor theme="5" tint="0.39997558519241921"/>
    <pageSetUpPr fitToPage="1"/>
  </sheetPr>
  <dimension ref="B1:K30"/>
  <sheetViews>
    <sheetView showGridLines="0" view="pageBreakPreview" topLeftCell="A22" zoomScale="85" zoomScaleNormal="70" zoomScaleSheetLayoutView="85" workbookViewId="0">
      <selection activeCell="L9" sqref="L9"/>
    </sheetView>
  </sheetViews>
  <sheetFormatPr defaultColWidth="23.83203125" defaultRowHeight="40.5" customHeight="1" x14ac:dyDescent="0.25"/>
  <cols>
    <col min="1" max="1" width="5.83203125" style="777" customWidth="1"/>
    <col min="2" max="2" width="35.6640625" style="777" customWidth="1"/>
    <col min="3" max="4" width="23.83203125" style="777"/>
    <col min="5" max="5" width="25" style="777" customWidth="1"/>
    <col min="6" max="16384" width="23.83203125" style="777"/>
  </cols>
  <sheetData>
    <row r="1" spans="2:8" ht="40.5" customHeight="1" thickBot="1" x14ac:dyDescent="0.3"/>
    <row r="2" spans="2:8" ht="27.75" customHeight="1" thickBot="1" x14ac:dyDescent="0.3">
      <c r="B2" s="1459" t="s">
        <v>677</v>
      </c>
      <c r="C2" s="1460"/>
      <c r="D2" s="1460"/>
      <c r="E2" s="1460"/>
      <c r="F2" s="1460"/>
      <c r="G2" s="1460"/>
      <c r="H2" s="1461"/>
    </row>
    <row r="3" spans="2:8" ht="17.25" customHeight="1" thickBot="1" x14ac:dyDescent="0.3"/>
    <row r="4" spans="2:8" ht="25.5" customHeight="1" thickBot="1" x14ac:dyDescent="0.3">
      <c r="B4" s="1462" t="s">
        <v>770</v>
      </c>
      <c r="C4" s="1463"/>
      <c r="D4" s="1463"/>
      <c r="E4" s="1463"/>
      <c r="F4" s="1463"/>
      <c r="G4" s="1463"/>
      <c r="H4" s="1464"/>
    </row>
    <row r="5" spans="2:8" ht="40.5" customHeight="1" thickBot="1" x14ac:dyDescent="0.3">
      <c r="B5" s="1450" t="s">
        <v>771</v>
      </c>
      <c r="C5" s="1451"/>
      <c r="D5" s="1451"/>
      <c r="E5" s="1451"/>
      <c r="F5" s="1451"/>
      <c r="G5" s="1451"/>
      <c r="H5" s="1452"/>
    </row>
    <row r="6" spans="2:8" ht="40.5" customHeight="1" thickBot="1" x14ac:dyDescent="0.3">
      <c r="B6" s="778" t="s">
        <v>156</v>
      </c>
      <c r="C6" s="779" t="s">
        <v>252</v>
      </c>
      <c r="D6" s="779" t="s">
        <v>253</v>
      </c>
      <c r="E6" s="779" t="s">
        <v>254</v>
      </c>
      <c r="F6" s="779" t="s">
        <v>255</v>
      </c>
      <c r="G6" s="779" t="s">
        <v>159</v>
      </c>
      <c r="H6" s="780" t="s">
        <v>256</v>
      </c>
    </row>
    <row r="7" spans="2:8" ht="40.5" customHeight="1" x14ac:dyDescent="0.25">
      <c r="B7" s="781" t="s">
        <v>772</v>
      </c>
      <c r="C7" s="782"/>
      <c r="D7" s="782" t="s">
        <v>259</v>
      </c>
      <c r="E7" s="782" t="s">
        <v>258</v>
      </c>
      <c r="F7" s="783">
        <v>0.1</v>
      </c>
      <c r="G7" s="784">
        <f>426.27/3</f>
        <v>142.09</v>
      </c>
      <c r="H7" s="785">
        <f>F7*G7</f>
        <v>14.209000000000001</v>
      </c>
    </row>
    <row r="8" spans="2:8" ht="40.5" customHeight="1" x14ac:dyDescent="0.25">
      <c r="B8" s="786" t="s">
        <v>773</v>
      </c>
      <c r="C8" s="787"/>
      <c r="D8" s="787" t="s">
        <v>259</v>
      </c>
      <c r="E8" s="787" t="s">
        <v>258</v>
      </c>
      <c r="F8" s="788">
        <v>0.1</v>
      </c>
      <c r="G8" s="788">
        <v>737.25</v>
      </c>
      <c r="H8" s="789">
        <f>F8*G8</f>
        <v>73.725000000000009</v>
      </c>
    </row>
    <row r="9" spans="2:8" ht="40.5" customHeight="1" thickBot="1" x14ac:dyDescent="0.3">
      <c r="B9" s="790" t="s">
        <v>34</v>
      </c>
      <c r="C9" s="791"/>
      <c r="D9" s="791"/>
      <c r="E9" s="791"/>
      <c r="F9" s="791"/>
      <c r="G9" s="788">
        <f>SUM(G7:G8)</f>
        <v>879.34</v>
      </c>
      <c r="H9" s="789"/>
    </row>
    <row r="10" spans="2:8" ht="40.5" customHeight="1" thickBot="1" x14ac:dyDescent="0.3">
      <c r="B10" s="1450" t="s">
        <v>774</v>
      </c>
      <c r="C10" s="1451"/>
      <c r="D10" s="1451"/>
      <c r="E10" s="1451"/>
      <c r="F10" s="1451"/>
      <c r="G10" s="1451"/>
      <c r="H10" s="1452"/>
    </row>
    <row r="11" spans="2:8" ht="40.5" customHeight="1" x14ac:dyDescent="0.25">
      <c r="B11" s="1465" t="s">
        <v>775</v>
      </c>
      <c r="C11" s="1466"/>
      <c r="D11" s="1466"/>
      <c r="E11" s="1466"/>
      <c r="F11" s="1466"/>
      <c r="G11" s="1466"/>
      <c r="H11" s="1467"/>
    </row>
    <row r="12" spans="2:8" ht="40.5" customHeight="1" thickBot="1" x14ac:dyDescent="0.3">
      <c r="B12" s="792" t="s">
        <v>156</v>
      </c>
      <c r="C12" s="793" t="s">
        <v>252</v>
      </c>
      <c r="D12" s="793" t="s">
        <v>253</v>
      </c>
      <c r="E12" s="793" t="s">
        <v>260</v>
      </c>
      <c r="F12" s="793" t="s">
        <v>284</v>
      </c>
      <c r="G12" s="793" t="s">
        <v>159</v>
      </c>
      <c r="H12" s="794" t="s">
        <v>256</v>
      </c>
    </row>
    <row r="13" spans="2:8" ht="40.5" customHeight="1" x14ac:dyDescent="0.25">
      <c r="B13" s="795" t="s">
        <v>384</v>
      </c>
      <c r="C13" s="784"/>
      <c r="D13" s="783" t="s">
        <v>257</v>
      </c>
      <c r="E13" s="784" t="s">
        <v>40</v>
      </c>
      <c r="F13" s="784">
        <v>0.4</v>
      </c>
      <c r="G13" s="796">
        <v>79</v>
      </c>
      <c r="H13" s="785">
        <f>F13*G13</f>
        <v>31.6</v>
      </c>
    </row>
    <row r="14" spans="2:8" ht="50.1" customHeight="1" x14ac:dyDescent="0.25">
      <c r="B14" s="797" t="s">
        <v>262</v>
      </c>
      <c r="C14" s="798"/>
      <c r="D14" s="798" t="s">
        <v>257</v>
      </c>
      <c r="E14" s="798">
        <f>4*0.4</f>
        <v>1.6</v>
      </c>
      <c r="F14" s="798">
        <v>0.4</v>
      </c>
      <c r="G14" s="798">
        <v>620</v>
      </c>
      <c r="H14" s="799">
        <f>F14*G14</f>
        <v>248</v>
      </c>
    </row>
    <row r="15" spans="2:8" ht="50.1" customHeight="1" thickBot="1" x14ac:dyDescent="0.3">
      <c r="B15" s="790" t="s">
        <v>34</v>
      </c>
      <c r="C15" s="791"/>
      <c r="D15" s="791"/>
      <c r="E15" s="791"/>
      <c r="F15" s="791"/>
      <c r="G15" s="788"/>
      <c r="H15" s="789">
        <f>SUM(H13:H14)</f>
        <v>279.60000000000002</v>
      </c>
    </row>
    <row r="16" spans="2:8" ht="50.1" customHeight="1" thickBot="1" x14ac:dyDescent="0.3">
      <c r="B16" s="1468" t="s">
        <v>776</v>
      </c>
      <c r="C16" s="1469"/>
      <c r="D16" s="1469"/>
      <c r="E16" s="1469"/>
      <c r="F16" s="1469"/>
      <c r="G16" s="1469"/>
      <c r="H16" s="1470"/>
    </row>
    <row r="17" spans="2:11" ht="50.1" customHeight="1" x14ac:dyDescent="0.25">
      <c r="B17" s="795" t="s">
        <v>263</v>
      </c>
      <c r="C17" s="784"/>
      <c r="D17" s="783" t="s">
        <v>257</v>
      </c>
      <c r="E17" s="784">
        <v>1.1000000000000001</v>
      </c>
      <c r="F17" s="784" t="s">
        <v>40</v>
      </c>
      <c r="G17" s="784">
        <v>22</v>
      </c>
      <c r="H17" s="785">
        <f>E17*G17</f>
        <v>24.200000000000003</v>
      </c>
      <c r="I17" s="800"/>
    </row>
    <row r="18" spans="2:11" ht="50.1" customHeight="1" x14ac:dyDescent="0.25">
      <c r="B18" s="797" t="s">
        <v>261</v>
      </c>
      <c r="C18" s="798"/>
      <c r="D18" s="798" t="s">
        <v>257</v>
      </c>
      <c r="E18" s="798">
        <v>2.92</v>
      </c>
      <c r="F18" s="798">
        <v>1.45</v>
      </c>
      <c r="G18" s="798">
        <v>16</v>
      </c>
      <c r="H18" s="799">
        <f>E18*G18</f>
        <v>46.72</v>
      </c>
      <c r="I18" s="800"/>
    </row>
    <row r="19" spans="2:11" ht="40.5" customHeight="1" thickBot="1" x14ac:dyDescent="0.3">
      <c r="B19" s="801" t="s">
        <v>34</v>
      </c>
      <c r="C19" s="802"/>
      <c r="D19" s="802"/>
      <c r="E19" s="802"/>
      <c r="F19" s="802"/>
      <c r="G19" s="802"/>
      <c r="H19" s="789">
        <f>SUM(H17:H18)</f>
        <v>70.92</v>
      </c>
      <c r="I19" s="803"/>
    </row>
    <row r="20" spans="2:11" ht="40.5" customHeight="1" thickBot="1" x14ac:dyDescent="0.3">
      <c r="B20" s="1450" t="s">
        <v>777</v>
      </c>
      <c r="C20" s="1451"/>
      <c r="D20" s="1451"/>
      <c r="E20" s="1451"/>
      <c r="F20" s="1451"/>
      <c r="G20" s="1451"/>
      <c r="H20" s="1452"/>
      <c r="I20" s="804"/>
    </row>
    <row r="21" spans="2:11" ht="40.5" customHeight="1" thickBot="1" x14ac:dyDescent="0.3">
      <c r="B21" s="778" t="s">
        <v>156</v>
      </c>
      <c r="C21" s="779" t="s">
        <v>264</v>
      </c>
      <c r="D21" s="779" t="s">
        <v>265</v>
      </c>
      <c r="E21" s="779" t="s">
        <v>266</v>
      </c>
      <c r="F21" s="779" t="s">
        <v>267</v>
      </c>
      <c r="G21" s="779" t="s">
        <v>268</v>
      </c>
      <c r="H21" s="780" t="s">
        <v>256</v>
      </c>
      <c r="I21" s="804"/>
    </row>
    <row r="22" spans="2:11" ht="55.5" customHeight="1" x14ac:dyDescent="0.25">
      <c r="B22" s="805" t="s">
        <v>261</v>
      </c>
      <c r="C22" s="783"/>
      <c r="D22" s="783" t="s">
        <v>269</v>
      </c>
      <c r="E22" s="783" t="s">
        <v>778</v>
      </c>
      <c r="F22" s="783">
        <v>16</v>
      </c>
      <c r="G22" s="783">
        <v>0.59</v>
      </c>
      <c r="H22" s="785">
        <f>G22*F22</f>
        <v>9.44</v>
      </c>
      <c r="I22" s="804"/>
    </row>
    <row r="23" spans="2:11" ht="40.5" customHeight="1" x14ac:dyDescent="0.25">
      <c r="B23" s="797" t="s">
        <v>270</v>
      </c>
      <c r="C23" s="798"/>
      <c r="D23" s="798" t="s">
        <v>271</v>
      </c>
      <c r="E23" s="798" t="s">
        <v>779</v>
      </c>
      <c r="F23" s="798">
        <v>12</v>
      </c>
      <c r="G23" s="798">
        <v>0.36</v>
      </c>
      <c r="H23" s="799">
        <f>G23*F23</f>
        <v>4.32</v>
      </c>
      <c r="I23" s="804"/>
    </row>
    <row r="24" spans="2:11" ht="40.5" customHeight="1" thickBot="1" x14ac:dyDescent="0.3">
      <c r="B24" s="806" t="s">
        <v>34</v>
      </c>
      <c r="C24" s="807"/>
      <c r="D24" s="807"/>
      <c r="E24" s="807"/>
      <c r="F24" s="808">
        <f>SUM(F22:F23)</f>
        <v>28</v>
      </c>
      <c r="G24" s="807"/>
      <c r="H24" s="809"/>
      <c r="I24" s="804"/>
    </row>
    <row r="25" spans="2:11" ht="40.5" hidden="1" customHeight="1" x14ac:dyDescent="0.25">
      <c r="B25" s="1453" t="s">
        <v>152</v>
      </c>
      <c r="C25" s="1454"/>
      <c r="D25" s="1454"/>
      <c r="E25" s="1454"/>
      <c r="F25" s="1454"/>
      <c r="G25" s="1454"/>
      <c r="H25" s="1455"/>
      <c r="I25" s="804"/>
    </row>
    <row r="26" spans="2:11" ht="40.5" hidden="1" customHeight="1" x14ac:dyDescent="0.25">
      <c r="B26" s="810" t="s">
        <v>156</v>
      </c>
      <c r="C26" s="811" t="s">
        <v>264</v>
      </c>
      <c r="D26" s="811" t="s">
        <v>266</v>
      </c>
      <c r="E26" s="811" t="s">
        <v>267</v>
      </c>
      <c r="F26" s="811" t="s">
        <v>272</v>
      </c>
      <c r="G26" s="811" t="s">
        <v>268</v>
      </c>
      <c r="H26" s="812" t="s">
        <v>256</v>
      </c>
      <c r="I26" s="804"/>
    </row>
    <row r="27" spans="2:11" ht="40.5" hidden="1" customHeight="1" thickBot="1" x14ac:dyDescent="0.3">
      <c r="B27" s="813" t="s">
        <v>273</v>
      </c>
      <c r="C27" s="814"/>
      <c r="D27" s="814" t="s">
        <v>780</v>
      </c>
      <c r="E27" s="808">
        <v>0</v>
      </c>
      <c r="F27" s="814">
        <v>0</v>
      </c>
      <c r="G27" s="815">
        <f>0.45*0.25</f>
        <v>0.1125</v>
      </c>
      <c r="H27" s="816">
        <f>+E27*G27</f>
        <v>0</v>
      </c>
      <c r="I27" s="804"/>
    </row>
    <row r="28" spans="2:11" ht="40.5" customHeight="1" thickBot="1" x14ac:dyDescent="0.3">
      <c r="B28" s="1456" t="s">
        <v>152</v>
      </c>
      <c r="C28" s="1457"/>
      <c r="D28" s="1457"/>
      <c r="E28" s="1457"/>
      <c r="F28" s="1457"/>
      <c r="G28" s="1457"/>
      <c r="H28" s="1458"/>
      <c r="K28" s="820" t="s">
        <v>781</v>
      </c>
    </row>
    <row r="29" spans="2:11" ht="40.5" customHeight="1" thickBot="1" x14ac:dyDescent="0.3">
      <c r="B29" s="817" t="s">
        <v>156</v>
      </c>
      <c r="C29" s="818" t="s">
        <v>264</v>
      </c>
      <c r="D29" s="818" t="s">
        <v>266</v>
      </c>
      <c r="E29" s="818" t="s">
        <v>267</v>
      </c>
      <c r="F29" s="818" t="s">
        <v>272</v>
      </c>
      <c r="G29" s="818" t="s">
        <v>268</v>
      </c>
      <c r="H29" s="819" t="s">
        <v>256</v>
      </c>
    </row>
    <row r="30" spans="2:11" ht="40.5" customHeight="1" thickBot="1" x14ac:dyDescent="0.3">
      <c r="B30" s="821" t="s">
        <v>273</v>
      </c>
      <c r="C30" s="822"/>
      <c r="D30" s="822" t="s">
        <v>780</v>
      </c>
      <c r="E30" s="823">
        <v>8</v>
      </c>
      <c r="F30" s="823">
        <f>E30/2</f>
        <v>4</v>
      </c>
      <c r="G30" s="824">
        <f>0.45*0.25</f>
        <v>0.1125</v>
      </c>
      <c r="H30" s="825">
        <f>+E30*G30</f>
        <v>0.9</v>
      </c>
    </row>
  </sheetData>
  <mergeCells count="9">
    <mergeCell ref="B20:H20"/>
    <mergeCell ref="B25:H25"/>
    <mergeCell ref="B28:H28"/>
    <mergeCell ref="B2:H2"/>
    <mergeCell ref="B4:H4"/>
    <mergeCell ref="B5:H5"/>
    <mergeCell ref="B10:H10"/>
    <mergeCell ref="B11:H11"/>
    <mergeCell ref="B16:H16"/>
  </mergeCells>
  <printOptions horizontalCentered="1"/>
  <pageMargins left="0.51181102362204722" right="0.51181102362204722" top="0.98425196850393704" bottom="0.98425196850393704" header="0.31496062992125984" footer="0.51181102362204722"/>
  <pageSetup paperSize="9" scale="57" fitToHeight="0" orientation="portrait" r:id="rId1"/>
  <headerFooter>
    <oddHeader>&amp;L&amp;G&amp;R&amp;G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22</vt:i4>
      </vt:variant>
    </vt:vector>
  </HeadingPairs>
  <TitlesOfParts>
    <vt:vector size="41" baseType="lpstr">
      <vt:lpstr>DMT</vt:lpstr>
      <vt:lpstr>MAT BET</vt:lpstr>
      <vt:lpstr>GRELHA</vt:lpstr>
      <vt:lpstr>PRELIMINARES - JDML+JDA-E2</vt:lpstr>
      <vt:lpstr>DEMOLIÇÃO - JDML</vt:lpstr>
      <vt:lpstr>COORD RETIRADAS</vt:lpstr>
      <vt:lpstr>DRENO - JDA-E2</vt:lpstr>
      <vt:lpstr>DRENAGEM - JDML</vt:lpstr>
      <vt:lpstr>DRENAGEM - JDA-E2</vt:lpstr>
      <vt:lpstr>DISP. DRENAGEM - JDML</vt:lpstr>
      <vt:lpstr>DISP. DRENAGEM - JDA-E2</vt:lpstr>
      <vt:lpstr>REMENDO - JDML</vt:lpstr>
      <vt:lpstr>RECAPEAMENTO - JDML</vt:lpstr>
      <vt:lpstr>PAVIMENTAÇÃO - JDML</vt:lpstr>
      <vt:lpstr>PAVIMENTAÇÃO - JDA-E2</vt:lpstr>
      <vt:lpstr>CALÇADA E ACESS. - JDML</vt:lpstr>
      <vt:lpstr>CALÇADA - JDA-E2</vt:lpstr>
      <vt:lpstr>SINALIZAÇÃO - JDML</vt:lpstr>
      <vt:lpstr>SINALIZAÇÃO - JDA-E2</vt:lpstr>
      <vt:lpstr>'CALÇADA - JDA-E2'!Area_de_impressao</vt:lpstr>
      <vt:lpstr>'CALÇADA E ACESS. - JDML'!Area_de_impressao</vt:lpstr>
      <vt:lpstr>'COORD RETIRADAS'!Area_de_impressao</vt:lpstr>
      <vt:lpstr>'DEMOLIÇÃO - JDML'!Area_de_impressao</vt:lpstr>
      <vt:lpstr>'DISP. DRENAGEM - JDA-E2'!Area_de_impressao</vt:lpstr>
      <vt:lpstr>'DISP. DRENAGEM - JDML'!Area_de_impressao</vt:lpstr>
      <vt:lpstr>DMT!Area_de_impressao</vt:lpstr>
      <vt:lpstr>'DRENAGEM - JDA-E2'!Area_de_impressao</vt:lpstr>
      <vt:lpstr>'DRENAGEM - JDML'!Area_de_impressao</vt:lpstr>
      <vt:lpstr>'DRENO - JDA-E2'!Area_de_impressao</vt:lpstr>
      <vt:lpstr>GRELHA!Area_de_impressao</vt:lpstr>
      <vt:lpstr>'MAT BET'!Area_de_impressao</vt:lpstr>
      <vt:lpstr>'PAVIMENTAÇÃO - JDML'!Area_de_impressao</vt:lpstr>
      <vt:lpstr>'PRELIMINARES - JDML+JDA-E2'!Area_de_impressao</vt:lpstr>
      <vt:lpstr>'RECAPEAMENTO - JDML'!Area_de_impressao</vt:lpstr>
      <vt:lpstr>'REMENDO - JDML'!Area_de_impressao</vt:lpstr>
      <vt:lpstr>'SINALIZAÇÃO - JDA-E2'!Area_de_impressao</vt:lpstr>
      <vt:lpstr>'SINALIZAÇÃO - JDML'!Area_de_impressao</vt:lpstr>
      <vt:lpstr>'CALÇADA E ACESS. - JDML'!Titulos_de_impressao</vt:lpstr>
      <vt:lpstr>'DISP. DRENAGEM - JDML'!Titulos_de_impressao</vt:lpstr>
      <vt:lpstr>'DRENAGEM - JDA-E2'!Titulos_de_impressao</vt:lpstr>
      <vt:lpstr>'DRENAGEM - JDML'!Titulos_de_impressao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Juliana Honorato</cp:lastModifiedBy>
  <cp:lastPrinted>2026-02-12T22:39:04Z</cp:lastPrinted>
  <dcterms:created xsi:type="dcterms:W3CDTF">2019-05-27T20:12:35Z</dcterms:created>
  <dcterms:modified xsi:type="dcterms:W3CDTF">2026-04-06T21:29:22Z</dcterms:modified>
</cp:coreProperties>
</file>