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chartsheets/sheet1.xml" ContentType="application/vnd.openxmlformats-officedocument.spreadsheetml.chart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omments1.xml" ContentType="application/vnd.openxmlformats-officedocument.spreadsheetml.comments+xml"/>
  <Override PartName="/xl/drawings/drawing2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_de_trabalho" defaultThemeVersion="164011"/>
  <mc:AlternateContent xmlns:mc="http://schemas.openxmlformats.org/markup-compatibility/2006">
    <mc:Choice Requires="x15">
      <x15ac:absPath xmlns:x15ac="http://schemas.microsoft.com/office/spreadsheetml/2010/11/ac" url="\\s1210.ms\SETORES\CTA\1. NOVO\2.PROCESSOS\PROCESSOS 2025\79.010.182-2025 - Contratação de projeto executivo de engenharia para restauração e ampliação do Aeródromo de Nova Andradina - SDK7\Orçamento\"/>
    </mc:Choice>
  </mc:AlternateContent>
  <bookViews>
    <workbookView xWindow="0" yWindow="0" windowWidth="15300" windowHeight="7260" tabRatio="947" activeTab="2"/>
  </bookViews>
  <sheets>
    <sheet name="Sumario" sheetId="2" r:id="rId1"/>
    <sheet name="Qd abrang" sheetId="1" r:id="rId2"/>
    <sheet name="Orcamento" sheetId="24" r:id="rId3"/>
    <sheet name="Graf crono fisico" sheetId="27" r:id="rId4"/>
    <sheet name="Crono medicoes" sheetId="38" r:id="rId5"/>
    <sheet name="Custos proj" sheetId="15" r:id="rId6"/>
    <sheet name="MO" sheetId="11" r:id="rId7"/>
    <sheet name="Veículos" sheetId="13" r:id="rId8"/>
    <sheet name="Equip + materiais" sheetId="17" r:id="rId9"/>
    <sheet name="Diárias + passagens" sheetId="16" r:id="rId10"/>
    <sheet name="Mob desmob MO" sheetId="18" r:id="rId11"/>
    <sheet name="Mob desmob equip rod" sheetId="14" r:id="rId12"/>
    <sheet name="Inst + diversos" sheetId="22" r:id="rId13"/>
    <sheet name="BDI OK" sheetId="35" r:id="rId14"/>
    <sheet name="Serv graf" sheetId="23" r:id="rId15"/>
    <sheet name="Produtividade" sheetId="6" r:id="rId16"/>
    <sheet name="Carac trecho" sheetId="29" r:id="rId17"/>
    <sheet name="Memo calc" sheetId="10" r:id="rId18"/>
    <sheet name="Crono fisico" sheetId="20" r:id="rId19"/>
    <sheet name="Histo esc" sheetId="19" r:id="rId20"/>
    <sheet name="Histo resid" sheetId="21" r:id="rId21"/>
    <sheet name="Listas" sheetId="7" r:id="rId22"/>
    <sheet name="Lista MO" sheetId="3" r:id="rId23"/>
    <sheet name="Lista veiculo+equip+mat" sheetId="4" r:id="rId24"/>
    <sheet name="Imóveis-Mobiliários-Cestas-Dive" sheetId="30" r:id="rId25"/>
    <sheet name="BDI" sheetId="31" r:id="rId26"/>
    <sheet name="Sudecap" sheetId="32" r:id="rId27"/>
    <sheet name="Curva ABC Serviços" sheetId="36" r:id="rId28"/>
    <sheet name="Curva ABC MO" sheetId="37" r:id="rId29"/>
    <sheet name="Edital DNIT 311-19 (Conj VDR)" sheetId="39" r:id="rId30"/>
    <sheet name="Edital DNIT 311-19 (Custo VDR)" sheetId="40" r:id="rId31"/>
  </sheets>
  <externalReferences>
    <externalReference r:id="rId32"/>
    <externalReference r:id="rId33"/>
  </externalReferences>
  <definedNames>
    <definedName name="_xlnm.Print_Area" localSheetId="13">'BDI OK'!$A$1:$G$29</definedName>
    <definedName name="_xlnm.Print_Area" localSheetId="16">'Carac trecho'!$A$1:$M$93</definedName>
    <definedName name="_xlnm.Print_Area" localSheetId="4">'Crono medicoes'!$A$1:$R$27</definedName>
    <definedName name="_xlnm.Print_Area" localSheetId="28">'Curva ABC MO'!$A$1:$N$39</definedName>
    <definedName name="_xlnm.Print_Area" localSheetId="27">'Curva ABC Serviços'!$A$1:$H$53</definedName>
    <definedName name="_xlnm.Print_Area" localSheetId="5">'Custos proj'!$A$1:$V$43</definedName>
    <definedName name="_xlnm.Print_Area" localSheetId="9">'Diárias + passagens'!$A$1:$M$81</definedName>
    <definedName name="_xlnm.Print_Area" localSheetId="8">'Equip + materiais'!$A$1:$L$35</definedName>
    <definedName name="_xlnm.Print_Area" localSheetId="12">'Inst + diversos'!$A$1:$N$44</definedName>
    <definedName name="_xlnm.Print_Area" localSheetId="22">'Lista MO'!$A$1:$E$104</definedName>
    <definedName name="_xlnm.Print_Area" localSheetId="6">MO!$A$1:$N$135</definedName>
    <definedName name="_xlnm.Print_Area" localSheetId="11">'Mob desmob equip rod'!$A$1:$R$65</definedName>
    <definedName name="_xlnm.Print_Area" localSheetId="10">'Mob desmob MO'!$A$1:$P$61</definedName>
    <definedName name="_xlnm.Print_Area" localSheetId="2">Orcamento!$A$1:$H$63</definedName>
    <definedName name="_xlnm.Print_Area" localSheetId="15">Produtividade!$A$1:$H$33</definedName>
    <definedName name="_xlnm.Print_Area" localSheetId="1">'Qd abrang'!$A$1:$AC$22</definedName>
    <definedName name="_xlnm.Print_Area" localSheetId="14">'Serv graf'!$A$1:$J$26</definedName>
    <definedName name="_xlnm.Print_Area" localSheetId="0">Sumario!$A$1:$J$36</definedName>
    <definedName name="_xlnm.Print_Area" localSheetId="7">Veículos!$A$1:$J$30</definedName>
    <definedName name="MO_2">OFFSET('[1]Lista MO'!$A$2,0,0,COUNTA('[1]Lista MO'!$A:$A)-1,5)</definedName>
    <definedName name="MO_Matriz">OFFSET('Lista MO'!$A$2,0,0,COUNTA('Lista MO'!$A:$A)-1,5)</definedName>
    <definedName name="_xlnm.Print_Titles" localSheetId="28">'Curva ABC MO'!$1:$13</definedName>
    <definedName name="_xlnm.Print_Titles" localSheetId="17">'Memo calc'!$1:$16</definedName>
    <definedName name="_xlnm.Print_Titles" localSheetId="6">MO!$1:$13</definedName>
    <definedName name="Veiculo_Equip_Matriz">OFFSET('Lista veiculo+equip+mat'!$B$2,0,0,COUNTA('Lista veiculo+equip+mat'!$B:$B)-1,10)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4" i="37" l="1"/>
  <c r="H24" i="37"/>
  <c r="G24" i="37"/>
  <c r="F24" i="37"/>
  <c r="E24" i="37"/>
  <c r="B24" i="37"/>
  <c r="D24" i="37" s="1"/>
  <c r="C24" i="37" l="1"/>
  <c r="H32" i="37"/>
  <c r="G32" i="37"/>
  <c r="F32" i="37"/>
  <c r="E32" i="37"/>
  <c r="I58" i="11"/>
  <c r="I59" i="11"/>
  <c r="I61" i="11"/>
  <c r="I62" i="11"/>
  <c r="I64" i="11"/>
  <c r="I65" i="11"/>
  <c r="I66" i="11"/>
  <c r="I68" i="11"/>
  <c r="I69" i="11"/>
  <c r="I70" i="11"/>
  <c r="I71" i="11"/>
  <c r="I72" i="11"/>
  <c r="C480" i="10"/>
  <c r="C479" i="10"/>
  <c r="C471" i="10"/>
  <c r="C470" i="10"/>
  <c r="C460" i="10"/>
  <c r="C459" i="10"/>
  <c r="B55" i="11"/>
  <c r="B56" i="11"/>
  <c r="B58" i="11"/>
  <c r="B59" i="11"/>
  <c r="B61" i="11"/>
  <c r="B62" i="11"/>
  <c r="B64" i="11"/>
  <c r="B65" i="11"/>
  <c r="B66" i="11"/>
  <c r="B68" i="11"/>
  <c r="B69" i="11"/>
  <c r="B70" i="11"/>
  <c r="B71" i="11"/>
  <c r="B32" i="37" s="1"/>
  <c r="B72" i="11"/>
  <c r="D32" i="37" l="1"/>
  <c r="C32" i="37"/>
  <c r="K32" i="37"/>
  <c r="H25" i="37" l="1"/>
  <c r="H18" i="37"/>
  <c r="H17" i="37"/>
  <c r="I14" i="37"/>
  <c r="H14" i="37"/>
  <c r="H15" i="37"/>
  <c r="O29" i="14" l="1"/>
  <c r="J29" i="14"/>
  <c r="I29" i="14"/>
  <c r="E29" i="14"/>
  <c r="B29" i="14"/>
  <c r="C29" i="14" s="1"/>
  <c r="D29" i="14" s="1"/>
  <c r="O27" i="14"/>
  <c r="J27" i="14"/>
  <c r="I27" i="14"/>
  <c r="E27" i="14"/>
  <c r="B27" i="14"/>
  <c r="C27" i="14" s="1"/>
  <c r="D27" i="14" s="1"/>
  <c r="O25" i="14"/>
  <c r="P25" i="14"/>
  <c r="J25" i="14"/>
  <c r="I25" i="14"/>
  <c r="E25" i="14"/>
  <c r="B25" i="14"/>
  <c r="P29" i="14"/>
  <c r="P27" i="14"/>
  <c r="C25" i="14"/>
  <c r="D25" i="14" s="1"/>
  <c r="P23" i="14"/>
  <c r="P21" i="14"/>
  <c r="P19" i="14" l="1"/>
  <c r="B20" i="18"/>
  <c r="L16" i="18" l="1"/>
  <c r="M16" i="18" s="1"/>
  <c r="H16" i="18"/>
  <c r="F16" i="18"/>
  <c r="B16" i="18"/>
  <c r="E16" i="18" s="1"/>
  <c r="L32" i="16"/>
  <c r="L30" i="16"/>
  <c r="L28" i="16"/>
  <c r="G33" i="16"/>
  <c r="H33" i="16" s="1"/>
  <c r="L33" i="16" s="1"/>
  <c r="F33" i="16"/>
  <c r="B33" i="16"/>
  <c r="G31" i="16"/>
  <c r="F31" i="16"/>
  <c r="H31" i="16" s="1"/>
  <c r="L31" i="16" s="1"/>
  <c r="B31" i="16"/>
  <c r="K33" i="16"/>
  <c r="K31" i="16"/>
  <c r="G29" i="16"/>
  <c r="F29" i="16"/>
  <c r="H29" i="16" s="1"/>
  <c r="E29" i="16"/>
  <c r="C29" i="16"/>
  <c r="D29" i="16" s="1"/>
  <c r="B29" i="16"/>
  <c r="G27" i="16"/>
  <c r="E27" i="16"/>
  <c r="C27" i="16"/>
  <c r="B27" i="16"/>
  <c r="K29" i="16"/>
  <c r="K27" i="16"/>
  <c r="C16" i="18" l="1"/>
  <c r="D16" i="18" s="1"/>
  <c r="L29" i="16"/>
  <c r="D27" i="16"/>
  <c r="G31" i="17" l="1"/>
  <c r="G30" i="17"/>
  <c r="B31" i="17"/>
  <c r="B30" i="17"/>
  <c r="I27" i="17"/>
  <c r="H27" i="17"/>
  <c r="G28" i="17"/>
  <c r="G27" i="17"/>
  <c r="F27" i="17"/>
  <c r="C27" i="17"/>
  <c r="D27" i="17" s="1"/>
  <c r="B28" i="17"/>
  <c r="B27" i="17"/>
  <c r="G25" i="17"/>
  <c r="C25" i="17"/>
  <c r="G23" i="17"/>
  <c r="J27" i="17"/>
  <c r="F23" i="17"/>
  <c r="C23" i="17"/>
  <c r="D23" i="17" s="1"/>
  <c r="F16" i="13"/>
  <c r="G1088" i="10"/>
  <c r="D1076" i="10"/>
  <c r="E28" i="13"/>
  <c r="G20" i="6"/>
  <c r="F833" i="10" s="1"/>
  <c r="H833" i="10" s="1"/>
  <c r="F20" i="6"/>
  <c r="F805" i="10"/>
  <c r="G802" i="10"/>
  <c r="F802" i="10"/>
  <c r="E785" i="10"/>
  <c r="E786" i="10" s="1"/>
  <c r="B783" i="10"/>
  <c r="H751" i="10"/>
  <c r="H750" i="10"/>
  <c r="H749" i="10"/>
  <c r="E716" i="10"/>
  <c r="B714" i="10"/>
  <c r="I709" i="10"/>
  <c r="E690" i="10"/>
  <c r="B688" i="10"/>
  <c r="J682" i="10"/>
  <c r="C682" i="10"/>
  <c r="H655" i="10"/>
  <c r="H654" i="10"/>
  <c r="E614" i="10"/>
  <c r="B612" i="10"/>
  <c r="H548" i="10"/>
  <c r="H547" i="10"/>
  <c r="I607" i="10"/>
  <c r="B586" i="10"/>
  <c r="E588" i="10"/>
  <c r="E519" i="10"/>
  <c r="E493" i="10"/>
  <c r="B517" i="10"/>
  <c r="B491" i="10"/>
  <c r="I29" i="40"/>
  <c r="I28" i="40"/>
  <c r="E28" i="40" s="1"/>
  <c r="I27" i="40"/>
  <c r="E27" i="40" s="1"/>
  <c r="B7" i="40"/>
  <c r="B15" i="40" s="1"/>
  <c r="F11" i="39"/>
  <c r="H11" i="39" s="1"/>
  <c r="C11" i="39"/>
  <c r="D9" i="39"/>
  <c r="F9" i="39" s="1"/>
  <c r="H9" i="39" s="1"/>
  <c r="C9" i="39"/>
  <c r="E7" i="39"/>
  <c r="D7" i="39"/>
  <c r="C7" i="39"/>
  <c r="F7" i="39" s="1"/>
  <c r="H7" i="39" s="1"/>
  <c r="I7" i="39" s="1"/>
  <c r="G574" i="10"/>
  <c r="G575" i="10"/>
  <c r="C539" i="10"/>
  <c r="F553" i="10"/>
  <c r="E26" i="13"/>
  <c r="I512" i="10"/>
  <c r="E24" i="13"/>
  <c r="G465" i="10"/>
  <c r="H28" i="13"/>
  <c r="H26" i="13"/>
  <c r="C28" i="13"/>
  <c r="D28" i="13" s="1"/>
  <c r="C26" i="13"/>
  <c r="D26" i="13" s="1"/>
  <c r="H24" i="13"/>
  <c r="C24" i="13"/>
  <c r="D24" i="13" s="1"/>
  <c r="H72" i="11"/>
  <c r="G72" i="11"/>
  <c r="F72" i="11"/>
  <c r="L72" i="11"/>
  <c r="H71" i="11"/>
  <c r="G71" i="11"/>
  <c r="F71" i="11"/>
  <c r="E71" i="11"/>
  <c r="H70" i="11"/>
  <c r="G70" i="11"/>
  <c r="F70" i="11"/>
  <c r="E70" i="11"/>
  <c r="H69" i="11"/>
  <c r="G69" i="11"/>
  <c r="F69" i="11"/>
  <c r="L69" i="11"/>
  <c r="H68" i="11"/>
  <c r="G68" i="11"/>
  <c r="F68" i="11"/>
  <c r="L68" i="11"/>
  <c r="H66" i="11"/>
  <c r="G66" i="11"/>
  <c r="F66" i="11"/>
  <c r="L66" i="11"/>
  <c r="H65" i="11"/>
  <c r="G65" i="11"/>
  <c r="F65" i="11"/>
  <c r="C65" i="11"/>
  <c r="D65" i="11" s="1"/>
  <c r="H64" i="11"/>
  <c r="G64" i="11"/>
  <c r="F64" i="11"/>
  <c r="E64" i="11"/>
  <c r="H62" i="11"/>
  <c r="G62" i="11"/>
  <c r="F62" i="11"/>
  <c r="L62" i="11"/>
  <c r="H61" i="11"/>
  <c r="G61" i="11"/>
  <c r="F61" i="11"/>
  <c r="E61" i="11"/>
  <c r="H59" i="11"/>
  <c r="G59" i="11"/>
  <c r="F59" i="11"/>
  <c r="L59" i="11"/>
  <c r="H58" i="11"/>
  <c r="G58" i="11"/>
  <c r="F58" i="11"/>
  <c r="C58" i="11"/>
  <c r="D58" i="11" s="1"/>
  <c r="H56" i="11"/>
  <c r="G56" i="11"/>
  <c r="F56" i="11"/>
  <c r="E56" i="11"/>
  <c r="H55" i="11"/>
  <c r="G55" i="11"/>
  <c r="F55" i="11"/>
  <c r="C55" i="11"/>
  <c r="D55" i="11" s="1"/>
  <c r="H460" i="10"/>
  <c r="H459" i="10"/>
  <c r="T845" i="10"/>
  <c r="L845" i="10"/>
  <c r="F845" i="10"/>
  <c r="C845" i="10"/>
  <c r="T844" i="10"/>
  <c r="L844" i="10"/>
  <c r="F844" i="10"/>
  <c r="C844" i="10"/>
  <c r="T843" i="10"/>
  <c r="L843" i="10"/>
  <c r="F843" i="10"/>
  <c r="C843" i="10"/>
  <c r="T842" i="10"/>
  <c r="L842" i="10"/>
  <c r="F842" i="10"/>
  <c r="C842" i="10"/>
  <c r="T841" i="10"/>
  <c r="L841" i="10"/>
  <c r="F841" i="10"/>
  <c r="C841" i="10"/>
  <c r="F817" i="10"/>
  <c r="F809" i="10"/>
  <c r="C809" i="10"/>
  <c r="G804" i="10"/>
  <c r="F804" i="10"/>
  <c r="G801" i="10"/>
  <c r="G803" i="10" s="1"/>
  <c r="F801" i="10"/>
  <c r="H798" i="10"/>
  <c r="B798" i="10"/>
  <c r="F791" i="10"/>
  <c r="E33" i="16" s="1"/>
  <c r="C791" i="10"/>
  <c r="C33" i="16" s="1"/>
  <c r="G778" i="10"/>
  <c r="F31" i="17" s="1"/>
  <c r="C778" i="10"/>
  <c r="C31" i="17" s="1"/>
  <c r="I777" i="10"/>
  <c r="I778" i="10" s="1"/>
  <c r="G777" i="10"/>
  <c r="F30" i="17" s="1"/>
  <c r="C777" i="10"/>
  <c r="C30" i="17" s="1"/>
  <c r="F771" i="10"/>
  <c r="C771" i="10"/>
  <c r="F770" i="10"/>
  <c r="C770" i="10"/>
  <c r="F769" i="10"/>
  <c r="C769" i="10"/>
  <c r="F762" i="10"/>
  <c r="C762" i="10"/>
  <c r="F761" i="10"/>
  <c r="C761" i="10"/>
  <c r="F760" i="10"/>
  <c r="C760" i="10"/>
  <c r="T751" i="10"/>
  <c r="L751" i="10"/>
  <c r="F751" i="10"/>
  <c r="C751" i="10"/>
  <c r="T750" i="10"/>
  <c r="L750" i="10"/>
  <c r="J761" i="10"/>
  <c r="F750" i="10"/>
  <c r="C750" i="10"/>
  <c r="T749" i="10"/>
  <c r="L749" i="10"/>
  <c r="F749" i="10"/>
  <c r="C749" i="10"/>
  <c r="R722" i="10"/>
  <c r="T722" i="10" s="1"/>
  <c r="K29" i="14" s="1"/>
  <c r="G722" i="10"/>
  <c r="AC722" i="10" s="1"/>
  <c r="C722" i="10"/>
  <c r="E717" i="10"/>
  <c r="I711" i="10"/>
  <c r="G711" i="10"/>
  <c r="I710" i="10"/>
  <c r="G710" i="10"/>
  <c r="G709" i="10"/>
  <c r="F696" i="10"/>
  <c r="E31" i="16" s="1"/>
  <c r="C696" i="10"/>
  <c r="C31" i="16" s="1"/>
  <c r="E691" i="10"/>
  <c r="J683" i="10"/>
  <c r="F28" i="17" s="1"/>
  <c r="C683" i="10"/>
  <c r="C28" i="17" s="1"/>
  <c r="M682" i="10"/>
  <c r="J676" i="10"/>
  <c r="F676" i="10"/>
  <c r="F675" i="10"/>
  <c r="C675" i="10"/>
  <c r="F674" i="10"/>
  <c r="C674" i="10"/>
  <c r="F667" i="10"/>
  <c r="F666" i="10"/>
  <c r="C666" i="10"/>
  <c r="F665" i="10"/>
  <c r="C665" i="10"/>
  <c r="I660" i="10"/>
  <c r="C660" i="10"/>
  <c r="T655" i="10"/>
  <c r="L655" i="10"/>
  <c r="F655" i="10"/>
  <c r="C655" i="10"/>
  <c r="T654" i="10"/>
  <c r="L654" i="10"/>
  <c r="J674" i="10"/>
  <c r="F654" i="10"/>
  <c r="C654" i="10"/>
  <c r="F634" i="10"/>
  <c r="H639" i="10" s="1"/>
  <c r="L639" i="10" s="1"/>
  <c r="E877" i="10"/>
  <c r="G877" i="10" s="1"/>
  <c r="E878" i="10"/>
  <c r="J878" i="10"/>
  <c r="N878" i="10"/>
  <c r="P878" i="10"/>
  <c r="E879" i="10"/>
  <c r="G879" i="10" s="1"/>
  <c r="R620" i="10"/>
  <c r="T620" i="10" s="1"/>
  <c r="K27" i="14" s="1"/>
  <c r="C620" i="10"/>
  <c r="E615" i="10"/>
  <c r="I609" i="10"/>
  <c r="G609" i="10"/>
  <c r="I608" i="10"/>
  <c r="G608" i="10"/>
  <c r="G607" i="10"/>
  <c r="E589" i="10"/>
  <c r="I582" i="10"/>
  <c r="C568" i="10"/>
  <c r="B568" i="10"/>
  <c r="F568" i="10" s="1"/>
  <c r="J567" i="10"/>
  <c r="J570" i="10" s="1"/>
  <c r="B567" i="10"/>
  <c r="F567" i="10" s="1"/>
  <c r="J561" i="10"/>
  <c r="B559" i="10"/>
  <c r="F559" i="10" s="1"/>
  <c r="B558" i="10"/>
  <c r="F558" i="10" s="1"/>
  <c r="I553" i="10"/>
  <c r="G620" i="10"/>
  <c r="C553" i="10"/>
  <c r="T548" i="10"/>
  <c r="L548" i="10"/>
  <c r="F548" i="10"/>
  <c r="C548" i="10"/>
  <c r="T547" i="10"/>
  <c r="L547" i="10"/>
  <c r="F547" i="10"/>
  <c r="C547" i="10"/>
  <c r="F539" i="10"/>
  <c r="F541" i="10" s="1"/>
  <c r="R525" i="10"/>
  <c r="T525" i="10" s="1"/>
  <c r="K25" i="14" s="1"/>
  <c r="G525" i="10"/>
  <c r="AC525" i="10" s="1"/>
  <c r="C525" i="10"/>
  <c r="E520" i="10"/>
  <c r="I514" i="10"/>
  <c r="G514" i="10"/>
  <c r="I513" i="10"/>
  <c r="G513" i="10"/>
  <c r="G512" i="10"/>
  <c r="E494" i="10"/>
  <c r="O487" i="10"/>
  <c r="M487" i="10"/>
  <c r="C487" i="10"/>
  <c r="B480" i="10"/>
  <c r="K479" i="10"/>
  <c r="K482" i="10" s="1"/>
  <c r="B479" i="10"/>
  <c r="G479" i="10" s="1"/>
  <c r="K473" i="10"/>
  <c r="B471" i="10"/>
  <c r="G471" i="10" s="1"/>
  <c r="B470" i="10"/>
  <c r="G470" i="10" s="1"/>
  <c r="J465" i="10"/>
  <c r="C465" i="10"/>
  <c r="L460" i="10"/>
  <c r="F460" i="10"/>
  <c r="L459" i="10"/>
  <c r="F459" i="10"/>
  <c r="D451" i="10"/>
  <c r="G451" i="10" s="1"/>
  <c r="B17" i="40" l="1"/>
  <c r="B16" i="40"/>
  <c r="G805" i="10"/>
  <c r="J809" i="10" s="1"/>
  <c r="G16" i="18" s="1"/>
  <c r="I16" i="18" s="1"/>
  <c r="J62" i="11"/>
  <c r="K62" i="11" s="1"/>
  <c r="M62" i="11" s="1"/>
  <c r="J64" i="11"/>
  <c r="K64" i="11" s="1"/>
  <c r="H638" i="10"/>
  <c r="L638" i="10" s="1"/>
  <c r="L640" i="10" s="1"/>
  <c r="J61" i="11"/>
  <c r="K61" i="11" s="1"/>
  <c r="E65" i="11"/>
  <c r="J65" i="11"/>
  <c r="J677" i="10"/>
  <c r="L61" i="11"/>
  <c r="L65" i="11"/>
  <c r="J58" i="11"/>
  <c r="K58" i="11" s="1"/>
  <c r="B14" i="40"/>
  <c r="E29" i="40"/>
  <c r="F27" i="40" s="1"/>
  <c r="F28" i="40"/>
  <c r="B19" i="40"/>
  <c r="B12" i="40"/>
  <c r="E55" i="11"/>
  <c r="J66" i="11"/>
  <c r="K66" i="11" s="1"/>
  <c r="M66" i="11" s="1"/>
  <c r="J59" i="11"/>
  <c r="K59" i="11" s="1"/>
  <c r="M59" i="11" s="1"/>
  <c r="C61" i="11"/>
  <c r="D61" i="11" s="1"/>
  <c r="L58" i="11"/>
  <c r="E58" i="11"/>
  <c r="C69" i="11"/>
  <c r="D69" i="11" s="1"/>
  <c r="L71" i="11"/>
  <c r="E69" i="11"/>
  <c r="C68" i="11"/>
  <c r="D68" i="11" s="1"/>
  <c r="C72" i="11"/>
  <c r="D72" i="11" s="1"/>
  <c r="L70" i="11"/>
  <c r="E68" i="11"/>
  <c r="E72" i="11"/>
  <c r="C71" i="11"/>
  <c r="D71" i="11" s="1"/>
  <c r="C70" i="11"/>
  <c r="D70" i="11" s="1"/>
  <c r="C66" i="11"/>
  <c r="D66" i="11" s="1"/>
  <c r="L64" i="11"/>
  <c r="E66" i="11"/>
  <c r="C64" i="11"/>
  <c r="D64" i="11" s="1"/>
  <c r="C62" i="11"/>
  <c r="D62" i="11" s="1"/>
  <c r="E62" i="11"/>
  <c r="C59" i="11"/>
  <c r="D59" i="11" s="1"/>
  <c r="E59" i="11"/>
  <c r="L56" i="11"/>
  <c r="L55" i="11"/>
  <c r="C56" i="11"/>
  <c r="D56" i="11" s="1"/>
  <c r="G480" i="10"/>
  <c r="J665" i="10"/>
  <c r="J668" i="10" s="1"/>
  <c r="E787" i="10"/>
  <c r="I791" i="10" s="1"/>
  <c r="L809" i="10"/>
  <c r="H809" i="10"/>
  <c r="J762" i="10"/>
  <c r="J769" i="10"/>
  <c r="J772" i="10" s="1"/>
  <c r="J760" i="10"/>
  <c r="I712" i="10"/>
  <c r="J709" i="10" s="1"/>
  <c r="E692" i="10"/>
  <c r="J696" i="10" s="1"/>
  <c r="E718" i="10"/>
  <c r="AB722" i="10" s="1"/>
  <c r="J879" i="10"/>
  <c r="P879" i="10" s="1"/>
  <c r="N879" i="10"/>
  <c r="J877" i="10"/>
  <c r="P877" i="10" s="1"/>
  <c r="N877" i="10"/>
  <c r="G576" i="10"/>
  <c r="I610" i="10"/>
  <c r="N547" i="10"/>
  <c r="P547" i="10" s="1"/>
  <c r="R547" i="10" s="1"/>
  <c r="U547" i="10" s="1"/>
  <c r="F542" i="10"/>
  <c r="I827" i="10" s="1"/>
  <c r="K827" i="10" s="1"/>
  <c r="N548" i="10"/>
  <c r="P548" i="10" s="1"/>
  <c r="R548" i="10" s="1"/>
  <c r="U548" i="10" s="1"/>
  <c r="E590" i="10"/>
  <c r="I594" i="10" s="1"/>
  <c r="AC620" i="10"/>
  <c r="E616" i="10"/>
  <c r="AB620" i="10" s="1"/>
  <c r="J539" i="10"/>
  <c r="C559" i="10"/>
  <c r="C567" i="10"/>
  <c r="C558" i="10"/>
  <c r="I515" i="10"/>
  <c r="E495" i="10"/>
  <c r="J499" i="10" s="1"/>
  <c r="F453" i="10"/>
  <c r="K451" i="10"/>
  <c r="E521" i="10"/>
  <c r="AB525" i="10" s="1"/>
  <c r="M64" i="11" l="1"/>
  <c r="M61" i="11"/>
  <c r="M60" i="11" s="1"/>
  <c r="K65" i="11"/>
  <c r="M65" i="11" s="1"/>
  <c r="I25" i="37"/>
  <c r="K55" i="11"/>
  <c r="M55" i="11" s="1"/>
  <c r="I19" i="37"/>
  <c r="K16" i="18"/>
  <c r="N16" i="18"/>
  <c r="M58" i="11"/>
  <c r="M57" i="11" s="1"/>
  <c r="N809" i="10"/>
  <c r="S809" i="10" s="1"/>
  <c r="F454" i="10"/>
  <c r="I826" i="10" s="1"/>
  <c r="K826" i="10" s="1"/>
  <c r="N459" i="10"/>
  <c r="I55" i="11" s="1"/>
  <c r="J55" i="11" s="1"/>
  <c r="N460" i="10"/>
  <c r="E742" i="10"/>
  <c r="G645" i="10"/>
  <c r="G644" i="10"/>
  <c r="G643" i="10"/>
  <c r="L645" i="10"/>
  <c r="L644" i="10"/>
  <c r="L643" i="10"/>
  <c r="L646" i="10" s="1"/>
  <c r="F648" i="10" s="1"/>
  <c r="I828" i="10" s="1"/>
  <c r="K828" i="10" s="1"/>
  <c r="I722" i="10"/>
  <c r="F29" i="14" s="1"/>
  <c r="J712" i="10"/>
  <c r="J711" i="10"/>
  <c r="J710" i="10"/>
  <c r="O646" i="10"/>
  <c r="F649" i="10" s="1"/>
  <c r="M649" i="10" s="1"/>
  <c r="G660" i="10" s="1"/>
  <c r="I620" i="10"/>
  <c r="F27" i="14" s="1"/>
  <c r="J608" i="10"/>
  <c r="J609" i="10"/>
  <c r="J610" i="10"/>
  <c r="J607" i="10"/>
  <c r="B25" i="40"/>
  <c r="B28" i="40" s="1"/>
  <c r="B24" i="40"/>
  <c r="B27" i="40" s="1"/>
  <c r="I525" i="10"/>
  <c r="F25" i="14" s="1"/>
  <c r="J515" i="10"/>
  <c r="J514" i="10"/>
  <c r="J513" i="10"/>
  <c r="J512" i="10"/>
  <c r="J763" i="10"/>
  <c r="F589" i="10"/>
  <c r="H594" i="10" s="1"/>
  <c r="J594" i="10" s="1"/>
  <c r="F628" i="10" s="1"/>
  <c r="G553" i="10"/>
  <c r="J582" i="10"/>
  <c r="U549" i="10"/>
  <c r="F624" i="10" s="1"/>
  <c r="M63" i="11" l="1"/>
  <c r="H465" i="10"/>
  <c r="P460" i="10"/>
  <c r="R460" i="10" s="1"/>
  <c r="I56" i="11"/>
  <c r="J56" i="11" s="1"/>
  <c r="K56" i="11" s="1"/>
  <c r="M56" i="11" s="1"/>
  <c r="M54" i="11" s="1"/>
  <c r="O16" i="18"/>
  <c r="O15" i="18" s="1"/>
  <c r="I21" i="15" s="1"/>
  <c r="P487" i="10"/>
  <c r="K525" i="10"/>
  <c r="B29" i="40"/>
  <c r="G577" i="10" s="1"/>
  <c r="G578" i="10" s="1"/>
  <c r="G582" i="10" s="1"/>
  <c r="F25" i="17" s="1"/>
  <c r="Q487" i="10"/>
  <c r="R487" i="10" s="1"/>
  <c r="F532" i="10" s="1"/>
  <c r="H23" i="17"/>
  <c r="I23" i="17" s="1"/>
  <c r="J23" i="17" s="1"/>
  <c r="J22" i="17" s="1"/>
  <c r="K582" i="10"/>
  <c r="H25" i="17"/>
  <c r="I25" i="17" s="1"/>
  <c r="H660" i="10"/>
  <c r="F28" i="13"/>
  <c r="K722" i="10"/>
  <c r="K682" i="10"/>
  <c r="N682" i="10" s="1"/>
  <c r="G646" i="10"/>
  <c r="K620" i="10"/>
  <c r="H553" i="10"/>
  <c r="J553" i="10" s="1"/>
  <c r="F625" i="10" s="1"/>
  <c r="F26" i="13"/>
  <c r="G26" i="13" s="1"/>
  <c r="I26" i="13" s="1"/>
  <c r="I25" i="13" s="1"/>
  <c r="I465" i="10"/>
  <c r="K465" i="10" s="1"/>
  <c r="F530" i="10" s="1"/>
  <c r="F24" i="13"/>
  <c r="G24" i="13" s="1"/>
  <c r="I24" i="13" s="1"/>
  <c r="I23" i="13" s="1"/>
  <c r="F742" i="10"/>
  <c r="H742" i="10" s="1"/>
  <c r="J742" i="10" s="1"/>
  <c r="F745" i="10" s="1"/>
  <c r="N655" i="10"/>
  <c r="P655" i="10" s="1"/>
  <c r="R655" i="10" s="1"/>
  <c r="U655" i="10" s="1"/>
  <c r="F494" i="10"/>
  <c r="I499" i="10" s="1"/>
  <c r="P459" i="10"/>
  <c r="R459" i="10" s="1"/>
  <c r="M648" i="10"/>
  <c r="N654" i="10" s="1"/>
  <c r="F691" i="10" s="1"/>
  <c r="H696" i="10" s="1"/>
  <c r="K696" i="10" s="1"/>
  <c r="F730" i="10" s="1"/>
  <c r="L683" i="10"/>
  <c r="O17" i="18" l="1"/>
  <c r="K499" i="10"/>
  <c r="F533" i="10" s="1"/>
  <c r="F27" i="16"/>
  <c r="H27" i="16" s="1"/>
  <c r="L27" i="16" s="1"/>
  <c r="L26" i="16" s="1"/>
  <c r="H21" i="15" s="1"/>
  <c r="N525" i="10"/>
  <c r="G25" i="14"/>
  <c r="H25" i="14" s="1"/>
  <c r="N722" i="10"/>
  <c r="G29" i="14"/>
  <c r="H29" i="14" s="1"/>
  <c r="N620" i="10"/>
  <c r="G27" i="14"/>
  <c r="H27" i="14" s="1"/>
  <c r="L582" i="10"/>
  <c r="F627" i="10" s="1"/>
  <c r="J25" i="17"/>
  <c r="J24" i="17" s="1"/>
  <c r="J660" i="10"/>
  <c r="F727" i="10" s="1"/>
  <c r="G28" i="13"/>
  <c r="I28" i="13" s="1"/>
  <c r="I27" i="13" s="1"/>
  <c r="F21" i="15" s="1"/>
  <c r="M683" i="10"/>
  <c r="N683" i="10" s="1"/>
  <c r="N684" i="10" s="1"/>
  <c r="F729" i="10" s="1"/>
  <c r="H28" i="17"/>
  <c r="I28" i="17" s="1"/>
  <c r="J28" i="17" s="1"/>
  <c r="J26" i="17" s="1"/>
  <c r="P654" i="10"/>
  <c r="R654" i="10" s="1"/>
  <c r="U654" i="10" s="1"/>
  <c r="U656" i="10" s="1"/>
  <c r="F726" i="10" s="1"/>
  <c r="J778" i="10"/>
  <c r="J777" i="10"/>
  <c r="F744" i="10"/>
  <c r="X620" i="10" l="1"/>
  <c r="Z620" i="10" s="1"/>
  <c r="V620" i="10"/>
  <c r="AE620" i="10" s="1"/>
  <c r="F629" i="10" s="1"/>
  <c r="F630" i="10" s="1"/>
  <c r="M27" i="14"/>
  <c r="N27" i="14" s="1"/>
  <c r="L27" i="14"/>
  <c r="Q27" i="14" s="1"/>
  <c r="Q26" i="14" s="1"/>
  <c r="M25" i="14"/>
  <c r="N25" i="14" s="1"/>
  <c r="L25" i="14"/>
  <c r="Q25" i="14" s="1"/>
  <c r="Q24" i="14" s="1"/>
  <c r="M29" i="14"/>
  <c r="N29" i="14" s="1"/>
  <c r="L29" i="14"/>
  <c r="Q29" i="14" s="1"/>
  <c r="Q28" i="14" s="1"/>
  <c r="V722" i="10"/>
  <c r="AE722" i="10" s="1"/>
  <c r="F731" i="10" s="1"/>
  <c r="F732" i="10" s="1"/>
  <c r="X722" i="10"/>
  <c r="Z722" i="10" s="1"/>
  <c r="V525" i="10"/>
  <c r="AE525" i="10" s="1"/>
  <c r="F534" i="10" s="1"/>
  <c r="X525" i="10"/>
  <c r="Z525" i="10" s="1"/>
  <c r="K777" i="10"/>
  <c r="L777" i="10" s="1"/>
  <c r="F819" i="10" s="1"/>
  <c r="H30" i="17"/>
  <c r="I30" i="17" s="1"/>
  <c r="J30" i="17" s="1"/>
  <c r="K778" i="10"/>
  <c r="L778" i="10" s="1"/>
  <c r="H31" i="17"/>
  <c r="I31" i="17" s="1"/>
  <c r="J31" i="17" s="1"/>
  <c r="I829" i="10"/>
  <c r="N750" i="10"/>
  <c r="P750" i="10" s="1"/>
  <c r="R750" i="10" s="1"/>
  <c r="U750" i="10" s="1"/>
  <c r="U809" i="10"/>
  <c r="V809" i="10" s="1"/>
  <c r="X809" i="10" s="1"/>
  <c r="Z809" i="10" s="1"/>
  <c r="F821" i="10" s="1"/>
  <c r="N751" i="10"/>
  <c r="P751" i="10" s="1"/>
  <c r="R751" i="10" s="1"/>
  <c r="U751" i="10" s="1"/>
  <c r="N749" i="10"/>
  <c r="J29" i="17" l="1"/>
  <c r="J21" i="15"/>
  <c r="L779" i="10"/>
  <c r="F786" i="10"/>
  <c r="H791" i="10" s="1"/>
  <c r="J791" i="10" s="1"/>
  <c r="F820" i="10" s="1"/>
  <c r="P749" i="10"/>
  <c r="R749" i="10" s="1"/>
  <c r="U749" i="10" s="1"/>
  <c r="U752" i="10" s="1"/>
  <c r="F816" i="10" s="1"/>
  <c r="F822" i="10" s="1"/>
  <c r="K829" i="10"/>
  <c r="F834" i="10"/>
  <c r="J32" i="17" l="1"/>
  <c r="G21" i="15"/>
  <c r="F835" i="10"/>
  <c r="H834" i="10"/>
  <c r="H835" i="10" l="1"/>
  <c r="N842" i="10"/>
  <c r="P842" i="10" s="1"/>
  <c r="R842" i="10" s="1"/>
  <c r="U842" i="10" s="1"/>
  <c r="N843" i="10"/>
  <c r="P843" i="10" s="1"/>
  <c r="R843" i="10" s="1"/>
  <c r="U843" i="10" s="1"/>
  <c r="N844" i="10"/>
  <c r="P844" i="10" s="1"/>
  <c r="R844" i="10" s="1"/>
  <c r="U844" i="10" s="1"/>
  <c r="N845" i="10"/>
  <c r="P845" i="10" s="1"/>
  <c r="R845" i="10" s="1"/>
  <c r="U845" i="10" s="1"/>
  <c r="N841" i="10"/>
  <c r="P841" i="10" s="1"/>
  <c r="R841" i="10" s="1"/>
  <c r="U841" i="10" s="1"/>
  <c r="U846" i="10" l="1"/>
  <c r="F864" i="10" s="1"/>
  <c r="F870" i="10" s="1"/>
  <c r="J70" i="11" l="1"/>
  <c r="K70" i="11" s="1"/>
  <c r="M70" i="11" s="1"/>
  <c r="J69" i="11" l="1"/>
  <c r="K69" i="11" s="1"/>
  <c r="M69" i="11" s="1"/>
  <c r="J71" i="11"/>
  <c r="J68" i="11"/>
  <c r="I24" i="37" s="1"/>
  <c r="J24" i="37" s="1"/>
  <c r="L24" i="37" s="1"/>
  <c r="J72" i="11"/>
  <c r="K71" i="11" l="1"/>
  <c r="M71" i="11" s="1"/>
  <c r="I32" i="37"/>
  <c r="J32" i="37" s="1"/>
  <c r="L32" i="37" s="1"/>
  <c r="K68" i="11"/>
  <c r="M68" i="11" s="1"/>
  <c r="K72" i="11"/>
  <c r="M72" i="11" s="1"/>
  <c r="E130" i="11"/>
  <c r="M67" i="11" l="1"/>
  <c r="E21" i="15" s="1"/>
  <c r="K21" i="15" s="1"/>
  <c r="F26" i="35"/>
  <c r="C5" i="31"/>
  <c r="F14" i="35"/>
  <c r="E15" i="35"/>
  <c r="F15" i="35"/>
  <c r="E16" i="35"/>
  <c r="E17" i="35"/>
  <c r="F20" i="35"/>
  <c r="F21" i="35"/>
  <c r="E23" i="35"/>
  <c r="E24" i="35"/>
  <c r="E25" i="35"/>
  <c r="E26" i="35"/>
  <c r="F27" i="35"/>
  <c r="S15" i="38" l="1"/>
  <c r="S17" i="38"/>
  <c r="S19" i="38"/>
  <c r="S21" i="38"/>
  <c r="S23" i="38"/>
  <c r="C10" i="24"/>
  <c r="E44" i="19" l="1"/>
  <c r="N25" i="38"/>
  <c r="O25" i="38"/>
  <c r="P25" i="38"/>
  <c r="Q25" i="38"/>
  <c r="H18" i="17"/>
  <c r="I18" i="17" s="1"/>
  <c r="H19" i="17"/>
  <c r="I19" i="17" s="1"/>
  <c r="G19" i="17"/>
  <c r="B18" i="17"/>
  <c r="B19" i="17"/>
  <c r="C19" i="17" s="1"/>
  <c r="D19" i="17" s="1"/>
  <c r="G110" i="11"/>
  <c r="G109" i="11"/>
  <c r="F110" i="11"/>
  <c r="F109" i="11"/>
  <c r="B110" i="11"/>
  <c r="C110" i="11" s="1"/>
  <c r="D110" i="11" s="1"/>
  <c r="B109" i="11"/>
  <c r="L109" i="11" s="1"/>
  <c r="M1839" i="10"/>
  <c r="M1840" i="10" s="1"/>
  <c r="C912" i="10"/>
  <c r="H39" i="29"/>
  <c r="I37" i="29"/>
  <c r="I36" i="29"/>
  <c r="C911" i="10"/>
  <c r="J1851" i="10"/>
  <c r="B1850" i="10"/>
  <c r="C1850" i="10" s="1"/>
  <c r="B1849" i="10"/>
  <c r="C1849" i="10" s="1"/>
  <c r="S1840" i="10"/>
  <c r="F1840" i="10"/>
  <c r="C1840" i="10"/>
  <c r="S1839" i="10"/>
  <c r="F1839" i="10"/>
  <c r="C1839" i="10"/>
  <c r="M1834" i="10"/>
  <c r="M1833" i="10"/>
  <c r="K1832" i="10"/>
  <c r="J1832" i="10"/>
  <c r="C10" i="36"/>
  <c r="M1886" i="10"/>
  <c r="I113" i="11" s="1"/>
  <c r="GU49" i="19"/>
  <c r="GV49" i="19"/>
  <c r="GW49" i="19"/>
  <c r="GX49" i="19"/>
  <c r="GY49" i="19"/>
  <c r="GZ49" i="19"/>
  <c r="FC12" i="19"/>
  <c r="FD12" i="19" s="1"/>
  <c r="FE12" i="19" s="1"/>
  <c r="FF12" i="19" s="1"/>
  <c r="FG12" i="19" s="1"/>
  <c r="FH12" i="19" s="1"/>
  <c r="FI12" i="19" s="1"/>
  <c r="FJ12" i="19" s="1"/>
  <c r="FK12" i="19" s="1"/>
  <c r="FL12" i="19" s="1"/>
  <c r="FM12" i="19" s="1"/>
  <c r="FN12" i="19" s="1"/>
  <c r="FO12" i="19" s="1"/>
  <c r="FP12" i="19" s="1"/>
  <c r="FQ12" i="19" s="1"/>
  <c r="FR12" i="19" s="1"/>
  <c r="FS12" i="19" s="1"/>
  <c r="FT12" i="19" s="1"/>
  <c r="FU12" i="19" s="1"/>
  <c r="FV12" i="19" s="1"/>
  <c r="FW12" i="19" s="1"/>
  <c r="FX12" i="19" s="1"/>
  <c r="FY12" i="19" s="1"/>
  <c r="FZ12" i="19" s="1"/>
  <c r="GA12" i="19" s="1"/>
  <c r="GB12" i="19" s="1"/>
  <c r="GC12" i="19" s="1"/>
  <c r="GD12" i="19" s="1"/>
  <c r="GE12" i="19" s="1"/>
  <c r="GF12" i="19" s="1"/>
  <c r="GG12" i="19" s="1"/>
  <c r="GH12" i="19" s="1"/>
  <c r="GI12" i="19" s="1"/>
  <c r="GJ12" i="19" s="1"/>
  <c r="GK12" i="19" s="1"/>
  <c r="GL12" i="19" s="1"/>
  <c r="GM12" i="19" s="1"/>
  <c r="GN12" i="19" s="1"/>
  <c r="GO12" i="19" s="1"/>
  <c r="GP12" i="19" s="1"/>
  <c r="GQ12" i="19" s="1"/>
  <c r="GR12" i="19" s="1"/>
  <c r="GS12" i="19" s="1"/>
  <c r="GT12" i="19" s="1"/>
  <c r="GU12" i="19" s="1"/>
  <c r="GV12" i="19" s="1"/>
  <c r="GW12" i="19" s="1"/>
  <c r="GX12" i="19" s="1"/>
  <c r="GY12" i="19" s="1"/>
  <c r="GZ12" i="19" s="1"/>
  <c r="HA12" i="19" s="1"/>
  <c r="HB12" i="19" s="1"/>
  <c r="HC12" i="19" s="1"/>
  <c r="HD12" i="19" s="1"/>
  <c r="HE12" i="19" s="1"/>
  <c r="HF12" i="19" s="1"/>
  <c r="HG12" i="19" s="1"/>
  <c r="HH12" i="19" s="1"/>
  <c r="HI12" i="19" s="1"/>
  <c r="HJ12" i="19" s="1"/>
  <c r="M1792" i="10"/>
  <c r="I107" i="11" s="1"/>
  <c r="M1791" i="10"/>
  <c r="I106" i="11" s="1"/>
  <c r="M1790" i="10"/>
  <c r="I105" i="11" s="1"/>
  <c r="M1887" i="10"/>
  <c r="I114" i="11" s="1"/>
  <c r="M1888" i="10"/>
  <c r="I115" i="11" s="1"/>
  <c r="G117" i="11"/>
  <c r="F117" i="11"/>
  <c r="B117" i="11"/>
  <c r="L117" i="11" s="1"/>
  <c r="F113" i="11"/>
  <c r="G113" i="11"/>
  <c r="F114" i="11"/>
  <c r="G114" i="11"/>
  <c r="F115" i="11"/>
  <c r="G115" i="11"/>
  <c r="G112" i="11"/>
  <c r="F112" i="11"/>
  <c r="B113" i="11"/>
  <c r="L113" i="11" s="1"/>
  <c r="B114" i="11"/>
  <c r="C114" i="11" s="1"/>
  <c r="D114" i="11" s="1"/>
  <c r="B115" i="11"/>
  <c r="E115" i="11" s="1"/>
  <c r="B112" i="11"/>
  <c r="L112" i="11" s="1"/>
  <c r="F105" i="11"/>
  <c r="G105" i="11"/>
  <c r="F106" i="11"/>
  <c r="G106" i="11"/>
  <c r="F107" i="11"/>
  <c r="G107" i="11"/>
  <c r="G104" i="11"/>
  <c r="F104" i="11"/>
  <c r="B105" i="11"/>
  <c r="E105" i="11" s="1"/>
  <c r="B106" i="11"/>
  <c r="L106" i="11" s="1"/>
  <c r="B107" i="11"/>
  <c r="C107" i="11" s="1"/>
  <c r="D107" i="11" s="1"/>
  <c r="B104" i="11"/>
  <c r="E104" i="11" s="1"/>
  <c r="J1945" i="10"/>
  <c r="GZ46" i="19" s="1"/>
  <c r="B1944" i="10"/>
  <c r="C1944" i="10" s="1"/>
  <c r="S1935" i="10"/>
  <c r="F1935" i="10"/>
  <c r="C1935" i="10"/>
  <c r="M1930" i="10"/>
  <c r="M1929" i="10"/>
  <c r="K1928" i="10"/>
  <c r="J1928" i="10"/>
  <c r="M1789" i="10"/>
  <c r="I104" i="11" s="1"/>
  <c r="M1885" i="10"/>
  <c r="I112" i="11" s="1"/>
  <c r="M1880" i="10"/>
  <c r="M1879" i="10"/>
  <c r="H23" i="37" l="1"/>
  <c r="I109" i="11"/>
  <c r="I110" i="11"/>
  <c r="B23" i="37"/>
  <c r="C23" i="37" s="1"/>
  <c r="C18" i="17"/>
  <c r="D18" i="17" s="1"/>
  <c r="E109" i="11"/>
  <c r="C109" i="11"/>
  <c r="D109" i="11" s="1"/>
  <c r="L110" i="11"/>
  <c r="E110" i="11"/>
  <c r="F1850" i="10"/>
  <c r="GY46" i="19"/>
  <c r="M1881" i="10"/>
  <c r="G68" i="20" s="1"/>
  <c r="M1835" i="10"/>
  <c r="G67" i="20" s="1"/>
  <c r="F67" i="20" s="1"/>
  <c r="F44" i="19" s="1"/>
  <c r="G44" i="19" s="1"/>
  <c r="I38" i="29"/>
  <c r="I39" i="29" s="1"/>
  <c r="F1849" i="10"/>
  <c r="E114" i="11"/>
  <c r="E113" i="11"/>
  <c r="L104" i="11"/>
  <c r="E112" i="11"/>
  <c r="L107" i="11"/>
  <c r="T460" i="10" s="1"/>
  <c r="U460" i="10" s="1"/>
  <c r="E107" i="11"/>
  <c r="E106" i="11"/>
  <c r="L105" i="11"/>
  <c r="C106" i="11"/>
  <c r="D106" i="11" s="1"/>
  <c r="C117" i="11"/>
  <c r="D117" i="11" s="1"/>
  <c r="E117" i="11"/>
  <c r="C112" i="11"/>
  <c r="D112" i="11" s="1"/>
  <c r="C115" i="11"/>
  <c r="D115" i="11" s="1"/>
  <c r="C113" i="11"/>
  <c r="D113" i="11" s="1"/>
  <c r="L115" i="11"/>
  <c r="L114" i="11"/>
  <c r="C104" i="11"/>
  <c r="D104" i="11" s="1"/>
  <c r="C105" i="11"/>
  <c r="D105" i="11" s="1"/>
  <c r="M1931" i="10"/>
  <c r="M1935" i="10" s="1"/>
  <c r="F1944" i="10"/>
  <c r="M1784" i="10"/>
  <c r="M1783" i="10"/>
  <c r="J1901" i="10"/>
  <c r="B1900" i="10"/>
  <c r="F1900" i="10" s="1"/>
  <c r="B1899" i="10"/>
  <c r="F1899" i="10" s="1"/>
  <c r="J1805" i="10"/>
  <c r="B1804" i="10"/>
  <c r="C1804" i="10" s="1"/>
  <c r="B1803" i="10"/>
  <c r="C1803" i="10" s="1"/>
  <c r="B1898" i="10"/>
  <c r="F1898" i="10" s="1"/>
  <c r="B1897" i="10"/>
  <c r="F1897" i="10" s="1"/>
  <c r="S1888" i="10"/>
  <c r="F1888" i="10"/>
  <c r="C1888" i="10"/>
  <c r="S1887" i="10"/>
  <c r="F1887" i="10"/>
  <c r="C1887" i="10"/>
  <c r="S1886" i="10"/>
  <c r="F1886" i="10"/>
  <c r="C1886" i="10"/>
  <c r="S1885" i="10"/>
  <c r="F1885" i="10"/>
  <c r="C1885" i="10"/>
  <c r="K1878" i="10"/>
  <c r="J1878" i="10"/>
  <c r="J1972" i="10"/>
  <c r="C1979" i="10"/>
  <c r="F1979" i="10"/>
  <c r="S1979" i="10"/>
  <c r="C1980" i="10"/>
  <c r="F1980" i="10"/>
  <c r="S1980" i="10"/>
  <c r="S1792" i="10"/>
  <c r="F1792" i="10"/>
  <c r="C1792" i="10"/>
  <c r="S1791" i="10"/>
  <c r="F1791" i="10"/>
  <c r="C1791" i="10"/>
  <c r="J1782" i="10"/>
  <c r="B1802" i="10"/>
  <c r="F1802" i="10" s="1"/>
  <c r="B1801" i="10"/>
  <c r="F1801" i="10" s="1"/>
  <c r="S1790" i="10"/>
  <c r="F1790" i="10"/>
  <c r="C1790" i="10"/>
  <c r="S1789" i="10"/>
  <c r="F1789" i="10"/>
  <c r="C1789" i="10"/>
  <c r="K1782" i="10"/>
  <c r="D23" i="37" l="1"/>
  <c r="K23" i="37"/>
  <c r="GU43" i="19"/>
  <c r="GV43" i="19"/>
  <c r="GW43" i="19"/>
  <c r="GX45" i="19"/>
  <c r="GV45" i="19"/>
  <c r="GW45" i="19"/>
  <c r="GY45" i="19"/>
  <c r="GU45" i="19"/>
  <c r="I117" i="11"/>
  <c r="M1785" i="10"/>
  <c r="G66" i="20" s="1"/>
  <c r="C1900" i="10"/>
  <c r="C1899" i="10"/>
  <c r="F1804" i="10"/>
  <c r="F1803" i="10"/>
  <c r="C1897" i="10"/>
  <c r="C1898" i="10"/>
  <c r="C1802" i="10"/>
  <c r="C1801" i="10"/>
  <c r="I21" i="32"/>
  <c r="H21" i="32"/>
  <c r="I20" i="32"/>
  <c r="H20" i="32"/>
  <c r="I19" i="32"/>
  <c r="H19" i="32"/>
  <c r="H25" i="32"/>
  <c r="I25" i="32"/>
  <c r="H26" i="32"/>
  <c r="I26" i="32"/>
  <c r="H27" i="32"/>
  <c r="I27" i="32"/>
  <c r="H28" i="32"/>
  <c r="I28" i="32"/>
  <c r="H29" i="32"/>
  <c r="I29" i="32"/>
  <c r="H30" i="32"/>
  <c r="I30" i="32"/>
  <c r="H31" i="32"/>
  <c r="I31" i="32"/>
  <c r="H32" i="32"/>
  <c r="I32" i="32"/>
  <c r="H33" i="32"/>
  <c r="I33" i="32"/>
  <c r="H34" i="32"/>
  <c r="I34" i="32"/>
  <c r="H35" i="32"/>
  <c r="I35" i="32"/>
  <c r="H36" i="32"/>
  <c r="I36" i="32"/>
  <c r="H37" i="32"/>
  <c r="I37" i="32"/>
  <c r="H38" i="32"/>
  <c r="I38" i="32"/>
  <c r="H39" i="32"/>
  <c r="I39" i="32"/>
  <c r="H40" i="32"/>
  <c r="I40" i="32"/>
  <c r="H41" i="32"/>
  <c r="I41" i="32"/>
  <c r="H42" i="32"/>
  <c r="I42" i="32"/>
  <c r="H43" i="32"/>
  <c r="I43" i="32"/>
  <c r="H44" i="32"/>
  <c r="I44" i="32"/>
  <c r="H45" i="32"/>
  <c r="I45" i="32"/>
  <c r="H46" i="32"/>
  <c r="I46" i="32"/>
  <c r="H47" i="32"/>
  <c r="I47" i="32"/>
  <c r="H48" i="32"/>
  <c r="I48" i="32"/>
  <c r="H49" i="32"/>
  <c r="I49" i="32"/>
  <c r="H50" i="32"/>
  <c r="I50" i="32"/>
  <c r="H51" i="32"/>
  <c r="I51" i="32"/>
  <c r="H52" i="32"/>
  <c r="I52" i="32"/>
  <c r="H53" i="32"/>
  <c r="I53" i="32"/>
  <c r="H54" i="32"/>
  <c r="I54" i="32"/>
  <c r="H55" i="32"/>
  <c r="I55" i="32"/>
  <c r="I24" i="32"/>
  <c r="H24" i="32"/>
  <c r="I16" i="32"/>
  <c r="H16" i="32"/>
  <c r="I15" i="32"/>
  <c r="H15" i="32"/>
  <c r="I14" i="32"/>
  <c r="H14" i="32"/>
  <c r="I13" i="32"/>
  <c r="H13" i="32"/>
  <c r="I11" i="32"/>
  <c r="H11" i="32"/>
  <c r="I9" i="32"/>
  <c r="H9" i="32"/>
  <c r="I8" i="32"/>
  <c r="H8" i="32"/>
  <c r="I6" i="32"/>
  <c r="H6" i="32"/>
  <c r="J6" i="32" s="1"/>
  <c r="I5" i="32"/>
  <c r="H5" i="32"/>
  <c r="I4" i="32"/>
  <c r="H4" i="32"/>
  <c r="O1137" i="10"/>
  <c r="O942" i="10"/>
  <c r="O382" i="10"/>
  <c r="N880" i="10"/>
  <c r="J20" i="32" l="1"/>
  <c r="K20" i="32" s="1"/>
  <c r="J19" i="32"/>
  <c r="K19" i="32" s="1"/>
  <c r="J5" i="32"/>
  <c r="J21" i="32"/>
  <c r="K21" i="32" s="1"/>
  <c r="H31" i="29"/>
  <c r="D23" i="7"/>
  <c r="D22" i="7"/>
  <c r="D13" i="31"/>
  <c r="F23" i="35" s="1"/>
  <c r="C16" i="31"/>
  <c r="D11" i="31"/>
  <c r="C4" i="31" l="1"/>
  <c r="E14" i="35" s="1"/>
  <c r="C10" i="31"/>
  <c r="E20" i="35" s="1"/>
  <c r="D6" i="31"/>
  <c r="F16" i="35" s="1"/>
  <c r="D7" i="31"/>
  <c r="F17" i="35" s="1"/>
  <c r="D14" i="31"/>
  <c r="F24" i="35" s="1"/>
  <c r="D15" i="31"/>
  <c r="F25" i="35" s="1"/>
  <c r="K1395" i="10"/>
  <c r="J1349" i="10"/>
  <c r="J1303" i="10"/>
  <c r="J1257" i="10"/>
  <c r="J1211" i="10"/>
  <c r="J1165" i="10"/>
  <c r="C8" i="24"/>
  <c r="D8" i="31" l="1"/>
  <c r="F18" i="35" s="1"/>
  <c r="C11" i="31"/>
  <c r="E21" i="35" s="1"/>
  <c r="C8" i="31"/>
  <c r="E18" i="35" s="1"/>
  <c r="C17" i="31" l="1"/>
  <c r="E27" i="35" s="1"/>
  <c r="F16" i="37"/>
  <c r="E16" i="37"/>
  <c r="B16" i="37"/>
  <c r="K16" i="37" s="1"/>
  <c r="F27" i="37"/>
  <c r="E27" i="37"/>
  <c r="B27" i="37"/>
  <c r="K27" i="37" s="1"/>
  <c r="F25" i="37"/>
  <c r="B25" i="37"/>
  <c r="D25" i="37" s="1"/>
  <c r="F22" i="37"/>
  <c r="B22" i="37"/>
  <c r="C22" i="37" s="1"/>
  <c r="F29" i="37"/>
  <c r="B29" i="37"/>
  <c r="K29" i="37" s="1"/>
  <c r="F28" i="37"/>
  <c r="B28" i="37"/>
  <c r="C28" i="37" s="1"/>
  <c r="F26" i="37"/>
  <c r="B26" i="37"/>
  <c r="K26" i="37" s="1"/>
  <c r="F18" i="37"/>
  <c r="E18" i="37"/>
  <c r="B18" i="37"/>
  <c r="K18" i="37" s="1"/>
  <c r="F31" i="37"/>
  <c r="E31" i="37"/>
  <c r="B31" i="37"/>
  <c r="D31" i="37" s="1"/>
  <c r="F30" i="37"/>
  <c r="E30" i="37"/>
  <c r="B30" i="37"/>
  <c r="C30" i="37" s="1"/>
  <c r="F20" i="37"/>
  <c r="E20" i="37"/>
  <c r="B20" i="37"/>
  <c r="C20" i="37" s="1"/>
  <c r="H21" i="37"/>
  <c r="F21" i="37"/>
  <c r="E21" i="37"/>
  <c r="B21" i="37"/>
  <c r="K21" i="37" s="1"/>
  <c r="F17" i="37"/>
  <c r="E17" i="37"/>
  <c r="B17" i="37"/>
  <c r="K17" i="37" s="1"/>
  <c r="F15" i="37"/>
  <c r="E15" i="37"/>
  <c r="B15" i="37"/>
  <c r="D15" i="37" s="1"/>
  <c r="F19" i="37"/>
  <c r="E19" i="37"/>
  <c r="B19" i="37"/>
  <c r="K19" i="37" s="1"/>
  <c r="F14" i="37"/>
  <c r="E14" i="37"/>
  <c r="B14" i="37"/>
  <c r="D14" i="37" s="1"/>
  <c r="K15" i="37" l="1"/>
  <c r="C17" i="37"/>
  <c r="D17" i="37"/>
  <c r="K25" i="37"/>
  <c r="K30" i="37"/>
  <c r="D29" i="37"/>
  <c r="D27" i="37"/>
  <c r="C27" i="37"/>
  <c r="D22" i="37"/>
  <c r="D30" i="37"/>
  <c r="C29" i="37"/>
  <c r="K22" i="37"/>
  <c r="C15" i="37"/>
  <c r="D20" i="37"/>
  <c r="D28" i="37"/>
  <c r="C14" i="37"/>
  <c r="C26" i="37"/>
  <c r="C19" i="37"/>
  <c r="D19" i="37"/>
  <c r="C21" i="37"/>
  <c r="K31" i="37"/>
  <c r="C18" i="37"/>
  <c r="D26" i="37"/>
  <c r="C25" i="37"/>
  <c r="C16" i="37"/>
  <c r="D16" i="37"/>
  <c r="D21" i="37"/>
  <c r="K20" i="37"/>
  <c r="D18" i="37"/>
  <c r="K28" i="37"/>
  <c r="K14" i="37"/>
  <c r="C31" i="37"/>
  <c r="G9" i="36"/>
  <c r="C9" i="36"/>
  <c r="G8" i="36"/>
  <c r="C8" i="36"/>
  <c r="C7" i="36"/>
  <c r="C6" i="36"/>
  <c r="C5" i="36"/>
  <c r="J1441" i="10" l="1"/>
  <c r="B1643" i="10" l="1"/>
  <c r="F107" i="10"/>
  <c r="O1134" i="10"/>
  <c r="N1134" i="10"/>
  <c r="O1133" i="10"/>
  <c r="N1133" i="10"/>
  <c r="O939" i="10"/>
  <c r="N939" i="10"/>
  <c r="O938" i="10"/>
  <c r="N938" i="10"/>
  <c r="O379" i="10"/>
  <c r="N379" i="10"/>
  <c r="O378" i="10"/>
  <c r="N378" i="10"/>
  <c r="O124" i="10"/>
  <c r="N124" i="10"/>
  <c r="B33" i="14"/>
  <c r="B22" i="18"/>
  <c r="B42" i="16"/>
  <c r="O380" i="10" l="1"/>
  <c r="O1135" i="10"/>
  <c r="O940" i="10"/>
  <c r="Q1146" i="10"/>
  <c r="B1146" i="10"/>
  <c r="Q949" i="10"/>
  <c r="B949" i="10"/>
  <c r="Q389" i="10"/>
  <c r="B389" i="10"/>
  <c r="O944" i="10" l="1"/>
  <c r="O943" i="10"/>
  <c r="AB949" i="10" s="1"/>
  <c r="O1138" i="10"/>
  <c r="AB1146" i="10" s="1"/>
  <c r="O1139" i="10"/>
  <c r="O383" i="10"/>
  <c r="AB389" i="10" s="1"/>
  <c r="O384" i="10"/>
  <c r="P135" i="10"/>
  <c r="H124" i="10"/>
  <c r="F135" i="10"/>
  <c r="B135" i="10"/>
  <c r="L3" i="7"/>
  <c r="E17" i="17" l="1"/>
  <c r="G47" i="11"/>
  <c r="G40" i="11"/>
  <c r="K19" i="16" l="1"/>
  <c r="G120" i="11"/>
  <c r="G119" i="11"/>
  <c r="F120" i="11"/>
  <c r="F119" i="11"/>
  <c r="B120" i="11"/>
  <c r="E120" i="11" s="1"/>
  <c r="B119" i="11"/>
  <c r="L119" i="11" s="1"/>
  <c r="C119" i="11" l="1"/>
  <c r="D119" i="11" s="1"/>
  <c r="E119" i="11"/>
  <c r="L120" i="11"/>
  <c r="C120" i="11"/>
  <c r="D120" i="11" s="1"/>
  <c r="D7" i="1" l="1"/>
  <c r="J1991" i="10" l="1"/>
  <c r="B1990" i="10"/>
  <c r="F1990" i="10" s="1"/>
  <c r="B1989" i="10"/>
  <c r="F1989" i="10" s="1"/>
  <c r="EF47" i="19" l="1"/>
  <c r="EF49" i="19" s="1"/>
  <c r="EV47" i="19"/>
  <c r="EV49" i="19" s="1"/>
  <c r="FL47" i="19"/>
  <c r="FL49" i="19" s="1"/>
  <c r="EI48" i="19"/>
  <c r="EY48" i="19"/>
  <c r="DU48" i="19"/>
  <c r="EG47" i="19"/>
  <c r="EG49" i="19" s="1"/>
  <c r="EW47" i="19"/>
  <c r="EW49" i="19" s="1"/>
  <c r="FM47" i="19"/>
  <c r="FM49" i="19" s="1"/>
  <c r="EJ48" i="19"/>
  <c r="EZ48" i="19"/>
  <c r="EH47" i="19"/>
  <c r="EH49" i="19" s="1"/>
  <c r="EX47" i="19"/>
  <c r="EX49" i="19" s="1"/>
  <c r="FN47" i="19"/>
  <c r="FN49" i="19" s="1"/>
  <c r="EK48" i="19"/>
  <c r="FA48" i="19"/>
  <c r="EI47" i="19"/>
  <c r="EI49" i="19" s="1"/>
  <c r="EY47" i="19"/>
  <c r="EY49" i="19" s="1"/>
  <c r="DV48" i="19"/>
  <c r="EL48" i="19"/>
  <c r="FB48" i="19"/>
  <c r="DU47" i="19"/>
  <c r="DU49" i="19" s="1"/>
  <c r="EK47" i="19"/>
  <c r="EK49" i="19" s="1"/>
  <c r="FA47" i="19"/>
  <c r="FA49" i="19" s="1"/>
  <c r="DX48" i="19"/>
  <c r="EN48" i="19"/>
  <c r="FD48" i="19"/>
  <c r="ER47" i="19"/>
  <c r="ER49" i="19" s="1"/>
  <c r="FK48" i="19"/>
  <c r="ET47" i="19"/>
  <c r="ET49" i="19" s="1"/>
  <c r="EG48" i="19"/>
  <c r="FC48" i="19"/>
  <c r="DV47" i="19"/>
  <c r="DV49" i="19" s="1"/>
  <c r="EL47" i="19"/>
  <c r="EL49" i="19" s="1"/>
  <c r="FB47" i="19"/>
  <c r="FB49" i="19" s="1"/>
  <c r="DY48" i="19"/>
  <c r="EO48" i="19"/>
  <c r="FE48" i="19"/>
  <c r="DW47" i="19"/>
  <c r="DW49" i="19" s="1"/>
  <c r="EM47" i="19"/>
  <c r="EM49" i="19" s="1"/>
  <c r="FC47" i="19"/>
  <c r="FC49" i="19" s="1"/>
  <c r="DZ48" i="19"/>
  <c r="EP48" i="19"/>
  <c r="FF48" i="19"/>
  <c r="DX47" i="19"/>
  <c r="DX49" i="19" s="1"/>
  <c r="EN47" i="19"/>
  <c r="EN49" i="19" s="1"/>
  <c r="FD47" i="19"/>
  <c r="FD49" i="19" s="1"/>
  <c r="EA48" i="19"/>
  <c r="EQ48" i="19"/>
  <c r="FG48" i="19"/>
  <c r="DY47" i="19"/>
  <c r="DY49" i="19" s="1"/>
  <c r="EO47" i="19"/>
  <c r="EO49" i="19" s="1"/>
  <c r="FE47" i="19"/>
  <c r="FE49" i="19" s="1"/>
  <c r="EB48" i="19"/>
  <c r="ER48" i="19"/>
  <c r="FH48" i="19"/>
  <c r="EW48" i="19"/>
  <c r="DZ47" i="19"/>
  <c r="DZ49" i="19" s="1"/>
  <c r="EP47" i="19"/>
  <c r="EP49" i="19" s="1"/>
  <c r="FF47" i="19"/>
  <c r="FF49" i="19" s="1"/>
  <c r="EC48" i="19"/>
  <c r="ES48" i="19"/>
  <c r="FI48" i="19"/>
  <c r="EA47" i="19"/>
  <c r="EA49" i="19" s="1"/>
  <c r="EQ47" i="19"/>
  <c r="EQ49" i="19" s="1"/>
  <c r="ED48" i="19"/>
  <c r="ET48" i="19"/>
  <c r="FJ48" i="19"/>
  <c r="EB47" i="19"/>
  <c r="EB49" i="19" s="1"/>
  <c r="FH47" i="19"/>
  <c r="FH49" i="19" s="1"/>
  <c r="EE48" i="19"/>
  <c r="EU48" i="19"/>
  <c r="ED47" i="19"/>
  <c r="ED49" i="19" s="1"/>
  <c r="FJ47" i="19"/>
  <c r="FJ49" i="19" s="1"/>
  <c r="FM48" i="19"/>
  <c r="FG47" i="19"/>
  <c r="FG49" i="19" s="1"/>
  <c r="EZ47" i="19"/>
  <c r="EZ49" i="19" s="1"/>
  <c r="DW48" i="19"/>
  <c r="EC47" i="19"/>
  <c r="EC49" i="19" s="1"/>
  <c r="ES47" i="19"/>
  <c r="ES49" i="19" s="1"/>
  <c r="FI47" i="19"/>
  <c r="FI49" i="19" s="1"/>
  <c r="EF48" i="19"/>
  <c r="EV48" i="19"/>
  <c r="FL48" i="19"/>
  <c r="EJ47" i="19"/>
  <c r="EJ49" i="19" s="1"/>
  <c r="EM48" i="19"/>
  <c r="EE47" i="19"/>
  <c r="EE49" i="19" s="1"/>
  <c r="EU47" i="19"/>
  <c r="EU49" i="19" s="1"/>
  <c r="FK47" i="19"/>
  <c r="FK49" i="19" s="1"/>
  <c r="EH48" i="19"/>
  <c r="EX48" i="19"/>
  <c r="FN48" i="19"/>
  <c r="C1990" i="10"/>
  <c r="C1989" i="10"/>
  <c r="G18" i="6" l="1"/>
  <c r="F18" i="6" s="1"/>
  <c r="G1708" i="10" l="1"/>
  <c r="E17" i="21"/>
  <c r="E16" i="21"/>
  <c r="J987" i="10"/>
  <c r="J986" i="10"/>
  <c r="L1698" i="10"/>
  <c r="G1696" i="10"/>
  <c r="J1644" i="10"/>
  <c r="Y41" i="19" s="1"/>
  <c r="Y39" i="19" s="1"/>
  <c r="F1643" i="10"/>
  <c r="J1597" i="10"/>
  <c r="CX40" i="19" s="1"/>
  <c r="B1596" i="10"/>
  <c r="F1596" i="10" s="1"/>
  <c r="B1595" i="10"/>
  <c r="F1595" i="10" s="1"/>
  <c r="J1552" i="10"/>
  <c r="BU38" i="19" s="1"/>
  <c r="BU28" i="19" s="1"/>
  <c r="BU20" i="19" s="1"/>
  <c r="B1551" i="10"/>
  <c r="F1551" i="10" s="1"/>
  <c r="B1550" i="10"/>
  <c r="F1550" i="10" s="1"/>
  <c r="J1506" i="10"/>
  <c r="BT37" i="19" s="1"/>
  <c r="B1505" i="10"/>
  <c r="C1505" i="10" s="1"/>
  <c r="B1504" i="10"/>
  <c r="F1504" i="10" s="1"/>
  <c r="J1460" i="10"/>
  <c r="BT36" i="19" s="1"/>
  <c r="B1459" i="10"/>
  <c r="F1459" i="10" s="1"/>
  <c r="B1458" i="10"/>
  <c r="F1458" i="10" s="1"/>
  <c r="J1414" i="10"/>
  <c r="BQ35" i="19" s="1"/>
  <c r="B1413" i="10"/>
  <c r="F1413" i="10" s="1"/>
  <c r="B1412" i="10"/>
  <c r="F1412" i="10" s="1"/>
  <c r="J1368" i="10"/>
  <c r="BQ34" i="19" s="1"/>
  <c r="B1367" i="10"/>
  <c r="C1367" i="10" s="1"/>
  <c r="B1366" i="10"/>
  <c r="F1366" i="10" s="1"/>
  <c r="J1322" i="10"/>
  <c r="BP33" i="19" s="1"/>
  <c r="BP28" i="19" s="1"/>
  <c r="BP20" i="19" s="1"/>
  <c r="B1321" i="10"/>
  <c r="C1321" i="10" s="1"/>
  <c r="B1320" i="10"/>
  <c r="F1320" i="10" s="1"/>
  <c r="J1276" i="10"/>
  <c r="BN32" i="19" s="1"/>
  <c r="BN28" i="19" s="1"/>
  <c r="BN20" i="19" s="1"/>
  <c r="B1275" i="10"/>
  <c r="F1275" i="10" s="1"/>
  <c r="B1274" i="10"/>
  <c r="F1274" i="10" s="1"/>
  <c r="J1230" i="10"/>
  <c r="BK31" i="19" s="1"/>
  <c r="B1229" i="10"/>
  <c r="F1229" i="10" s="1"/>
  <c r="B1228" i="10"/>
  <c r="C1228" i="10" s="1"/>
  <c r="B1183" i="10"/>
  <c r="C1183" i="10" s="1"/>
  <c r="B1182" i="10"/>
  <c r="F1182" i="10" s="1"/>
  <c r="J1184" i="10"/>
  <c r="BI30" i="19" s="1"/>
  <c r="BI28" i="19" s="1"/>
  <c r="BI20" i="19" s="1"/>
  <c r="BW20" i="19"/>
  <c r="BX20" i="19"/>
  <c r="BY20" i="19"/>
  <c r="BZ20" i="19"/>
  <c r="CA20" i="19"/>
  <c r="CB20" i="19"/>
  <c r="CC20" i="19"/>
  <c r="CD20" i="19"/>
  <c r="CE20" i="19"/>
  <c r="CF20" i="19"/>
  <c r="CG20" i="19"/>
  <c r="CH20" i="19"/>
  <c r="CI20" i="19"/>
  <c r="CJ20" i="19"/>
  <c r="CK20" i="19"/>
  <c r="E22" i="19"/>
  <c r="E31" i="20"/>
  <c r="E17" i="19" s="1"/>
  <c r="E16" i="19"/>
  <c r="E15" i="19"/>
  <c r="F1658" i="10"/>
  <c r="CZ41" i="19" l="1"/>
  <c r="CZ39" i="19" s="1"/>
  <c r="CZ49" i="19" s="1"/>
  <c r="AN41" i="19"/>
  <c r="AN39" i="19" s="1"/>
  <c r="AN49" i="19" s="1"/>
  <c r="CO41" i="19"/>
  <c r="CO39" i="19" s="1"/>
  <c r="CO49" i="19" s="1"/>
  <c r="AC41" i="19"/>
  <c r="AC39" i="19" s="1"/>
  <c r="CN41" i="19"/>
  <c r="CN39" i="19" s="1"/>
  <c r="CN49" i="19" s="1"/>
  <c r="AB41" i="19"/>
  <c r="AB39" i="19" s="1"/>
  <c r="CJ41" i="19"/>
  <c r="CJ39" i="19" s="1"/>
  <c r="CJ49" i="19" s="1"/>
  <c r="X41" i="19"/>
  <c r="X39" i="19" s="1"/>
  <c r="AZ41" i="19"/>
  <c r="AZ39" i="19" s="1"/>
  <c r="AZ49" i="19" s="1"/>
  <c r="CI41" i="19"/>
  <c r="CI39" i="19" s="1"/>
  <c r="CI49" i="19" s="1"/>
  <c r="W41" i="19"/>
  <c r="W39" i="19" s="1"/>
  <c r="CH41" i="19"/>
  <c r="CH39" i="19" s="1"/>
  <c r="CH49" i="19" s="1"/>
  <c r="V41" i="19"/>
  <c r="V39" i="19" s="1"/>
  <c r="CG41" i="19"/>
  <c r="CG39" i="19" s="1"/>
  <c r="CG49" i="19" s="1"/>
  <c r="U41" i="19"/>
  <c r="U39" i="19" s="1"/>
  <c r="CF41" i="19"/>
  <c r="CF39" i="19" s="1"/>
  <c r="CF49" i="19" s="1"/>
  <c r="T41" i="19"/>
  <c r="T39" i="19" s="1"/>
  <c r="BT41" i="19"/>
  <c r="BT39" i="19" s="1"/>
  <c r="BS36" i="19"/>
  <c r="BI41" i="19"/>
  <c r="BI39" i="19" s="1"/>
  <c r="BI49" i="19" s="1"/>
  <c r="BH41" i="19"/>
  <c r="BH39" i="19" s="1"/>
  <c r="BD41" i="19"/>
  <c r="BD39" i="19" s="1"/>
  <c r="BC41" i="19"/>
  <c r="BC39" i="19" s="1"/>
  <c r="BC49" i="19" s="1"/>
  <c r="BB41" i="19"/>
  <c r="BB39" i="19" s="1"/>
  <c r="BB49" i="19" s="1"/>
  <c r="BA41" i="19"/>
  <c r="BA39" i="19" s="1"/>
  <c r="BA49" i="19" s="1"/>
  <c r="BZ41" i="19"/>
  <c r="BZ39" i="19" s="1"/>
  <c r="BZ49" i="19" s="1"/>
  <c r="AT41" i="19"/>
  <c r="AT39" i="19" s="1"/>
  <c r="AT49" i="19" s="1"/>
  <c r="N41" i="19"/>
  <c r="N39" i="19" s="1"/>
  <c r="BY41" i="19"/>
  <c r="BY39" i="19" s="1"/>
  <c r="BY49" i="19" s="1"/>
  <c r="AS41" i="19"/>
  <c r="AS39" i="19" s="1"/>
  <c r="AS49" i="19" s="1"/>
  <c r="M41" i="19"/>
  <c r="M39" i="19" s="1"/>
  <c r="BX41" i="19"/>
  <c r="BX39" i="19" s="1"/>
  <c r="BX49" i="19" s="1"/>
  <c r="AR41" i="19"/>
  <c r="AR39" i="19" s="1"/>
  <c r="AR49" i="19" s="1"/>
  <c r="L41" i="19"/>
  <c r="L39" i="19" s="1"/>
  <c r="CY41" i="19"/>
  <c r="BS41" i="19"/>
  <c r="BS39" i="19" s="1"/>
  <c r="AM41" i="19"/>
  <c r="AM39" i="19" s="1"/>
  <c r="AM49" i="19" s="1"/>
  <c r="CX41" i="19"/>
  <c r="CX39" i="19" s="1"/>
  <c r="CX49" i="19" s="1"/>
  <c r="BR41" i="19"/>
  <c r="BR39" i="19" s="1"/>
  <c r="AL41" i="19"/>
  <c r="AL39" i="19" s="1"/>
  <c r="AL49" i="19" s="1"/>
  <c r="CW41" i="19"/>
  <c r="BQ41" i="19"/>
  <c r="BQ39" i="19" s="1"/>
  <c r="AK41" i="19"/>
  <c r="AK39" i="19" s="1"/>
  <c r="AK49" i="19" s="1"/>
  <c r="CV41" i="19"/>
  <c r="BP41" i="19"/>
  <c r="BP39" i="19" s="1"/>
  <c r="BP49" i="19" s="1"/>
  <c r="AJ41" i="19"/>
  <c r="AJ39" i="19" s="1"/>
  <c r="AJ49" i="19" s="1"/>
  <c r="CP41" i="19"/>
  <c r="CP39" i="19" s="1"/>
  <c r="CP49" i="19" s="1"/>
  <c r="BJ41" i="19"/>
  <c r="BJ39" i="19" s="1"/>
  <c r="AD41" i="19"/>
  <c r="AD39" i="19" s="1"/>
  <c r="E18" i="21"/>
  <c r="CU41" i="19"/>
  <c r="CE41" i="19"/>
  <c r="CE39" i="19" s="1"/>
  <c r="CE49" i="19" s="1"/>
  <c r="BO41" i="19"/>
  <c r="BO39" i="19" s="1"/>
  <c r="AY41" i="19"/>
  <c r="AY39" i="19" s="1"/>
  <c r="AY49" i="19" s="1"/>
  <c r="AI41" i="19"/>
  <c r="AI39" i="19" s="1"/>
  <c r="AI49" i="19" s="1"/>
  <c r="S41" i="19"/>
  <c r="S39" i="19" s="1"/>
  <c r="BS35" i="19"/>
  <c r="CT41" i="19"/>
  <c r="CT39" i="19" s="1"/>
  <c r="CT49" i="19" s="1"/>
  <c r="CD41" i="19"/>
  <c r="CD39" i="19" s="1"/>
  <c r="CD49" i="19" s="1"/>
  <c r="BN41" i="19"/>
  <c r="BN39" i="19" s="1"/>
  <c r="BN49" i="19" s="1"/>
  <c r="AX41" i="19"/>
  <c r="AX39" i="19" s="1"/>
  <c r="AX49" i="19" s="1"/>
  <c r="AH41" i="19"/>
  <c r="AH39" i="19" s="1"/>
  <c r="R41" i="19"/>
  <c r="R39" i="19" s="1"/>
  <c r="CS41" i="19"/>
  <c r="CS39" i="19" s="1"/>
  <c r="CS49" i="19" s="1"/>
  <c r="CC41" i="19"/>
  <c r="CC39" i="19" s="1"/>
  <c r="CC49" i="19" s="1"/>
  <c r="BM41" i="19"/>
  <c r="BM39" i="19" s="1"/>
  <c r="AW41" i="19"/>
  <c r="AW39" i="19" s="1"/>
  <c r="AW49" i="19" s="1"/>
  <c r="AG41" i="19"/>
  <c r="AG39" i="19" s="1"/>
  <c r="Q41" i="19"/>
  <c r="Q39" i="19" s="1"/>
  <c r="CR41" i="19"/>
  <c r="CR39" i="19" s="1"/>
  <c r="CR49" i="19" s="1"/>
  <c r="CB41" i="19"/>
  <c r="CB39" i="19" s="1"/>
  <c r="CB49" i="19" s="1"/>
  <c r="BL41" i="19"/>
  <c r="BL39" i="19" s="1"/>
  <c r="AV41" i="19"/>
  <c r="AV39" i="19" s="1"/>
  <c r="AV49" i="19" s="1"/>
  <c r="AF41" i="19"/>
  <c r="AF39" i="19" s="1"/>
  <c r="P41" i="19"/>
  <c r="P39" i="19" s="1"/>
  <c r="CQ41" i="19"/>
  <c r="CQ39" i="19" s="1"/>
  <c r="CQ49" i="19" s="1"/>
  <c r="CA41" i="19"/>
  <c r="CA39" i="19" s="1"/>
  <c r="CA49" i="19" s="1"/>
  <c r="BK41" i="19"/>
  <c r="BK39" i="19" s="1"/>
  <c r="AU41" i="19"/>
  <c r="AU39" i="19" s="1"/>
  <c r="AU49" i="19" s="1"/>
  <c r="AE41" i="19"/>
  <c r="AE39" i="19" s="1"/>
  <c r="O41" i="19"/>
  <c r="O39" i="19" s="1"/>
  <c r="CM41" i="19"/>
  <c r="CM39" i="19" s="1"/>
  <c r="CM49" i="19" s="1"/>
  <c r="BW41" i="19"/>
  <c r="BW39" i="19" s="1"/>
  <c r="BW49" i="19" s="1"/>
  <c r="BG41" i="19"/>
  <c r="BG39" i="19" s="1"/>
  <c r="AQ41" i="19"/>
  <c r="AQ39" i="19" s="1"/>
  <c r="AQ49" i="19" s="1"/>
  <c r="AA41" i="19"/>
  <c r="AA39" i="19" s="1"/>
  <c r="K41" i="19"/>
  <c r="K39" i="19" s="1"/>
  <c r="I41" i="19"/>
  <c r="I39" i="19" s="1"/>
  <c r="CL41" i="19"/>
  <c r="CL39" i="19" s="1"/>
  <c r="CL49" i="19" s="1"/>
  <c r="BV41" i="19"/>
  <c r="BV39" i="19" s="1"/>
  <c r="BF41" i="19"/>
  <c r="BF39" i="19" s="1"/>
  <c r="AP41" i="19"/>
  <c r="AP39" i="19" s="1"/>
  <c r="AP49" i="19" s="1"/>
  <c r="Z41" i="19"/>
  <c r="Z39" i="19" s="1"/>
  <c r="J41" i="19"/>
  <c r="J39" i="19" s="1"/>
  <c r="DA41" i="19"/>
  <c r="DA39" i="19" s="1"/>
  <c r="DA49" i="19" s="1"/>
  <c r="CK41" i="19"/>
  <c r="CK39" i="19" s="1"/>
  <c r="CK49" i="19" s="1"/>
  <c r="BU41" i="19"/>
  <c r="BU39" i="19" s="1"/>
  <c r="BU49" i="19" s="1"/>
  <c r="BE41" i="19"/>
  <c r="BE39" i="19" s="1"/>
  <c r="AO41" i="19"/>
  <c r="AO39" i="19" s="1"/>
  <c r="AO49" i="19" s="1"/>
  <c r="CW40" i="19"/>
  <c r="CV40" i="19"/>
  <c r="BR35" i="19"/>
  <c r="BR28" i="19" s="1"/>
  <c r="BR20" i="19" s="1"/>
  <c r="CU40" i="19"/>
  <c r="CY40" i="19"/>
  <c r="BK30" i="19"/>
  <c r="BK28" i="19" s="1"/>
  <c r="BK20" i="19" s="1"/>
  <c r="BJ30" i="19"/>
  <c r="BJ28" i="19" s="1"/>
  <c r="BJ20" i="19" s="1"/>
  <c r="C1643" i="10"/>
  <c r="BM31" i="19"/>
  <c r="BT38" i="19"/>
  <c r="BT28" i="19" s="1"/>
  <c r="BT20" i="19" s="1"/>
  <c r="BL31" i="19"/>
  <c r="BL28" i="19" s="1"/>
  <c r="BL20" i="19" s="1"/>
  <c r="BV38" i="19"/>
  <c r="BV28" i="19" s="1"/>
  <c r="BV20" i="19" s="1"/>
  <c r="BM32" i="19"/>
  <c r="BO32" i="19"/>
  <c r="C1595" i="10"/>
  <c r="BO33" i="19"/>
  <c r="BQ33" i="19"/>
  <c r="BQ28" i="19" s="1"/>
  <c r="BQ20" i="19" s="1"/>
  <c r="C1596" i="10"/>
  <c r="C1550" i="10"/>
  <c r="C1551" i="10"/>
  <c r="C1504" i="10"/>
  <c r="F1505" i="10"/>
  <c r="C1412" i="10"/>
  <c r="C1458" i="10"/>
  <c r="C1459" i="10"/>
  <c r="C1413" i="10"/>
  <c r="F1367" i="10"/>
  <c r="C1366" i="10"/>
  <c r="F1321" i="10"/>
  <c r="C1320" i="10"/>
  <c r="C1275" i="10"/>
  <c r="C1274" i="10"/>
  <c r="C1229" i="10"/>
  <c r="F1228" i="10"/>
  <c r="F1183" i="10"/>
  <c r="C1182" i="10"/>
  <c r="BT49" i="19" l="1"/>
  <c r="CY39" i="19"/>
  <c r="CY49" i="19" s="1"/>
  <c r="BS28" i="19"/>
  <c r="BS20" i="19" s="1"/>
  <c r="BS49" i="19" s="1"/>
  <c r="CV39" i="19"/>
  <c r="CV49" i="19" s="1"/>
  <c r="BQ49" i="19"/>
  <c r="G1697" i="10" s="1"/>
  <c r="G1701" i="10" s="1"/>
  <c r="CW39" i="19"/>
  <c r="CW49" i="19" s="1"/>
  <c r="BJ49" i="19"/>
  <c r="BR49" i="19"/>
  <c r="BK49" i="19"/>
  <c r="CU39" i="19"/>
  <c r="CU49" i="19" s="1"/>
  <c r="BV49" i="19"/>
  <c r="BL49" i="19"/>
  <c r="BO28" i="19"/>
  <c r="BO20" i="19" s="1"/>
  <c r="BO49" i="19" s="1"/>
  <c r="BM28" i="19"/>
  <c r="BM20" i="19" s="1"/>
  <c r="BM49" i="19" s="1"/>
  <c r="C353" i="10" l="1"/>
  <c r="C910" i="10"/>
  <c r="I353" i="10"/>
  <c r="B1121" i="10"/>
  <c r="J1103" i="10"/>
  <c r="B1103" i="10"/>
  <c r="F1103" i="10" s="1"/>
  <c r="S1082" i="10"/>
  <c r="F1082" i="10"/>
  <c r="C1082" i="10"/>
  <c r="B1102" i="10"/>
  <c r="B1095" i="10"/>
  <c r="B1094" i="10"/>
  <c r="B112" i="10"/>
  <c r="B1048" i="10"/>
  <c r="F1048" i="10" s="1"/>
  <c r="B1047" i="10"/>
  <c r="F1047" i="10" s="1"/>
  <c r="J1049" i="10"/>
  <c r="J988" i="10"/>
  <c r="B987" i="10"/>
  <c r="C987" i="10" s="1"/>
  <c r="B986" i="10"/>
  <c r="F986" i="10" s="1"/>
  <c r="J347" i="10"/>
  <c r="K926" i="10"/>
  <c r="J902" i="10"/>
  <c r="B902" i="10"/>
  <c r="C902" i="10" s="1"/>
  <c r="B347" i="10"/>
  <c r="F347" i="10" s="1"/>
  <c r="J423" i="10"/>
  <c r="B421" i="10"/>
  <c r="C421" i="10" s="1"/>
  <c r="B422" i="10"/>
  <c r="F422" i="10" s="1"/>
  <c r="B420" i="10"/>
  <c r="F420" i="10" s="1"/>
  <c r="L366" i="10"/>
  <c r="F108" i="10"/>
  <c r="J298" i="10"/>
  <c r="B297" i="10"/>
  <c r="F297" i="10" s="1"/>
  <c r="B296" i="10"/>
  <c r="C296" i="10" s="1"/>
  <c r="J256" i="10"/>
  <c r="B255" i="10"/>
  <c r="C255" i="10" s="1"/>
  <c r="B254" i="10"/>
  <c r="F254" i="10" s="1"/>
  <c r="R135" i="10"/>
  <c r="K19" i="14" s="1"/>
  <c r="J96" i="10"/>
  <c r="J214" i="10"/>
  <c r="B212" i="10"/>
  <c r="F212" i="10" s="1"/>
  <c r="B213" i="10"/>
  <c r="F213" i="10" s="1"/>
  <c r="B211" i="10"/>
  <c r="C211" i="10" s="1"/>
  <c r="B40" i="10"/>
  <c r="F40" i="10" s="1"/>
  <c r="B39" i="10"/>
  <c r="F39" i="10" s="1"/>
  <c r="J41" i="10"/>
  <c r="B169" i="10"/>
  <c r="F169" i="10" s="1"/>
  <c r="B168" i="10"/>
  <c r="C168" i="10" s="1"/>
  <c r="J170" i="10"/>
  <c r="F1121" i="10" l="1"/>
  <c r="B19" i="16"/>
  <c r="L16" i="21"/>
  <c r="M16" i="21"/>
  <c r="N16" i="21"/>
  <c r="O16" i="21"/>
  <c r="P16" i="21"/>
  <c r="K16" i="21"/>
  <c r="R23" i="19"/>
  <c r="S23" i="19"/>
  <c r="T23" i="19"/>
  <c r="Q23" i="19"/>
  <c r="Q26" i="19"/>
  <c r="R26" i="19"/>
  <c r="P26" i="19"/>
  <c r="P21" i="19" s="1"/>
  <c r="P20" i="19" s="1"/>
  <c r="AC19" i="19"/>
  <c r="AC18" i="19" s="1"/>
  <c r="AC49" i="19" s="1"/>
  <c r="AF19" i="19"/>
  <c r="AF18" i="19" s="1"/>
  <c r="AF49" i="19" s="1"/>
  <c r="AG19" i="19"/>
  <c r="AG18" i="19" s="1"/>
  <c r="AG49" i="19" s="1"/>
  <c r="AB19" i="19"/>
  <c r="AB18" i="19" s="1"/>
  <c r="AB49" i="19" s="1"/>
  <c r="AD19" i="19"/>
  <c r="AD18" i="19" s="1"/>
  <c r="AD49" i="19" s="1"/>
  <c r="AE19" i="19"/>
  <c r="AE18" i="19" s="1"/>
  <c r="AE49" i="19" s="1"/>
  <c r="AH19" i="19"/>
  <c r="AH18" i="19" s="1"/>
  <c r="AH49" i="19" s="1"/>
  <c r="T19" i="19"/>
  <c r="U19" i="19"/>
  <c r="U18" i="19" s="1"/>
  <c r="U49" i="19" s="1"/>
  <c r="X19" i="19"/>
  <c r="X18" i="19" s="1"/>
  <c r="X49" i="19" s="1"/>
  <c r="Y19" i="19"/>
  <c r="Y18" i="19" s="1"/>
  <c r="Y49" i="19" s="1"/>
  <c r="Z19" i="19"/>
  <c r="Z18" i="19" s="1"/>
  <c r="Z49" i="19" s="1"/>
  <c r="AA19" i="19"/>
  <c r="AA18" i="19" s="1"/>
  <c r="AA49" i="19" s="1"/>
  <c r="V19" i="19"/>
  <c r="V18" i="19" s="1"/>
  <c r="V49" i="19" s="1"/>
  <c r="W19" i="19"/>
  <c r="W18" i="19" s="1"/>
  <c r="W49" i="19" s="1"/>
  <c r="J22" i="19"/>
  <c r="J21" i="19" s="1"/>
  <c r="J20" i="19" s="1"/>
  <c r="J49" i="19" s="1"/>
  <c r="I22" i="19"/>
  <c r="I21" i="19" s="1"/>
  <c r="I20" i="19" s="1"/>
  <c r="I49" i="19" s="1"/>
  <c r="BF29" i="19"/>
  <c r="BF28" i="19" s="1"/>
  <c r="BF20" i="19" s="1"/>
  <c r="BF49" i="19" s="1"/>
  <c r="BE29" i="19"/>
  <c r="BE28" i="19" s="1"/>
  <c r="BE20" i="19" s="1"/>
  <c r="BE49" i="19" s="1"/>
  <c r="BG29" i="19"/>
  <c r="BG28" i="19" s="1"/>
  <c r="BG20" i="19" s="1"/>
  <c r="BG49" i="19" s="1"/>
  <c r="BH29" i="19"/>
  <c r="BH28" i="19" s="1"/>
  <c r="BH20" i="19" s="1"/>
  <c r="BH49" i="19" s="1"/>
  <c r="BD29" i="19"/>
  <c r="BD28" i="19" s="1"/>
  <c r="BD20" i="19" s="1"/>
  <c r="BD49" i="19" s="1"/>
  <c r="O25" i="19"/>
  <c r="O21" i="19" s="1"/>
  <c r="O20" i="19" s="1"/>
  <c r="M25" i="19"/>
  <c r="M21" i="19" s="1"/>
  <c r="M20" i="19" s="1"/>
  <c r="N25" i="19"/>
  <c r="N21" i="19" s="1"/>
  <c r="N20" i="19" s="1"/>
  <c r="K24" i="19"/>
  <c r="K21" i="19" s="1"/>
  <c r="K20" i="19" s="1"/>
  <c r="L24" i="19"/>
  <c r="L21" i="19" s="1"/>
  <c r="L20" i="19" s="1"/>
  <c r="Q27" i="19"/>
  <c r="R27" i="19"/>
  <c r="S27" i="19"/>
  <c r="T27" i="19"/>
  <c r="C1121" i="10"/>
  <c r="C1103" i="10"/>
  <c r="C1047" i="10"/>
  <c r="C1048" i="10"/>
  <c r="C986" i="10"/>
  <c r="F987" i="10"/>
  <c r="J348" i="10"/>
  <c r="J903" i="10"/>
  <c r="F902" i="10"/>
  <c r="C420" i="10"/>
  <c r="F421" i="10"/>
  <c r="C347" i="10"/>
  <c r="C422" i="10"/>
  <c r="C212" i="10"/>
  <c r="F296" i="10"/>
  <c r="C297" i="10"/>
  <c r="C213" i="10"/>
  <c r="F255" i="10"/>
  <c r="C254" i="10"/>
  <c r="C40" i="10"/>
  <c r="C39" i="10"/>
  <c r="F211" i="10"/>
  <c r="C169" i="10"/>
  <c r="F168" i="10"/>
  <c r="E19" i="16" l="1"/>
  <c r="C19" i="16"/>
  <c r="D19" i="16" s="1"/>
  <c r="R18" i="21"/>
  <c r="S18" i="21"/>
  <c r="K18" i="21"/>
  <c r="L18" i="21"/>
  <c r="M18" i="21"/>
  <c r="N18" i="21"/>
  <c r="O18" i="21"/>
  <c r="P18" i="21"/>
  <c r="Q18" i="21"/>
  <c r="L17" i="21"/>
  <c r="M17" i="21"/>
  <c r="N17" i="21"/>
  <c r="O17" i="21"/>
  <c r="P17" i="21"/>
  <c r="K17" i="21"/>
  <c r="T18" i="19"/>
  <c r="Q21" i="19"/>
  <c r="Q20" i="19" s="1"/>
  <c r="T21" i="19"/>
  <c r="T20" i="19" s="1"/>
  <c r="S21" i="19"/>
  <c r="S20" i="19" s="1"/>
  <c r="R21" i="19"/>
  <c r="R20" i="19" s="1"/>
  <c r="C22" i="24"/>
  <c r="L1441" i="10"/>
  <c r="G18" i="11"/>
  <c r="F18" i="11"/>
  <c r="B18" i="11"/>
  <c r="L18" i="11" s="1"/>
  <c r="B1120" i="10"/>
  <c r="E23" i="14"/>
  <c r="I23" i="14"/>
  <c r="J23" i="14"/>
  <c r="J21" i="14"/>
  <c r="I21" i="14"/>
  <c r="E21" i="14"/>
  <c r="I19" i="14"/>
  <c r="J19" i="14"/>
  <c r="B47" i="11"/>
  <c r="B40" i="11"/>
  <c r="B24" i="11"/>
  <c r="B21" i="11"/>
  <c r="B95" i="10"/>
  <c r="F95" i="10" s="1"/>
  <c r="T49" i="19" l="1"/>
  <c r="C18" i="11"/>
  <c r="D18" i="11" s="1"/>
  <c r="E18" i="11"/>
  <c r="C95" i="10"/>
  <c r="S949" i="10"/>
  <c r="K23" i="14" s="1"/>
  <c r="B21" i="14"/>
  <c r="B19" i="14"/>
  <c r="C19" i="14" s="1"/>
  <c r="D19" i="14" s="1"/>
  <c r="B20" i="13"/>
  <c r="E18" i="13"/>
  <c r="B18" i="13"/>
  <c r="B1030" i="10"/>
  <c r="E19" i="14" l="1"/>
  <c r="C949" i="10"/>
  <c r="B23" i="14"/>
  <c r="C135" i="10"/>
  <c r="S389" i="10"/>
  <c r="K21" i="14" s="1"/>
  <c r="C20" i="13"/>
  <c r="D20" i="13" s="1"/>
  <c r="C389" i="10"/>
  <c r="C18" i="13"/>
  <c r="D18" i="13" s="1"/>
  <c r="H940" i="10" l="1"/>
  <c r="F940" i="10"/>
  <c r="H939" i="10"/>
  <c r="F939" i="10"/>
  <c r="H938" i="10"/>
  <c r="F938" i="10"/>
  <c r="K949" i="10" l="1"/>
  <c r="G23" i="14" s="1"/>
  <c r="H941" i="10"/>
  <c r="I940" i="10" s="1"/>
  <c r="I938" i="10" l="1"/>
  <c r="I949" i="10"/>
  <c r="F23" i="14" s="1"/>
  <c r="H23" i="14" s="1"/>
  <c r="I939" i="10"/>
  <c r="C21" i="14"/>
  <c r="D21" i="14" s="1"/>
  <c r="M23" i="14" l="1"/>
  <c r="N23" i="14" s="1"/>
  <c r="L23" i="14"/>
  <c r="Q23" i="14" s="1"/>
  <c r="Q22" i="14" s="1"/>
  <c r="I941" i="10"/>
  <c r="M949" i="10"/>
  <c r="H380" i="10"/>
  <c r="F380" i="10"/>
  <c r="H379" i="10"/>
  <c r="F379" i="10"/>
  <c r="H378" i="10"/>
  <c r="F378" i="10"/>
  <c r="H338" i="10"/>
  <c r="F20" i="13" s="1"/>
  <c r="G20" i="13" s="1"/>
  <c r="N7" i="1"/>
  <c r="R8" i="38" s="1"/>
  <c r="G8" i="24"/>
  <c r="G24" i="11"/>
  <c r="F24" i="11"/>
  <c r="E24" i="11"/>
  <c r="B23" i="11"/>
  <c r="N8" i="1"/>
  <c r="G9" i="24"/>
  <c r="C86" i="10"/>
  <c r="C8" i="1"/>
  <c r="C8" i="37" s="1"/>
  <c r="C7" i="1"/>
  <c r="C7" i="38"/>
  <c r="C5" i="1"/>
  <c r="C6" i="38" s="1"/>
  <c r="C4" i="1"/>
  <c r="C5" i="38" s="1"/>
  <c r="C7" i="24"/>
  <c r="C6" i="24"/>
  <c r="C5" i="24"/>
  <c r="L8" i="37" l="1"/>
  <c r="R9" i="38"/>
  <c r="C7" i="37"/>
  <c r="C7" i="15"/>
  <c r="C7" i="19"/>
  <c r="C7" i="20"/>
  <c r="C7" i="35"/>
  <c r="C6" i="35"/>
  <c r="C5" i="37"/>
  <c r="F8" i="35"/>
  <c r="L7" i="37"/>
  <c r="C5" i="35"/>
  <c r="C4" i="37"/>
  <c r="F9" i="35"/>
  <c r="C8" i="29"/>
  <c r="K389" i="10"/>
  <c r="G21" i="14" s="1"/>
  <c r="W949" i="10"/>
  <c r="Y949" i="10" s="1"/>
  <c r="U949" i="10"/>
  <c r="AC949" i="10" s="1"/>
  <c r="AC950" i="10" s="1"/>
  <c r="H381" i="10"/>
  <c r="L24" i="11"/>
  <c r="C24" i="11"/>
  <c r="D24" i="11" s="1"/>
  <c r="I379" i="10" l="1"/>
  <c r="I389" i="10"/>
  <c r="F21" i="14" s="1"/>
  <c r="H21" i="14" s="1"/>
  <c r="I378" i="10"/>
  <c r="I380" i="10"/>
  <c r="M21" i="14" l="1"/>
  <c r="N21" i="14" s="1"/>
  <c r="L21" i="14"/>
  <c r="Q21" i="14" s="1"/>
  <c r="Q20" i="14" s="1"/>
  <c r="I381" i="10"/>
  <c r="D24" i="7" l="1"/>
  <c r="K8" i="4" l="1"/>
  <c r="J7" i="4"/>
  <c r="J8" i="4"/>
  <c r="I8" i="4"/>
  <c r="L14" i="1" l="1"/>
  <c r="B40" i="16" l="1"/>
  <c r="G14" i="1"/>
  <c r="B14" i="1"/>
  <c r="F92" i="11" l="1"/>
  <c r="G92" i="11"/>
  <c r="B92" i="11"/>
  <c r="E92" i="11" s="1"/>
  <c r="C1448" i="10"/>
  <c r="F1448" i="10"/>
  <c r="S1448" i="10"/>
  <c r="B89" i="11"/>
  <c r="E89" i="11" s="1"/>
  <c r="F89" i="11"/>
  <c r="G89" i="11"/>
  <c r="C1402" i="10"/>
  <c r="F1402" i="10"/>
  <c r="S1402" i="10"/>
  <c r="F86" i="11"/>
  <c r="G86" i="11"/>
  <c r="B86" i="11"/>
  <c r="C86" i="11" s="1"/>
  <c r="D86" i="11" s="1"/>
  <c r="F1356" i="10"/>
  <c r="S1356" i="10"/>
  <c r="C1356" i="10"/>
  <c r="F83" i="11"/>
  <c r="G83" i="11"/>
  <c r="B83" i="11"/>
  <c r="E83" i="11" s="1"/>
  <c r="B84" i="11"/>
  <c r="F1310" i="10"/>
  <c r="S1310" i="10"/>
  <c r="C1310" i="10"/>
  <c r="F80" i="11"/>
  <c r="G80" i="11"/>
  <c r="B80" i="11"/>
  <c r="E80" i="11" s="1"/>
  <c r="B81" i="11"/>
  <c r="F1264" i="10"/>
  <c r="S1264" i="10"/>
  <c r="C1264" i="10"/>
  <c r="F77" i="11"/>
  <c r="G77" i="11"/>
  <c r="B77" i="11"/>
  <c r="E77" i="11" s="1"/>
  <c r="C1218" i="10"/>
  <c r="F1218" i="10"/>
  <c r="S1218" i="10"/>
  <c r="F74" i="11"/>
  <c r="G74" i="11"/>
  <c r="B74" i="11"/>
  <c r="E74" i="11" s="1"/>
  <c r="C1172" i="10"/>
  <c r="F1172" i="10"/>
  <c r="S1172" i="10"/>
  <c r="F53" i="11"/>
  <c r="G53" i="11"/>
  <c r="B53" i="11"/>
  <c r="L53" i="11" s="1"/>
  <c r="F44" i="11"/>
  <c r="G44" i="11"/>
  <c r="B44" i="11"/>
  <c r="E44" i="11" s="1"/>
  <c r="F37" i="11"/>
  <c r="G37" i="11"/>
  <c r="B37" i="11"/>
  <c r="C37" i="11" s="1"/>
  <c r="D37" i="11" s="1"/>
  <c r="F34" i="11"/>
  <c r="G34" i="11"/>
  <c r="B33" i="11"/>
  <c r="B34" i="11"/>
  <c r="C34" i="11" s="1"/>
  <c r="D34" i="11" s="1"/>
  <c r="F30" i="11"/>
  <c r="G30" i="11"/>
  <c r="F31" i="11"/>
  <c r="G31" i="11"/>
  <c r="G29" i="11"/>
  <c r="F29" i="11"/>
  <c r="B31" i="11"/>
  <c r="E31" i="11" s="1"/>
  <c r="B29" i="11"/>
  <c r="B30" i="11"/>
  <c r="C30" i="11" s="1"/>
  <c r="D30" i="11" s="1"/>
  <c r="F27" i="11"/>
  <c r="G27" i="11"/>
  <c r="B27" i="11"/>
  <c r="E27" i="11" s="1"/>
  <c r="L23" i="11"/>
  <c r="G21" i="11"/>
  <c r="F21" i="11"/>
  <c r="B20" i="11"/>
  <c r="E20" i="11" s="1"/>
  <c r="G23" i="11"/>
  <c r="F23" i="11"/>
  <c r="C81" i="10"/>
  <c r="F81" i="10"/>
  <c r="U81" i="10"/>
  <c r="C30" i="10"/>
  <c r="G30" i="10"/>
  <c r="W30" i="10"/>
  <c r="G20" i="11"/>
  <c r="F20" i="11"/>
  <c r="C89" i="11" l="1"/>
  <c r="D89" i="11" s="1"/>
  <c r="L92" i="11"/>
  <c r="C92" i="11"/>
  <c r="D92" i="11" s="1"/>
  <c r="L89" i="11"/>
  <c r="L86" i="11"/>
  <c r="E86" i="11"/>
  <c r="C83" i="11"/>
  <c r="D83" i="11" s="1"/>
  <c r="L83" i="11"/>
  <c r="C80" i="11"/>
  <c r="D80" i="11" s="1"/>
  <c r="L80" i="11"/>
  <c r="L77" i="11"/>
  <c r="C77" i="11"/>
  <c r="D77" i="11" s="1"/>
  <c r="L74" i="11"/>
  <c r="E53" i="11"/>
  <c r="C53" i="11"/>
  <c r="D53" i="11" s="1"/>
  <c r="C74" i="11"/>
  <c r="D74" i="11" s="1"/>
  <c r="C44" i="11"/>
  <c r="D44" i="11" s="1"/>
  <c r="L44" i="11"/>
  <c r="L34" i="11"/>
  <c r="L37" i="11"/>
  <c r="E37" i="11"/>
  <c r="E34" i="11"/>
  <c r="L31" i="11"/>
  <c r="L30" i="11"/>
  <c r="C31" i="11"/>
  <c r="D31" i="11" s="1"/>
  <c r="E30" i="11"/>
  <c r="C27" i="11"/>
  <c r="D27" i="11" s="1"/>
  <c r="L27" i="11"/>
  <c r="C23" i="11"/>
  <c r="D23" i="11" s="1"/>
  <c r="E23" i="11"/>
  <c r="C20" i="11"/>
  <c r="D20" i="11" s="1"/>
  <c r="L20" i="11"/>
  <c r="H1741" i="10" l="1"/>
  <c r="G1761" i="10" l="1"/>
  <c r="F1761" i="10"/>
  <c r="H1753" i="10"/>
  <c r="H1752" i="10"/>
  <c r="H1751" i="10"/>
  <c r="H1750" i="10"/>
  <c r="C1753" i="10"/>
  <c r="C1752" i="10"/>
  <c r="C1751" i="10"/>
  <c r="C1750" i="10"/>
  <c r="H1742" i="10"/>
  <c r="H1740" i="10"/>
  <c r="H1739" i="10"/>
  <c r="C1742" i="10"/>
  <c r="C1741" i="10"/>
  <c r="C1740" i="10"/>
  <c r="C1739" i="10"/>
  <c r="J1692" i="10"/>
  <c r="D1692" i="10"/>
  <c r="G102" i="11"/>
  <c r="F102" i="11"/>
  <c r="B102" i="11"/>
  <c r="E102" i="11" s="1"/>
  <c r="G101" i="11"/>
  <c r="F101" i="11"/>
  <c r="B101" i="11"/>
  <c r="E101" i="11" s="1"/>
  <c r="S1586" i="10"/>
  <c r="F1586" i="10"/>
  <c r="C1586" i="10"/>
  <c r="S1585" i="10"/>
  <c r="F1585" i="10"/>
  <c r="C1585" i="10"/>
  <c r="J17" i="14"/>
  <c r="I17" i="14"/>
  <c r="G1146" i="10"/>
  <c r="E17" i="14" s="1"/>
  <c r="S1146" i="10"/>
  <c r="K17" i="14" s="1"/>
  <c r="E1140" i="10"/>
  <c r="E1141" i="10" s="1"/>
  <c r="H1135" i="10"/>
  <c r="F1135" i="10"/>
  <c r="H1134" i="10"/>
  <c r="F1134" i="10"/>
  <c r="F1133" i="10"/>
  <c r="L101" i="11" l="1"/>
  <c r="L102" i="11"/>
  <c r="C102" i="11"/>
  <c r="D102" i="11" s="1"/>
  <c r="C101" i="11"/>
  <c r="D101" i="11" s="1"/>
  <c r="B17" i="14"/>
  <c r="C17" i="14" s="1"/>
  <c r="D17" i="14" s="1"/>
  <c r="C1146" i="10"/>
  <c r="E1142" i="10"/>
  <c r="AA1146" i="10" s="1"/>
  <c r="O17" i="14" s="1"/>
  <c r="I996" i="10"/>
  <c r="C996" i="10"/>
  <c r="P17" i="14" l="1"/>
  <c r="C23" i="14"/>
  <c r="D23" i="14" s="1"/>
  <c r="G36" i="11" l="1"/>
  <c r="F36" i="11"/>
  <c r="B36" i="11"/>
  <c r="V288" i="10"/>
  <c r="V287" i="10"/>
  <c r="F288" i="10"/>
  <c r="F287" i="10"/>
  <c r="C288" i="10"/>
  <c r="C287" i="10"/>
  <c r="P287" i="10" l="1"/>
  <c r="P288" i="10"/>
  <c r="I37" i="11" l="1"/>
  <c r="I36" i="11"/>
  <c r="I7" i="4" l="1"/>
  <c r="K7" i="4" s="1"/>
  <c r="J6" i="4"/>
  <c r="I6" i="4"/>
  <c r="J5" i="4"/>
  <c r="I5" i="4"/>
  <c r="J4" i="4"/>
  <c r="I4" i="4"/>
  <c r="J3" i="4"/>
  <c r="I3" i="4"/>
  <c r="J2" i="4"/>
  <c r="I2" i="4"/>
  <c r="O128" i="10"/>
  <c r="O125" i="10"/>
  <c r="O126" i="10" s="1"/>
  <c r="N125" i="10"/>
  <c r="H126" i="10"/>
  <c r="H125" i="10"/>
  <c r="F126" i="10"/>
  <c r="F125" i="10"/>
  <c r="F124" i="10"/>
  <c r="P10" i="7"/>
  <c r="P11" i="7" s="1"/>
  <c r="P7" i="7"/>
  <c r="P8" i="7" s="1"/>
  <c r="P4" i="7"/>
  <c r="P5" i="7" s="1"/>
  <c r="K6" i="4" l="1"/>
  <c r="K5" i="4"/>
  <c r="K4" i="4"/>
  <c r="K3" i="4"/>
  <c r="H20" i="13" s="1"/>
  <c r="K2" i="4"/>
  <c r="H18" i="13" s="1"/>
  <c r="J29" i="32"/>
  <c r="K29" i="32" s="1"/>
  <c r="J11" i="32"/>
  <c r="K11" i="32" s="1"/>
  <c r="J30" i="32"/>
  <c r="K30" i="32" s="1"/>
  <c r="J50" i="32"/>
  <c r="K50" i="32" s="1"/>
  <c r="J46" i="32"/>
  <c r="K46" i="32" s="1"/>
  <c r="J16" i="32"/>
  <c r="K16" i="32" s="1"/>
  <c r="J38" i="32"/>
  <c r="K38" i="32" s="1"/>
  <c r="J36" i="32"/>
  <c r="K36" i="32" s="1"/>
  <c r="J43" i="32"/>
  <c r="K43" i="32" s="1"/>
  <c r="J34" i="32"/>
  <c r="K34" i="32" s="1"/>
  <c r="K6" i="32"/>
  <c r="J42" i="32"/>
  <c r="K42" i="32" s="1"/>
  <c r="J54" i="32"/>
  <c r="K54" i="32" s="1"/>
  <c r="J26" i="32"/>
  <c r="K26" i="32" s="1"/>
  <c r="J4" i="32"/>
  <c r="K4" i="32" s="1"/>
  <c r="J13" i="32"/>
  <c r="K13" i="32" s="1"/>
  <c r="J41" i="32"/>
  <c r="K41" i="32" s="1"/>
  <c r="J48" i="32"/>
  <c r="K48" i="32" s="1"/>
  <c r="J55" i="32"/>
  <c r="K55" i="32" s="1"/>
  <c r="K5" i="32"/>
  <c r="J14" i="32"/>
  <c r="K14" i="32" s="1"/>
  <c r="J27" i="32"/>
  <c r="K27" i="32" s="1"/>
  <c r="J49" i="32"/>
  <c r="K49" i="32" s="1"/>
  <c r="J15" i="32"/>
  <c r="K15" i="32" s="1"/>
  <c r="J28" i="32"/>
  <c r="K28" i="32" s="1"/>
  <c r="J35" i="32"/>
  <c r="K35" i="32" s="1"/>
  <c r="J33" i="32"/>
  <c r="K33" i="32" s="1"/>
  <c r="J40" i="32"/>
  <c r="K40" i="32" s="1"/>
  <c r="J47" i="32"/>
  <c r="K47" i="32" s="1"/>
  <c r="J8" i="32"/>
  <c r="K8" i="32" s="1"/>
  <c r="J37" i="32"/>
  <c r="K37" i="32" s="1"/>
  <c r="J44" i="32"/>
  <c r="K44" i="32" s="1"/>
  <c r="J51" i="32"/>
  <c r="K51" i="32" s="1"/>
  <c r="J9" i="32"/>
  <c r="K9" i="32" s="1"/>
  <c r="I910" i="10" s="1"/>
  <c r="J45" i="32"/>
  <c r="K45" i="32" s="1"/>
  <c r="J52" i="32"/>
  <c r="K52" i="32" s="1"/>
  <c r="J24" i="32"/>
  <c r="K24" i="32" s="1"/>
  <c r="J31" i="32"/>
  <c r="K31" i="32" s="1"/>
  <c r="J53" i="32"/>
  <c r="K53" i="32" s="1"/>
  <c r="J25" i="32"/>
  <c r="K25" i="32" s="1"/>
  <c r="J32" i="32"/>
  <c r="K32" i="32" s="1"/>
  <c r="J39" i="32"/>
  <c r="K39" i="32" s="1"/>
  <c r="O129" i="10"/>
  <c r="AA135" i="10" s="1"/>
  <c r="I912" i="10" l="1"/>
  <c r="M912" i="10" s="1"/>
  <c r="F19" i="17"/>
  <c r="J19" i="17" s="1"/>
  <c r="I911" i="10"/>
  <c r="F18" i="17"/>
  <c r="F958" i="10"/>
  <c r="K86" i="10"/>
  <c r="O130" i="10"/>
  <c r="H14" i="1" l="1"/>
  <c r="I14" i="1" s="1"/>
  <c r="J14" i="1" s="1"/>
  <c r="I15" i="1" l="1"/>
  <c r="K14" i="1" s="1"/>
  <c r="G1760" i="10" l="1"/>
  <c r="G1762" i="10" s="1"/>
  <c r="I1487" i="10"/>
  <c r="M1441" i="10"/>
  <c r="S1403" i="10"/>
  <c r="K1349" i="10"/>
  <c r="G84" i="11"/>
  <c r="F84" i="11"/>
  <c r="B104" i="10"/>
  <c r="G969" i="10"/>
  <c r="O1441" i="10" l="1"/>
  <c r="G28" i="6" s="1"/>
  <c r="F28" i="6" s="1"/>
  <c r="M1448" i="10"/>
  <c r="M1449" i="10"/>
  <c r="M1349" i="10"/>
  <c r="O1442" i="10" l="1"/>
  <c r="O1443" i="10" s="1"/>
  <c r="I92" i="11"/>
  <c r="M1356" i="10"/>
  <c r="M1350" i="10"/>
  <c r="M1357" i="10"/>
  <c r="O1444" i="10" l="1"/>
  <c r="M1351" i="10"/>
  <c r="M1352" i="10" s="1"/>
  <c r="G26" i="6" s="1"/>
  <c r="F26" i="6" s="1"/>
  <c r="I86" i="11"/>
  <c r="B19" i="10" l="1"/>
  <c r="C23" i="7" l="1"/>
  <c r="C22" i="7"/>
  <c r="H1133" i="10" l="1"/>
  <c r="E360" i="10"/>
  <c r="E361" i="10" s="1"/>
  <c r="E920" i="10"/>
  <c r="E921" i="10" s="1"/>
  <c r="E106" i="10"/>
  <c r="E107" i="10" s="1"/>
  <c r="E1114" i="10"/>
  <c r="E1115" i="10" s="1"/>
  <c r="E1656" i="10"/>
  <c r="E1657" i="10" s="1"/>
  <c r="E1658" i="10" s="1"/>
  <c r="B35" i="14"/>
  <c r="B25" i="18"/>
  <c r="B24" i="18"/>
  <c r="B44" i="16"/>
  <c r="B36" i="14"/>
  <c r="B34" i="14"/>
  <c r="B45" i="16"/>
  <c r="B43" i="16"/>
  <c r="B23" i="18"/>
  <c r="F93" i="29"/>
  <c r="C93" i="29"/>
  <c r="K1533" i="10" s="1"/>
  <c r="I70" i="29"/>
  <c r="H70" i="29"/>
  <c r="G70" i="29"/>
  <c r="F59" i="29"/>
  <c r="C59" i="29"/>
  <c r="K1972" i="10" s="1"/>
  <c r="M1972" i="10" s="1"/>
  <c r="G25" i="29"/>
  <c r="F25" i="29"/>
  <c r="E25" i="29"/>
  <c r="C25" i="29"/>
  <c r="H24" i="29"/>
  <c r="H22" i="29"/>
  <c r="G18" i="29"/>
  <c r="F18" i="29"/>
  <c r="E18" i="29"/>
  <c r="C18" i="29"/>
  <c r="H17" i="29"/>
  <c r="H15" i="29"/>
  <c r="J9" i="29"/>
  <c r="J8" i="29"/>
  <c r="F74" i="29"/>
  <c r="K1487" i="10" s="1"/>
  <c r="L1487" i="10" s="1"/>
  <c r="O1487" i="10" s="1"/>
  <c r="C7" i="29"/>
  <c r="C6" i="29"/>
  <c r="C5" i="29"/>
  <c r="M1973" i="10" l="1"/>
  <c r="M1974" i="10" s="1"/>
  <c r="M1975" i="10" s="1"/>
  <c r="E1116" i="10"/>
  <c r="H1533" i="10"/>
  <c r="H1580" i="10"/>
  <c r="E108" i="10"/>
  <c r="E922" i="10"/>
  <c r="E362" i="10"/>
  <c r="I31" i="29"/>
  <c r="J910" i="10" s="1"/>
  <c r="M910" i="10" s="1"/>
  <c r="H127" i="10"/>
  <c r="H1136" i="10"/>
  <c r="L1395" i="10"/>
  <c r="K1165" i="10"/>
  <c r="K1303" i="10"/>
  <c r="K1257" i="10"/>
  <c r="K1211" i="10"/>
  <c r="O1488" i="10"/>
  <c r="O1489" i="10" s="1"/>
  <c r="M1494" i="10"/>
  <c r="H27" i="37" s="1"/>
  <c r="M1495" i="10"/>
  <c r="H16" i="29"/>
  <c r="H18" i="29" s="1"/>
  <c r="H23" i="29"/>
  <c r="D59" i="29" s="1"/>
  <c r="M1979" i="10" l="1"/>
  <c r="M1980" i="10"/>
  <c r="J1533" i="10"/>
  <c r="M1533" i="10" s="1"/>
  <c r="H52" i="29"/>
  <c r="H1026" i="10" s="1"/>
  <c r="N1395" i="10"/>
  <c r="N1396" i="10" s="1"/>
  <c r="J112" i="10"/>
  <c r="I1133" i="10"/>
  <c r="O1490" i="10"/>
  <c r="H135" i="10"/>
  <c r="F19" i="14" s="1"/>
  <c r="I18" i="29"/>
  <c r="C324" i="10" s="1"/>
  <c r="M1165" i="10"/>
  <c r="I126" i="10"/>
  <c r="I125" i="10"/>
  <c r="I1135" i="10"/>
  <c r="I1146" i="10"/>
  <c r="I1134" i="10"/>
  <c r="I124" i="10"/>
  <c r="M1257" i="10"/>
  <c r="M1211" i="10"/>
  <c r="I25" i="29"/>
  <c r="I29" i="29"/>
  <c r="I30" i="29"/>
  <c r="H25" i="29"/>
  <c r="I52" i="29"/>
  <c r="E59" i="29"/>
  <c r="D93" i="29"/>
  <c r="E93" i="29"/>
  <c r="J911" i="10" l="1"/>
  <c r="M1540" i="10"/>
  <c r="M1541" i="10"/>
  <c r="M1534" i="10"/>
  <c r="M1535" i="10" s="1"/>
  <c r="H16" i="37"/>
  <c r="G29" i="6"/>
  <c r="F29" i="6" s="1"/>
  <c r="G881" i="10"/>
  <c r="M1536" i="10"/>
  <c r="M1264" i="10"/>
  <c r="I80" i="11" s="1"/>
  <c r="M1173" i="10"/>
  <c r="M1172" i="10"/>
  <c r="M1166" i="10"/>
  <c r="M1167" i="10" s="1"/>
  <c r="I1136" i="10"/>
  <c r="M1218" i="10"/>
  <c r="F17" i="14"/>
  <c r="I127" i="10"/>
  <c r="K1146" i="10"/>
  <c r="G17" i="14" s="1"/>
  <c r="M1258" i="10"/>
  <c r="M1265" i="10"/>
  <c r="N1397" i="10"/>
  <c r="M1212" i="10"/>
  <c r="M1213" i="10" s="1"/>
  <c r="M1219" i="10"/>
  <c r="E1026" i="10"/>
  <c r="G1026" i="10" s="1"/>
  <c r="J1026" i="10" s="1"/>
  <c r="M1303" i="10"/>
  <c r="I32" i="29"/>
  <c r="B969" i="10" s="1"/>
  <c r="H32" i="29"/>
  <c r="M911" i="10" l="1"/>
  <c r="M913" i="10" s="1"/>
  <c r="F956" i="10" s="1"/>
  <c r="G18" i="17"/>
  <c r="J18" i="17" s="1"/>
  <c r="I120" i="11"/>
  <c r="I119" i="11"/>
  <c r="D969" i="10"/>
  <c r="F969" i="10" s="1"/>
  <c r="I969" i="10" s="1"/>
  <c r="G30" i="6"/>
  <c r="F30" i="6" s="1"/>
  <c r="N1398" i="10"/>
  <c r="G27" i="6" s="1"/>
  <c r="F27" i="6" s="1"/>
  <c r="M1214" i="10"/>
  <c r="G23" i="6" s="1"/>
  <c r="F23" i="6" s="1"/>
  <c r="M1168" i="10"/>
  <c r="L135" i="10"/>
  <c r="G19" i="14"/>
  <c r="H19" i="14" s="1"/>
  <c r="M389" i="10"/>
  <c r="I74" i="11"/>
  <c r="I89" i="11"/>
  <c r="M1310" i="10"/>
  <c r="M1259" i="10"/>
  <c r="M1260" i="10" s="1"/>
  <c r="G24" i="6" s="1"/>
  <c r="F24" i="6" s="1"/>
  <c r="H17" i="14"/>
  <c r="L17" i="14" s="1"/>
  <c r="I77" i="11"/>
  <c r="M1146" i="10"/>
  <c r="M1311" i="10"/>
  <c r="M1304" i="10"/>
  <c r="F1032" i="10"/>
  <c r="H17" i="17"/>
  <c r="F971" i="10" l="1"/>
  <c r="V135" i="10"/>
  <c r="X135" i="10" s="1"/>
  <c r="T135" i="10"/>
  <c r="AB135" i="10" s="1"/>
  <c r="G22" i="6"/>
  <c r="F22" i="6" s="1"/>
  <c r="M19" i="14"/>
  <c r="N19" i="14" s="1"/>
  <c r="L19" i="14"/>
  <c r="Q19" i="14" s="1"/>
  <c r="Q18" i="14" s="1"/>
  <c r="W389" i="10"/>
  <c r="Y389" i="10" s="1"/>
  <c r="U389" i="10"/>
  <c r="AC389" i="10" s="1"/>
  <c r="AC390" i="10" s="1"/>
  <c r="Q17" i="14"/>
  <c r="Q16" i="14" s="1"/>
  <c r="M17" i="14"/>
  <c r="N17" i="14" s="1"/>
  <c r="M1305" i="10"/>
  <c r="M1306" i="10" s="1"/>
  <c r="G25" i="6" s="1"/>
  <c r="F25" i="6" s="1"/>
  <c r="I83" i="11"/>
  <c r="W1146" i="10"/>
  <c r="Y1146" i="10" s="1"/>
  <c r="U1146" i="10"/>
  <c r="AC1146" i="10" s="1"/>
  <c r="F996" i="10"/>
  <c r="N976" i="10"/>
  <c r="H22" i="37" s="1"/>
  <c r="I84" i="11"/>
  <c r="N977" i="10"/>
  <c r="H888" i="10"/>
  <c r="H887" i="10"/>
  <c r="E29" i="37" s="1"/>
  <c r="Q30" i="14" l="1"/>
  <c r="AB136" i="10"/>
  <c r="F144" i="10" s="1"/>
  <c r="AC1147" i="10"/>
  <c r="F1156" i="10" s="1"/>
  <c r="E29" i="22" l="1"/>
  <c r="E28" i="22"/>
  <c r="E27" i="22"/>
  <c r="E26" i="22"/>
  <c r="B29" i="22"/>
  <c r="B28" i="22"/>
  <c r="B27" i="22"/>
  <c r="B26" i="22"/>
  <c r="E24" i="22"/>
  <c r="E23" i="22"/>
  <c r="E22" i="22"/>
  <c r="E21" i="22"/>
  <c r="B24" i="22"/>
  <c r="B23" i="22"/>
  <c r="B22" i="22"/>
  <c r="B21" i="22"/>
  <c r="B19" i="22"/>
  <c r="B18" i="22"/>
  <c r="B17" i="22"/>
  <c r="B16" i="22"/>
  <c r="B16" i="16"/>
  <c r="B15" i="11"/>
  <c r="G99" i="11"/>
  <c r="F99" i="11"/>
  <c r="B99" i="11"/>
  <c r="E99" i="11" s="1"/>
  <c r="B98" i="11"/>
  <c r="G96" i="11"/>
  <c r="F96" i="11"/>
  <c r="B96" i="11"/>
  <c r="E96" i="11" s="1"/>
  <c r="B95" i="11"/>
  <c r="G93" i="11"/>
  <c r="F93" i="11"/>
  <c r="B93" i="11"/>
  <c r="G90" i="11"/>
  <c r="F90" i="11"/>
  <c r="B90" i="11"/>
  <c r="E90" i="11" s="1"/>
  <c r="G87" i="11"/>
  <c r="F87" i="11"/>
  <c r="B87" i="11"/>
  <c r="E87" i="11" s="1"/>
  <c r="G81" i="11"/>
  <c r="F81" i="11"/>
  <c r="E81" i="11"/>
  <c r="G78" i="11"/>
  <c r="F78" i="11"/>
  <c r="B78" i="11"/>
  <c r="E78" i="11" s="1"/>
  <c r="G75" i="11"/>
  <c r="F75" i="11"/>
  <c r="B75" i="11"/>
  <c r="E75" i="11" s="1"/>
  <c r="E93" i="11" l="1"/>
  <c r="C93" i="11"/>
  <c r="D93" i="11" s="1"/>
  <c r="C21" i="22"/>
  <c r="G21" i="22"/>
  <c r="F21" i="22"/>
  <c r="G22" i="22"/>
  <c r="C22" i="22"/>
  <c r="F22" i="22"/>
  <c r="F23" i="22"/>
  <c r="C23" i="22"/>
  <c r="G23" i="22"/>
  <c r="C24" i="22"/>
  <c r="G24" i="22"/>
  <c r="F24" i="22"/>
  <c r="F26" i="22"/>
  <c r="G26" i="22"/>
  <c r="C26" i="22"/>
  <c r="G27" i="22"/>
  <c r="F27" i="22"/>
  <c r="C27" i="22"/>
  <c r="C28" i="22"/>
  <c r="G28" i="22"/>
  <c r="F28" i="22"/>
  <c r="C29" i="22"/>
  <c r="G29" i="22"/>
  <c r="F29" i="22"/>
  <c r="F16" i="22"/>
  <c r="G16" i="22"/>
  <c r="C16" i="22"/>
  <c r="G17" i="22"/>
  <c r="F17" i="22"/>
  <c r="C17" i="22"/>
  <c r="C18" i="22"/>
  <c r="G18" i="22"/>
  <c r="F18" i="22"/>
  <c r="C19" i="22"/>
  <c r="G19" i="22"/>
  <c r="F19" i="22"/>
  <c r="C99" i="11"/>
  <c r="D99" i="11" s="1"/>
  <c r="L99" i="11"/>
  <c r="T459" i="10" s="1"/>
  <c r="U459" i="10" s="1"/>
  <c r="U461" i="10" s="1"/>
  <c r="F529" i="10" s="1"/>
  <c r="F535" i="10" s="1"/>
  <c r="C96" i="11"/>
  <c r="D96" i="11" s="1"/>
  <c r="L96" i="11"/>
  <c r="L93" i="11"/>
  <c r="C90" i="11"/>
  <c r="D90" i="11" s="1"/>
  <c r="L90" i="11"/>
  <c r="L87" i="11"/>
  <c r="C87" i="11"/>
  <c r="D87" i="11" s="1"/>
  <c r="C81" i="11"/>
  <c r="D81" i="11" s="1"/>
  <c r="L81" i="11"/>
  <c r="C78" i="11"/>
  <c r="D78" i="11" s="1"/>
  <c r="L78" i="11"/>
  <c r="C75" i="11"/>
  <c r="D75" i="11" s="1"/>
  <c r="L75" i="11"/>
  <c r="B18" i="16"/>
  <c r="B16" i="13"/>
  <c r="B17" i="11"/>
  <c r="B52" i="11"/>
  <c r="B21" i="17"/>
  <c r="G50" i="11"/>
  <c r="B50" i="11"/>
  <c r="E50" i="11" s="1"/>
  <c r="B49" i="11"/>
  <c r="B25" i="16"/>
  <c r="B17" i="17"/>
  <c r="F17" i="17" l="1"/>
  <c r="C17" i="17"/>
  <c r="F21" i="17"/>
  <c r="C21" i="17"/>
  <c r="C50" i="11"/>
  <c r="D50" i="11" s="1"/>
  <c r="L50" i="11"/>
  <c r="B22" i="13"/>
  <c r="C22" i="13" s="1"/>
  <c r="D22" i="13" s="1"/>
  <c r="E47" i="11"/>
  <c r="G46" i="11"/>
  <c r="B46" i="11"/>
  <c r="E22" i="13"/>
  <c r="F47" i="11"/>
  <c r="F46" i="11"/>
  <c r="G43" i="11"/>
  <c r="F43" i="11"/>
  <c r="B43" i="11"/>
  <c r="E43" i="11" s="1"/>
  <c r="G42" i="11"/>
  <c r="F42" i="11"/>
  <c r="B42" i="11"/>
  <c r="B23" i="16"/>
  <c r="B15" i="17"/>
  <c r="E40" i="11"/>
  <c r="G39" i="11"/>
  <c r="B39" i="11"/>
  <c r="G26" i="11"/>
  <c r="F26" i="11"/>
  <c r="B26" i="11"/>
  <c r="E26" i="11" s="1"/>
  <c r="B21" i="16"/>
  <c r="K21" i="16"/>
  <c r="F112" i="10"/>
  <c r="C112" i="10"/>
  <c r="E21" i="16" l="1"/>
  <c r="F15" i="17"/>
  <c r="C15" i="17"/>
  <c r="C47" i="11"/>
  <c r="D47" i="11" s="1"/>
  <c r="L47" i="11"/>
  <c r="C21" i="16"/>
  <c r="D21" i="16" s="1"/>
  <c r="C43" i="11"/>
  <c r="D43" i="11" s="1"/>
  <c r="L43" i="11"/>
  <c r="C40" i="11"/>
  <c r="D40" i="11" s="1"/>
  <c r="L40" i="11"/>
  <c r="C26" i="11"/>
  <c r="D26" i="11" s="1"/>
  <c r="L26" i="11"/>
  <c r="G17" i="17" l="1"/>
  <c r="J17" i="17" s="1"/>
  <c r="J16" i="17" s="1"/>
  <c r="E881" i="10" l="1"/>
  <c r="N881" i="10" l="1"/>
  <c r="N888" i="10" l="1"/>
  <c r="N887" i="10"/>
  <c r="H1022" i="10"/>
  <c r="I50" i="11"/>
  <c r="U80" i="10"/>
  <c r="F80" i="10"/>
  <c r="C80" i="10"/>
  <c r="D69" i="10"/>
  <c r="K69" i="10" s="1"/>
  <c r="G151" i="10" l="1"/>
  <c r="L151" i="10" s="1"/>
  <c r="F1030" i="10"/>
  <c r="F18" i="13"/>
  <c r="G18" i="13" s="1"/>
  <c r="I18" i="13" s="1"/>
  <c r="E29" i="11"/>
  <c r="I24" i="11" l="1"/>
  <c r="I17" i="13"/>
  <c r="I86" i="10"/>
  <c r="M86" i="10" s="1"/>
  <c r="I23" i="11"/>
  <c r="C29" i="11"/>
  <c r="D29" i="11" s="1"/>
  <c r="L29" i="11"/>
  <c r="M87" i="10" l="1"/>
  <c r="F140" i="10" s="1"/>
  <c r="H112" i="10"/>
  <c r="F15" i="15"/>
  <c r="F21" i="16" l="1"/>
  <c r="K112" i="10"/>
  <c r="G21" i="16"/>
  <c r="I9" i="23"/>
  <c r="I8" i="23"/>
  <c r="C8" i="23"/>
  <c r="C7" i="23"/>
  <c r="C6" i="23"/>
  <c r="C5" i="23"/>
  <c r="K1741" i="10"/>
  <c r="J1752" i="10" s="1"/>
  <c r="I28" i="22" s="1"/>
  <c r="M9" i="22"/>
  <c r="M8" i="22"/>
  <c r="C8" i="22"/>
  <c r="C7" i="22"/>
  <c r="C6" i="22"/>
  <c r="C5" i="22"/>
  <c r="G1724" i="10"/>
  <c r="H19" i="22" s="1"/>
  <c r="D1724" i="10"/>
  <c r="G1719" i="10"/>
  <c r="H18" i="22" s="1"/>
  <c r="D1719" i="10"/>
  <c r="C1714" i="10"/>
  <c r="C1705" i="10"/>
  <c r="G15" i="11"/>
  <c r="F15" i="11"/>
  <c r="F1662" i="10"/>
  <c r="C1662" i="10"/>
  <c r="S1635" i="10"/>
  <c r="F1635" i="10"/>
  <c r="C1635" i="10"/>
  <c r="G98" i="11"/>
  <c r="F98" i="11"/>
  <c r="S1541" i="10"/>
  <c r="F1541" i="10"/>
  <c r="C1541" i="10"/>
  <c r="S1540" i="10"/>
  <c r="F1540" i="10"/>
  <c r="C1540" i="10"/>
  <c r="G95" i="11"/>
  <c r="F95" i="11"/>
  <c r="S1495" i="10"/>
  <c r="F1495" i="10"/>
  <c r="C1495" i="10"/>
  <c r="S1494" i="10"/>
  <c r="F1494" i="10"/>
  <c r="C1494" i="10"/>
  <c r="S1449" i="10"/>
  <c r="F1449" i="10"/>
  <c r="C1449" i="10"/>
  <c r="L98" i="11"/>
  <c r="E98" i="11"/>
  <c r="C98" i="11"/>
  <c r="D98" i="11" s="1"/>
  <c r="F1403" i="10"/>
  <c r="C1403" i="10"/>
  <c r="S1357" i="10"/>
  <c r="F1357" i="10"/>
  <c r="C1357" i="10"/>
  <c r="L95" i="11"/>
  <c r="E95" i="11"/>
  <c r="C95" i="11"/>
  <c r="D95" i="11" s="1"/>
  <c r="S1311" i="10"/>
  <c r="F1311" i="10"/>
  <c r="C1311" i="10"/>
  <c r="S1265" i="10"/>
  <c r="F1265" i="10"/>
  <c r="C1265" i="10"/>
  <c r="S1219" i="10"/>
  <c r="F1219" i="10"/>
  <c r="C1219" i="10"/>
  <c r="S1173" i="10"/>
  <c r="F1173" i="10"/>
  <c r="C1173" i="10"/>
  <c r="H21" i="16" l="1"/>
  <c r="L21" i="16" s="1"/>
  <c r="I1719" i="10"/>
  <c r="J18" i="22" s="1"/>
  <c r="I23" i="22"/>
  <c r="F1705" i="10"/>
  <c r="I1705" i="10" s="1"/>
  <c r="J16" i="22" s="1"/>
  <c r="I1724" i="10"/>
  <c r="J19" i="22" s="1"/>
  <c r="L20" i="16" l="1"/>
  <c r="H15" i="15" s="1"/>
  <c r="K113" i="10"/>
  <c r="F143" i="10" s="1"/>
  <c r="K1739" i="10"/>
  <c r="I21" i="22" s="1"/>
  <c r="I16" i="22"/>
  <c r="I1769" i="10"/>
  <c r="L1769" i="10" s="1"/>
  <c r="I1766" i="10"/>
  <c r="L1766" i="10" s="1"/>
  <c r="I1768" i="10"/>
  <c r="L1768" i="10" s="1"/>
  <c r="I1771" i="10"/>
  <c r="L1771" i="10" s="1"/>
  <c r="I1767" i="10"/>
  <c r="L1767" i="10" s="1"/>
  <c r="I1770" i="10"/>
  <c r="L1770" i="10" s="1"/>
  <c r="E1775" i="10" l="1"/>
  <c r="E1776" i="10"/>
  <c r="I16" i="23" l="1"/>
  <c r="I18" i="23"/>
  <c r="I17" i="23"/>
  <c r="I20" i="23"/>
  <c r="I21" i="23"/>
  <c r="I15" i="23"/>
  <c r="I19" i="23"/>
  <c r="I22" i="23" l="1"/>
  <c r="F9" i="21"/>
  <c r="F8" i="21"/>
  <c r="C8" i="21"/>
  <c r="C7" i="21"/>
  <c r="C6" i="21"/>
  <c r="C5" i="21"/>
  <c r="G17" i="11"/>
  <c r="F17" i="11"/>
  <c r="F1120" i="10"/>
  <c r="C1120" i="10"/>
  <c r="J1102" i="10"/>
  <c r="J1095" i="10"/>
  <c r="J1094" i="10"/>
  <c r="F1095" i="10"/>
  <c r="C1095" i="10"/>
  <c r="F1102" i="10"/>
  <c r="C1102" i="10"/>
  <c r="F1094" i="10"/>
  <c r="C1094" i="10"/>
  <c r="J1088" i="10"/>
  <c r="C1088" i="10"/>
  <c r="S1081" i="10"/>
  <c r="F1081" i="10"/>
  <c r="C1081" i="10"/>
  <c r="F8" i="20"/>
  <c r="F7" i="20"/>
  <c r="C6" i="20"/>
  <c r="C5" i="20"/>
  <c r="C4" i="20"/>
  <c r="J1104" i="10" l="1"/>
  <c r="J1096" i="10"/>
  <c r="L15" i="21" l="1"/>
  <c r="L14" i="21" s="1"/>
  <c r="M15" i="21"/>
  <c r="M14" i="21" s="1"/>
  <c r="N15" i="21"/>
  <c r="N14" i="21" s="1"/>
  <c r="O15" i="21"/>
  <c r="O14" i="21" s="1"/>
  <c r="P15" i="21"/>
  <c r="P14" i="21" s="1"/>
  <c r="Q15" i="21"/>
  <c r="Q14" i="21" s="1"/>
  <c r="R15" i="21"/>
  <c r="R14" i="21" s="1"/>
  <c r="S15" i="21"/>
  <c r="S14" i="21" s="1"/>
  <c r="K15" i="21"/>
  <c r="K14" i="21" s="1"/>
  <c r="G1709" i="10" s="1"/>
  <c r="F1714" i="10" s="1"/>
  <c r="R14" i="19"/>
  <c r="R13" i="19" s="1"/>
  <c r="R49" i="19" s="1"/>
  <c r="S14" i="19"/>
  <c r="S13" i="19" s="1"/>
  <c r="S49" i="19" s="1"/>
  <c r="K14" i="19"/>
  <c r="K13" i="19" s="1"/>
  <c r="K49" i="19" s="1"/>
  <c r="L14" i="19"/>
  <c r="L13" i="19" s="1"/>
  <c r="L49" i="19" s="1"/>
  <c r="M14" i="19"/>
  <c r="M13" i="19" s="1"/>
  <c r="M49" i="19" s="1"/>
  <c r="P14" i="19"/>
  <c r="P13" i="19" s="1"/>
  <c r="P49" i="19" s="1"/>
  <c r="O14" i="19"/>
  <c r="O13" i="19" s="1"/>
  <c r="O49" i="19" s="1"/>
  <c r="N14" i="19"/>
  <c r="N13" i="19" s="1"/>
  <c r="N49" i="19" s="1"/>
  <c r="Q14" i="19"/>
  <c r="Q13" i="19" s="1"/>
  <c r="Q49" i="19" s="1"/>
  <c r="F8" i="19"/>
  <c r="F7" i="19"/>
  <c r="C6" i="19"/>
  <c r="C5" i="19"/>
  <c r="C4" i="19"/>
  <c r="F55" i="19" l="1"/>
  <c r="E55" i="19"/>
  <c r="K1742" i="10"/>
  <c r="H1714" i="10"/>
  <c r="J17" i="22" s="1"/>
  <c r="I17" i="22"/>
  <c r="G52" i="11"/>
  <c r="F52" i="11"/>
  <c r="O9" i="18"/>
  <c r="O8" i="18"/>
  <c r="C8" i="18"/>
  <c r="C7" i="18"/>
  <c r="C6" i="18"/>
  <c r="C5" i="18"/>
  <c r="J1753" i="10" l="1"/>
  <c r="I29" i="22" s="1"/>
  <c r="I24" i="22"/>
  <c r="G49" i="11"/>
  <c r="T1039" i="10"/>
  <c r="F1039" i="10"/>
  <c r="C1039" i="10"/>
  <c r="T1038" i="10"/>
  <c r="F1038" i="10"/>
  <c r="C1038" i="10"/>
  <c r="E996" i="10"/>
  <c r="G21" i="17" s="1"/>
  <c r="H977" i="10"/>
  <c r="E25" i="37" s="1"/>
  <c r="H976" i="10"/>
  <c r="E22" i="37" s="1"/>
  <c r="T977" i="10"/>
  <c r="F977" i="10"/>
  <c r="C977" i="10"/>
  <c r="T976" i="10"/>
  <c r="F976" i="10"/>
  <c r="C976" i="10"/>
  <c r="F926" i="10"/>
  <c r="C926" i="10"/>
  <c r="K893" i="10"/>
  <c r="C893" i="10"/>
  <c r="C338" i="10"/>
  <c r="T888" i="10"/>
  <c r="T887" i="10"/>
  <c r="F888" i="10"/>
  <c r="C888" i="10"/>
  <c r="F887" i="10"/>
  <c r="C887" i="10"/>
  <c r="F50" i="11" l="1"/>
  <c r="F49" i="11"/>
  <c r="T412" i="10" l="1"/>
  <c r="T411" i="10"/>
  <c r="T410" i="10"/>
  <c r="F412" i="10"/>
  <c r="C412" i="10"/>
  <c r="F411" i="10"/>
  <c r="C411" i="10"/>
  <c r="F410" i="10"/>
  <c r="C410" i="10"/>
  <c r="F366" i="10"/>
  <c r="C366" i="10"/>
  <c r="D17" i="17"/>
  <c r="J8" i="17"/>
  <c r="J7" i="17"/>
  <c r="C7" i="17"/>
  <c r="C6" i="17"/>
  <c r="C5" i="17"/>
  <c r="C4" i="17"/>
  <c r="E353" i="10"/>
  <c r="G15" i="17" s="1"/>
  <c r="J338" i="10"/>
  <c r="G338" i="10"/>
  <c r="E20" i="13" s="1"/>
  <c r="I20" i="13" s="1"/>
  <c r="H333" i="10"/>
  <c r="E28" i="37" s="1"/>
  <c r="H332" i="10"/>
  <c r="E26" i="37" s="1"/>
  <c r="T333" i="10"/>
  <c r="T332" i="10"/>
  <c r="F333" i="10"/>
  <c r="C333" i="10"/>
  <c r="F332" i="10"/>
  <c r="C332" i="10"/>
  <c r="F40" i="11" l="1"/>
  <c r="F39" i="11"/>
  <c r="F398" i="10" l="1"/>
  <c r="J1750" i="10" l="1"/>
  <c r="I26" i="22" s="1"/>
  <c r="K1740" i="10"/>
  <c r="J1751" i="10" s="1"/>
  <c r="I27" i="22" l="1"/>
  <c r="I22" i="22"/>
  <c r="J19" i="15" l="1"/>
  <c r="U160" i="10"/>
  <c r="U159" i="10"/>
  <c r="F160" i="10"/>
  <c r="C160" i="10"/>
  <c r="F159" i="10"/>
  <c r="C159" i="10"/>
  <c r="K25" i="16"/>
  <c r="E25" i="16"/>
  <c r="C25" i="16"/>
  <c r="D25" i="16" s="1"/>
  <c r="K23" i="16"/>
  <c r="E23" i="16"/>
  <c r="C23" i="16"/>
  <c r="D23" i="16" s="1"/>
  <c r="K18" i="16"/>
  <c r="E18" i="16"/>
  <c r="C18" i="16"/>
  <c r="D18" i="16" s="1"/>
  <c r="E16" i="16"/>
  <c r="C16" i="16"/>
  <c r="D16" i="16" s="1"/>
  <c r="L9" i="16"/>
  <c r="L8" i="16"/>
  <c r="C8" i="16"/>
  <c r="C7" i="16"/>
  <c r="C6" i="16"/>
  <c r="C5" i="16"/>
  <c r="L36" i="16" l="1"/>
  <c r="L34" i="16"/>
  <c r="L35" i="16"/>
  <c r="G33" i="11"/>
  <c r="F33" i="11"/>
  <c r="V246" i="10"/>
  <c r="V245" i="10"/>
  <c r="F246" i="10"/>
  <c r="F245" i="10"/>
  <c r="F203" i="10"/>
  <c r="F202" i="10"/>
  <c r="F201" i="10"/>
  <c r="C246" i="10"/>
  <c r="C245" i="10"/>
  <c r="V203" i="10"/>
  <c r="V202" i="10"/>
  <c r="V201" i="10"/>
  <c r="C203" i="10"/>
  <c r="C202" i="10"/>
  <c r="C201" i="10"/>
  <c r="O8" i="15"/>
  <c r="O7" i="15"/>
  <c r="C6" i="15"/>
  <c r="C5" i="15"/>
  <c r="C4" i="15"/>
  <c r="Q9" i="14"/>
  <c r="Q8" i="14"/>
  <c r="C8" i="14"/>
  <c r="C7" i="14"/>
  <c r="C6" i="14"/>
  <c r="C5" i="14"/>
  <c r="H22" i="13"/>
  <c r="H16" i="13"/>
  <c r="C16" i="13"/>
  <c r="D16" i="13" s="1"/>
  <c r="C5" i="13"/>
  <c r="C6" i="13"/>
  <c r="C7" i="13"/>
  <c r="C8" i="13"/>
  <c r="I8" i="13"/>
  <c r="I9" i="13"/>
  <c r="E84" i="11"/>
  <c r="E52" i="11"/>
  <c r="E49" i="11"/>
  <c r="E46" i="11"/>
  <c r="E42" i="11"/>
  <c r="E39" i="11"/>
  <c r="E36" i="11"/>
  <c r="E33" i="11"/>
  <c r="E17" i="11"/>
  <c r="E15" i="11"/>
  <c r="E21" i="11"/>
  <c r="L84" i="11"/>
  <c r="C84" i="11"/>
  <c r="D84" i="11" s="1"/>
  <c r="L52" i="11"/>
  <c r="C52" i="11"/>
  <c r="D52" i="11" s="1"/>
  <c r="L49" i="11"/>
  <c r="C49" i="11"/>
  <c r="D49" i="11" s="1"/>
  <c r="L46" i="11"/>
  <c r="C46" i="11"/>
  <c r="D46" i="11" s="1"/>
  <c r="L42" i="11"/>
  <c r="C42" i="11"/>
  <c r="L39" i="11"/>
  <c r="C39" i="11"/>
  <c r="D39" i="11" s="1"/>
  <c r="L36" i="11"/>
  <c r="C36" i="11"/>
  <c r="D36" i="11" s="1"/>
  <c r="L33" i="11"/>
  <c r="C33" i="11"/>
  <c r="D33" i="11" s="1"/>
  <c r="L21" i="11"/>
  <c r="C21" i="11"/>
  <c r="D21" i="11" s="1"/>
  <c r="L17" i="11"/>
  <c r="C17" i="11"/>
  <c r="D17" i="11" s="1"/>
  <c r="L15" i="11"/>
  <c r="C15" i="11"/>
  <c r="D15" i="11" s="1"/>
  <c r="M8" i="11"/>
  <c r="M7" i="11"/>
  <c r="C7" i="11"/>
  <c r="C6" i="11"/>
  <c r="C5" i="11"/>
  <c r="C4" i="11"/>
  <c r="W29" i="10" l="1"/>
  <c r="G29" i="10"/>
  <c r="C29" i="10"/>
  <c r="B6" i="7" l="1"/>
  <c r="K1935" i="10" l="1"/>
  <c r="K1839" i="10"/>
  <c r="K1840" i="10"/>
  <c r="O1840" i="10" s="1"/>
  <c r="Q1840" i="10" s="1"/>
  <c r="T1840" i="10" s="1"/>
  <c r="K1886" i="10"/>
  <c r="K1980" i="10"/>
  <c r="K1789" i="10"/>
  <c r="K1887" i="10"/>
  <c r="K1888" i="10"/>
  <c r="K1791" i="10"/>
  <c r="K1885" i="10"/>
  <c r="K1790" i="10"/>
  <c r="K1792" i="10"/>
  <c r="K1979" i="10"/>
  <c r="L1038" i="10"/>
  <c r="H52" i="11" s="1"/>
  <c r="K1081" i="10"/>
  <c r="H17" i="11" s="1"/>
  <c r="M80" i="10"/>
  <c r="G17" i="37" s="1"/>
  <c r="M287" i="10"/>
  <c r="M202" i="10"/>
  <c r="G30" i="37" s="1"/>
  <c r="M245" i="10"/>
  <c r="H33" i="11" s="1"/>
  <c r="M201" i="10"/>
  <c r="H29" i="11" s="1"/>
  <c r="L159" i="10"/>
  <c r="L410" i="10"/>
  <c r="K1082" i="10"/>
  <c r="G19" i="37" s="1"/>
  <c r="K1172" i="10"/>
  <c r="K1356" i="10"/>
  <c r="K1264" i="10"/>
  <c r="N30" i="10"/>
  <c r="H21" i="11" s="1"/>
  <c r="K1402" i="10"/>
  <c r="M81" i="10"/>
  <c r="K1448" i="10"/>
  <c r="K1310" i="10"/>
  <c r="K1218" i="10"/>
  <c r="E1631" i="10"/>
  <c r="K1585" i="10"/>
  <c r="H101" i="11" s="1"/>
  <c r="K1586" i="10"/>
  <c r="H102" i="11" s="1"/>
  <c r="M288" i="10"/>
  <c r="J15" i="15"/>
  <c r="K1219" i="10"/>
  <c r="O1219" i="10" s="1"/>
  <c r="K1357" i="10"/>
  <c r="O1357" i="10" s="1"/>
  <c r="K1265" i="10"/>
  <c r="O1265" i="10" s="1"/>
  <c r="K1403" i="10"/>
  <c r="K1311" i="10"/>
  <c r="K1541" i="10"/>
  <c r="O1541" i="10" s="1"/>
  <c r="K1540" i="10"/>
  <c r="O1540" i="10" s="1"/>
  <c r="H18" i="11"/>
  <c r="K1635" i="10"/>
  <c r="K1449" i="10"/>
  <c r="H93" i="11" s="1"/>
  <c r="H42" i="11"/>
  <c r="K1495" i="10"/>
  <c r="H96" i="11" s="1"/>
  <c r="K1494" i="10"/>
  <c r="K1173" i="10"/>
  <c r="H75" i="11" s="1"/>
  <c r="L977" i="10"/>
  <c r="L976" i="10"/>
  <c r="L887" i="10"/>
  <c r="L1039" i="10"/>
  <c r="H53" i="11" s="1"/>
  <c r="L888" i="10"/>
  <c r="L412" i="10"/>
  <c r="H44" i="11" s="1"/>
  <c r="L333" i="10"/>
  <c r="G28" i="37" s="1"/>
  <c r="L411" i="10"/>
  <c r="H43" i="11" s="1"/>
  <c r="L332" i="10"/>
  <c r="L160" i="10"/>
  <c r="H26" i="11"/>
  <c r="M203" i="10"/>
  <c r="H31" i="11" s="1"/>
  <c r="H30" i="11"/>
  <c r="M246" i="10"/>
  <c r="N29" i="10"/>
  <c r="G15" i="37" s="1"/>
  <c r="E5" i="7"/>
  <c r="H9" i="6"/>
  <c r="H8" i="6"/>
  <c r="C8" i="6"/>
  <c r="C7" i="6"/>
  <c r="C6" i="6"/>
  <c r="C5" i="6"/>
  <c r="H77" i="11" l="1"/>
  <c r="J77" i="11" s="1"/>
  <c r="K77" i="11" s="1"/>
  <c r="M77" i="11" s="1"/>
  <c r="O1218" i="10"/>
  <c r="Q1218" i="10" s="1"/>
  <c r="T1218" i="10" s="1"/>
  <c r="H105" i="11"/>
  <c r="J105" i="11" s="1"/>
  <c r="K105" i="11" s="1"/>
  <c r="M105" i="11" s="1"/>
  <c r="O1790" i="10"/>
  <c r="Q1790" i="10" s="1"/>
  <c r="T1790" i="10" s="1"/>
  <c r="G21" i="37"/>
  <c r="H24" i="11"/>
  <c r="J24" i="11" s="1"/>
  <c r="K24" i="11" s="1"/>
  <c r="M24" i="11" s="1"/>
  <c r="Q81" i="10"/>
  <c r="S81" i="10" s="1"/>
  <c r="V81" i="10" s="1"/>
  <c r="H112" i="11"/>
  <c r="J112" i="11" s="1"/>
  <c r="K112" i="11" s="1"/>
  <c r="M112" i="11" s="1"/>
  <c r="O1885" i="10"/>
  <c r="Q1885" i="10" s="1"/>
  <c r="T1885" i="10" s="1"/>
  <c r="H106" i="11"/>
  <c r="J106" i="11" s="1"/>
  <c r="O1791" i="10"/>
  <c r="Q1791" i="10" s="1"/>
  <c r="T1791" i="10" s="1"/>
  <c r="H92" i="11"/>
  <c r="J92" i="11" s="1"/>
  <c r="K92" i="11" s="1"/>
  <c r="M92" i="11" s="1"/>
  <c r="O1448" i="10"/>
  <c r="Q1448" i="10" s="1"/>
  <c r="T1448" i="10" s="1"/>
  <c r="H107" i="11"/>
  <c r="J107" i="11" s="1"/>
  <c r="K107" i="11" s="1"/>
  <c r="M107" i="11" s="1"/>
  <c r="O1792" i="10"/>
  <c r="Q1792" i="10" s="1"/>
  <c r="T1792" i="10" s="1"/>
  <c r="H115" i="11"/>
  <c r="J115" i="11" s="1"/>
  <c r="K115" i="11" s="1"/>
  <c r="M115" i="11" s="1"/>
  <c r="O1888" i="10"/>
  <c r="Q1888" i="10" s="1"/>
  <c r="T1888" i="10" s="1"/>
  <c r="H83" i="11"/>
  <c r="J83" i="11" s="1"/>
  <c r="K83" i="11" s="1"/>
  <c r="M83" i="11" s="1"/>
  <c r="O1310" i="10"/>
  <c r="Q1310" i="10" s="1"/>
  <c r="T1310" i="10" s="1"/>
  <c r="H114" i="11"/>
  <c r="J114" i="11" s="1"/>
  <c r="K114" i="11" s="1"/>
  <c r="M114" i="11" s="1"/>
  <c r="O1887" i="10"/>
  <c r="Q1887" i="10" s="1"/>
  <c r="T1887" i="10" s="1"/>
  <c r="H74" i="11"/>
  <c r="J74" i="11" s="1"/>
  <c r="K74" i="11" s="1"/>
  <c r="M74" i="11" s="1"/>
  <c r="O1172" i="10"/>
  <c r="Q1172" i="10" s="1"/>
  <c r="T1172" i="10" s="1"/>
  <c r="H104" i="11"/>
  <c r="J104" i="11" s="1"/>
  <c r="K104" i="11" s="1"/>
  <c r="M104" i="11" s="1"/>
  <c r="O1789" i="10"/>
  <c r="Q1789" i="10" s="1"/>
  <c r="T1789" i="10" s="1"/>
  <c r="H119" i="11"/>
  <c r="J119" i="11" s="1"/>
  <c r="G16" i="37"/>
  <c r="O1979" i="10"/>
  <c r="Q1979" i="10" s="1"/>
  <c r="T1979" i="10" s="1"/>
  <c r="H120" i="11"/>
  <c r="J120" i="11" s="1"/>
  <c r="K120" i="11" s="1"/>
  <c r="M120" i="11" s="1"/>
  <c r="O1980" i="10"/>
  <c r="Q1980" i="10" s="1"/>
  <c r="T1980" i="10" s="1"/>
  <c r="H89" i="11"/>
  <c r="J89" i="11" s="1"/>
  <c r="K89" i="11" s="1"/>
  <c r="M89" i="11" s="1"/>
  <c r="O1402" i="10"/>
  <c r="Q1402" i="10" s="1"/>
  <c r="T1402" i="10" s="1"/>
  <c r="H37" i="11"/>
  <c r="J37" i="11" s="1"/>
  <c r="K37" i="11" s="1"/>
  <c r="M37" i="11" s="1"/>
  <c r="G18" i="37"/>
  <c r="R288" i="10"/>
  <c r="T288" i="10" s="1"/>
  <c r="W288" i="10" s="1"/>
  <c r="H113" i="11"/>
  <c r="J113" i="11" s="1"/>
  <c r="K113" i="11" s="1"/>
  <c r="M113" i="11" s="1"/>
  <c r="O1886" i="10"/>
  <c r="Q1886" i="10" s="1"/>
  <c r="T1886" i="10" s="1"/>
  <c r="H80" i="11"/>
  <c r="J80" i="11" s="1"/>
  <c r="K80" i="11" s="1"/>
  <c r="M80" i="11" s="1"/>
  <c r="O1264" i="10"/>
  <c r="Q1264" i="10" s="1"/>
  <c r="T1264" i="10" s="1"/>
  <c r="H110" i="11"/>
  <c r="J110" i="11" s="1"/>
  <c r="K110" i="11" s="1"/>
  <c r="M110" i="11" s="1"/>
  <c r="H109" i="11"/>
  <c r="J109" i="11" s="1"/>
  <c r="K109" i="11" s="1"/>
  <c r="M109" i="11" s="1"/>
  <c r="O1839" i="10"/>
  <c r="Q1839" i="10" s="1"/>
  <c r="T1839" i="10" s="1"/>
  <c r="T1841" i="10" s="1"/>
  <c r="F1867" i="10" s="1"/>
  <c r="F1873" i="10" s="1"/>
  <c r="H86" i="11"/>
  <c r="J86" i="11" s="1"/>
  <c r="K86" i="11" s="1"/>
  <c r="M86" i="11" s="1"/>
  <c r="O1356" i="10"/>
  <c r="Q1356" i="10" s="1"/>
  <c r="T1356" i="10" s="1"/>
  <c r="O1832" i="10"/>
  <c r="O1833" i="10" s="1"/>
  <c r="O1834" i="10" s="1"/>
  <c r="O1928" i="10"/>
  <c r="O1929" i="10" s="1"/>
  <c r="O1930" i="10" s="1"/>
  <c r="J880" i="10"/>
  <c r="P880" i="10" s="1"/>
  <c r="O1878" i="10"/>
  <c r="O1879" i="10" s="1"/>
  <c r="O1880" i="10" s="1"/>
  <c r="O1782" i="10"/>
  <c r="O1783" i="10" s="1"/>
  <c r="O1784" i="10" s="1"/>
  <c r="I405" i="10"/>
  <c r="G24" i="20" s="1"/>
  <c r="H283" i="10"/>
  <c r="G21" i="20" s="1"/>
  <c r="Q1441" i="10"/>
  <c r="Q1442" i="10" s="1"/>
  <c r="O1349" i="10"/>
  <c r="O1972" i="10"/>
  <c r="O1973" i="10" s="1"/>
  <c r="O1974" i="10" s="1"/>
  <c r="R1487" i="10"/>
  <c r="O1533" i="10"/>
  <c r="O1534" i="10" s="1"/>
  <c r="O1165" i="10"/>
  <c r="O1257" i="10"/>
  <c r="O1258" i="10" s="1"/>
  <c r="O1211" i="10"/>
  <c r="O1212" i="10" s="1"/>
  <c r="P1395" i="10"/>
  <c r="P1396" i="10" s="1"/>
  <c r="L1026" i="10"/>
  <c r="G33" i="20" s="1"/>
  <c r="O1303" i="10"/>
  <c r="O1304" i="10" s="1"/>
  <c r="K1032" i="10"/>
  <c r="K969" i="10"/>
  <c r="G32" i="20" s="1"/>
  <c r="K70" i="10"/>
  <c r="J1022" i="10"/>
  <c r="H36" i="11"/>
  <c r="R287" i="10"/>
  <c r="T287" i="10" s="1"/>
  <c r="W287" i="10" s="1"/>
  <c r="H117" i="11"/>
  <c r="J117" i="11" s="1"/>
  <c r="K117" i="11" s="1"/>
  <c r="M117" i="11" s="1"/>
  <c r="M116" i="11" s="1"/>
  <c r="E35" i="15" s="1"/>
  <c r="K35" i="15" s="1"/>
  <c r="O1935" i="10"/>
  <c r="Q1935" i="10" s="1"/>
  <c r="T1935" i="10" s="1"/>
  <c r="T1936" i="10" s="1"/>
  <c r="F1961" i="10" s="1"/>
  <c r="F1967" i="10" s="1"/>
  <c r="H34" i="11"/>
  <c r="G31" i="37"/>
  <c r="H39" i="11"/>
  <c r="G26" i="37"/>
  <c r="H95" i="11"/>
  <c r="G27" i="37"/>
  <c r="H15" i="11"/>
  <c r="G14" i="37"/>
  <c r="H46" i="11"/>
  <c r="G29" i="37"/>
  <c r="H27" i="11"/>
  <c r="G20" i="37"/>
  <c r="H49" i="11"/>
  <c r="G22" i="37"/>
  <c r="H50" i="11"/>
  <c r="J50" i="11" s="1"/>
  <c r="G25" i="37"/>
  <c r="H40" i="11"/>
  <c r="H47" i="11"/>
  <c r="H23" i="11"/>
  <c r="J23" i="11" s="1"/>
  <c r="H20" i="11"/>
  <c r="H81" i="11"/>
  <c r="H87" i="11"/>
  <c r="H78" i="11"/>
  <c r="H84" i="11"/>
  <c r="O1311" i="10"/>
  <c r="H98" i="11"/>
  <c r="H90" i="11"/>
  <c r="O1403" i="10"/>
  <c r="Q1403" i="10" s="1"/>
  <c r="T1403" i="10" s="1"/>
  <c r="H99" i="11"/>
  <c r="F325" i="10"/>
  <c r="J325" i="10" s="1"/>
  <c r="F972" i="10" l="1"/>
  <c r="W289" i="10"/>
  <c r="F314" i="10" s="1"/>
  <c r="F320" i="10" s="1"/>
  <c r="T1981" i="10"/>
  <c r="F2007" i="10" s="1"/>
  <c r="F2013" i="10" s="1"/>
  <c r="M108" i="11"/>
  <c r="E33" i="15" s="1"/>
  <c r="K33" i="15" s="1"/>
  <c r="O1166" i="10"/>
  <c r="O1167" i="10" s="1"/>
  <c r="K119" i="11"/>
  <c r="M119" i="11" s="1"/>
  <c r="M118" i="11" s="1"/>
  <c r="E36" i="15" s="1"/>
  <c r="K36" i="15" s="1"/>
  <c r="I16" i="37"/>
  <c r="J16" i="37" s="1"/>
  <c r="L16" i="37" s="1"/>
  <c r="K106" i="11"/>
  <c r="M106" i="11" s="1"/>
  <c r="M103" i="11" s="1"/>
  <c r="E32" i="15" s="1"/>
  <c r="K32" i="15" s="1"/>
  <c r="I23" i="37"/>
  <c r="J23" i="37" s="1"/>
  <c r="L23" i="37" s="1"/>
  <c r="T1793" i="10"/>
  <c r="F1821" i="10" s="1"/>
  <c r="F1827" i="10" s="1"/>
  <c r="M111" i="11"/>
  <c r="E34" i="15" s="1"/>
  <c r="K34" i="15" s="1"/>
  <c r="G17" i="20"/>
  <c r="F17" i="20" s="1"/>
  <c r="G15" i="6"/>
  <c r="F15" i="6" s="1"/>
  <c r="T1889" i="10"/>
  <c r="F1917" i="10" s="1"/>
  <c r="F1923" i="10" s="1"/>
  <c r="P881" i="10"/>
  <c r="K23" i="11"/>
  <c r="M23" i="11" s="1"/>
  <c r="K50" i="11"/>
  <c r="M50" i="11" s="1"/>
  <c r="J25" i="37"/>
  <c r="L25" i="37" s="1"/>
  <c r="J881" i="10"/>
  <c r="Q31" i="14"/>
  <c r="J20" i="15"/>
  <c r="J37" i="15" s="1"/>
  <c r="T1404" i="10"/>
  <c r="F1430" i="10" s="1"/>
  <c r="G43" i="20"/>
  <c r="O1535" i="10"/>
  <c r="G59" i="20" s="1"/>
  <c r="G41" i="20"/>
  <c r="Q1443" i="10"/>
  <c r="G57" i="20" s="1"/>
  <c r="G40" i="20"/>
  <c r="G38" i="20"/>
  <c r="O1305" i="10"/>
  <c r="G54" i="20" s="1"/>
  <c r="G35" i="20"/>
  <c r="G37" i="20"/>
  <c r="G39" i="20"/>
  <c r="G36" i="20"/>
  <c r="G42" i="20"/>
  <c r="Q1540" i="10"/>
  <c r="T1540" i="10" s="1"/>
  <c r="I99" i="11"/>
  <c r="J99" i="11" s="1"/>
  <c r="K99" i="11" s="1"/>
  <c r="M99" i="11" s="1"/>
  <c r="I96" i="11"/>
  <c r="J96" i="11" s="1"/>
  <c r="K96" i="11" s="1"/>
  <c r="M96" i="11" s="1"/>
  <c r="I90" i="11"/>
  <c r="J90" i="11" s="1"/>
  <c r="K90" i="11" s="1"/>
  <c r="M90" i="11" s="1"/>
  <c r="I78" i="11"/>
  <c r="J78" i="11" s="1"/>
  <c r="K78" i="11" s="1"/>
  <c r="M78" i="11" s="1"/>
  <c r="I81" i="11"/>
  <c r="J81" i="11" s="1"/>
  <c r="K81" i="11" s="1"/>
  <c r="M81" i="11" s="1"/>
  <c r="Q80" i="10"/>
  <c r="S80" i="10" s="1"/>
  <c r="F327" i="10"/>
  <c r="F16" i="21" l="1"/>
  <c r="G16" i="21" s="1"/>
  <c r="E18" i="20"/>
  <c r="E23" i="19" s="1"/>
  <c r="F15" i="19"/>
  <c r="G31" i="20"/>
  <c r="G18" i="21" s="1"/>
  <c r="I47" i="11"/>
  <c r="J47" i="11" s="1"/>
  <c r="H29" i="37"/>
  <c r="V80" i="10"/>
  <c r="M88" i="11"/>
  <c r="M79" i="11"/>
  <c r="M76" i="11"/>
  <c r="O1259" i="10"/>
  <c r="G53" i="20" s="1"/>
  <c r="O1351" i="10"/>
  <c r="G55" i="20" s="1"/>
  <c r="F328" i="10"/>
  <c r="M327" i="10" s="1"/>
  <c r="O1213" i="10"/>
  <c r="G52" i="20" s="1"/>
  <c r="G51" i="20"/>
  <c r="R1489" i="10"/>
  <c r="G58" i="20" s="1"/>
  <c r="P1397" i="10"/>
  <c r="G56" i="20" s="1"/>
  <c r="I98" i="11"/>
  <c r="J98" i="11" s="1"/>
  <c r="K98" i="11" s="1"/>
  <c r="M98" i="11" s="1"/>
  <c r="Q1541" i="10"/>
  <c r="T1541" i="10" s="1"/>
  <c r="F22" i="13"/>
  <c r="I93" i="11"/>
  <c r="J93" i="11" s="1"/>
  <c r="K93" i="11" s="1"/>
  <c r="M93" i="11" s="1"/>
  <c r="O1449" i="10"/>
  <c r="Q1449" i="10" s="1"/>
  <c r="T1449" i="10" s="1"/>
  <c r="I87" i="11"/>
  <c r="J87" i="11" s="1"/>
  <c r="K87" i="11" s="1"/>
  <c r="M87" i="11" s="1"/>
  <c r="Q1357" i="10"/>
  <c r="T1357" i="10" s="1"/>
  <c r="Q1219" i="10"/>
  <c r="T1219" i="10" s="1"/>
  <c r="O1494" i="10"/>
  <c r="Q1494" i="10" s="1"/>
  <c r="T1494" i="10" s="1"/>
  <c r="O1495" i="10"/>
  <c r="Q1495" i="10" s="1"/>
  <c r="T1495" i="10" s="1"/>
  <c r="J36" i="11"/>
  <c r="K36" i="11" s="1"/>
  <c r="M36" i="11" s="1"/>
  <c r="M35" i="11" s="1"/>
  <c r="K47" i="11" l="1"/>
  <c r="M47" i="11" s="1"/>
  <c r="I21" i="37"/>
  <c r="F921" i="10"/>
  <c r="F922" i="10" s="1"/>
  <c r="I46" i="11"/>
  <c r="F353" i="10"/>
  <c r="V82" i="10"/>
  <c r="F139" i="10" s="1"/>
  <c r="G404" i="10"/>
  <c r="I404" i="10" s="1"/>
  <c r="N333" i="10"/>
  <c r="H28" i="37" s="1"/>
  <c r="N332" i="10"/>
  <c r="M91" i="11"/>
  <c r="E28" i="15" s="1"/>
  <c r="K28" i="15" s="1"/>
  <c r="M85" i="11"/>
  <c r="E26" i="15" s="1"/>
  <c r="K26" i="15" s="1"/>
  <c r="T1496" i="10"/>
  <c r="F1522" i="10" s="1"/>
  <c r="F1528" i="10" s="1"/>
  <c r="T1450" i="10"/>
  <c r="F1476" i="10" s="1"/>
  <c r="F1482" i="10" s="1"/>
  <c r="T1358" i="10"/>
  <c r="F1384" i="10" s="1"/>
  <c r="F1390" i="10" s="1"/>
  <c r="T1220" i="10"/>
  <c r="F1246" i="10" s="1"/>
  <c r="F1252" i="10" s="1"/>
  <c r="G406" i="10"/>
  <c r="T1542" i="10"/>
  <c r="F1568" i="10" s="1"/>
  <c r="F1574" i="10" s="1"/>
  <c r="M97" i="11"/>
  <c r="E30" i="15" s="1"/>
  <c r="K30" i="15" s="1"/>
  <c r="O1173" i="10"/>
  <c r="Q1173" i="10" s="1"/>
  <c r="T1173" i="10" s="1"/>
  <c r="I75" i="11"/>
  <c r="J75" i="11" s="1"/>
  <c r="K75" i="11" s="1"/>
  <c r="M75" i="11" s="1"/>
  <c r="E23" i="15"/>
  <c r="K23" i="15" s="1"/>
  <c r="I95" i="11"/>
  <c r="J95" i="11" s="1"/>
  <c r="F1436" i="10"/>
  <c r="Q1265" i="10"/>
  <c r="T1265" i="10" s="1"/>
  <c r="T1266" i="10" s="1"/>
  <c r="K1719" i="10"/>
  <c r="P333" i="10"/>
  <c r="R333" i="10" s="1"/>
  <c r="U333" i="10" s="1"/>
  <c r="E18" i="15"/>
  <c r="K18" i="15" s="1"/>
  <c r="J84" i="11"/>
  <c r="K84" i="11" s="1"/>
  <c r="M84" i="11" s="1"/>
  <c r="M82" i="11" s="1"/>
  <c r="Q1311" i="10"/>
  <c r="T1311" i="10" s="1"/>
  <c r="J21" i="37" l="1"/>
  <c r="L21" i="37" s="1"/>
  <c r="F361" i="10"/>
  <c r="F362" i="10" s="1"/>
  <c r="J366" i="10" s="1"/>
  <c r="H26" i="37"/>
  <c r="K95" i="11"/>
  <c r="I27" i="37"/>
  <c r="J27" i="37" s="1"/>
  <c r="L27" i="37" s="1"/>
  <c r="G19" i="6"/>
  <c r="F19" i="6" s="1"/>
  <c r="I406" i="10"/>
  <c r="G23" i="20"/>
  <c r="F23" i="20" s="1"/>
  <c r="F17" i="21" s="1"/>
  <c r="F145" i="10"/>
  <c r="I39" i="11"/>
  <c r="J39" i="11" s="1"/>
  <c r="I40" i="11"/>
  <c r="J40" i="11" s="1"/>
  <c r="P332" i="10"/>
  <c r="R332" i="10" s="1"/>
  <c r="U332" i="10" s="1"/>
  <c r="T1312" i="10"/>
  <c r="F1338" i="10" s="1"/>
  <c r="F1344" i="10" s="1"/>
  <c r="M73" i="11"/>
  <c r="E22" i="15" s="1"/>
  <c r="K22" i="15" s="1"/>
  <c r="T1174" i="10"/>
  <c r="F1200" i="10" s="1"/>
  <c r="F1206" i="10" s="1"/>
  <c r="E27" i="15"/>
  <c r="K27" i="15" s="1"/>
  <c r="F1292" i="10"/>
  <c r="F1298" i="10" s="1"/>
  <c r="E24" i="15"/>
  <c r="K24" i="15" s="1"/>
  <c r="L1740" i="10"/>
  <c r="K18" i="22"/>
  <c r="L18" i="22" s="1"/>
  <c r="M18" i="22" s="1"/>
  <c r="L1719" i="10"/>
  <c r="N412" i="10"/>
  <c r="I44" i="11" s="1"/>
  <c r="J44" i="11" s="1"/>
  <c r="N410" i="10"/>
  <c r="I42" i="11" s="1"/>
  <c r="N411" i="10"/>
  <c r="I43" i="11" s="1"/>
  <c r="J43" i="11" s="1"/>
  <c r="K43" i="11" s="1"/>
  <c r="M43" i="11" s="1"/>
  <c r="H15" i="17"/>
  <c r="E25" i="15"/>
  <c r="K25" i="15" s="1"/>
  <c r="K1724" i="10"/>
  <c r="H1023" i="10"/>
  <c r="M95" i="11" l="1"/>
  <c r="M94" i="11" s="1"/>
  <c r="E29" i="15" s="1"/>
  <c r="K29" i="15" s="1"/>
  <c r="K44" i="11"/>
  <c r="M44" i="11" s="1"/>
  <c r="I18" i="37"/>
  <c r="J18" i="37" s="1"/>
  <c r="L18" i="37" s="1"/>
  <c r="K39" i="11"/>
  <c r="M39" i="11" s="1"/>
  <c r="I26" i="37"/>
  <c r="J26" i="37" s="1"/>
  <c r="K40" i="11"/>
  <c r="M40" i="11" s="1"/>
  <c r="M123" i="11" s="1"/>
  <c r="I28" i="37"/>
  <c r="J28" i="37" s="1"/>
  <c r="L28" i="37" s="1"/>
  <c r="O1719" i="10"/>
  <c r="E1730" i="10" s="1"/>
  <c r="M22" i="11"/>
  <c r="J1023" i="10"/>
  <c r="G21" i="6"/>
  <c r="F21" i="6" s="1"/>
  <c r="G17" i="21"/>
  <c r="E24" i="20"/>
  <c r="E27" i="19" s="1"/>
  <c r="F16" i="19"/>
  <c r="G16" i="19" s="1"/>
  <c r="U334" i="10"/>
  <c r="F393" i="10" s="1"/>
  <c r="H366" i="10"/>
  <c r="G23" i="16"/>
  <c r="P412" i="10"/>
  <c r="R412" i="10" s="1"/>
  <c r="U412" i="10" s="1"/>
  <c r="K1751" i="10"/>
  <c r="M1740" i="10"/>
  <c r="O1740" i="10" s="1"/>
  <c r="K22" i="22"/>
  <c r="L22" i="22" s="1"/>
  <c r="M22" i="22" s="1"/>
  <c r="P411" i="10"/>
  <c r="R411" i="10" s="1"/>
  <c r="U411" i="10" s="1"/>
  <c r="P410" i="10"/>
  <c r="R410" i="10" s="1"/>
  <c r="U410" i="10" s="1"/>
  <c r="J42" i="11"/>
  <c r="K42" i="11" s="1"/>
  <c r="M42" i="11" s="1"/>
  <c r="I19" i="13"/>
  <c r="I338" i="10"/>
  <c r="I15" i="17"/>
  <c r="G353" i="10"/>
  <c r="H21" i="17"/>
  <c r="I21" i="17" s="1"/>
  <c r="G996" i="10"/>
  <c r="K996" i="10" s="1"/>
  <c r="F1012" i="10" s="1"/>
  <c r="F1031" i="10"/>
  <c r="F1033" i="10" s="1"/>
  <c r="I49" i="11"/>
  <c r="J49" i="11" s="1"/>
  <c r="P976" i="10"/>
  <c r="R976" i="10" s="1"/>
  <c r="U976" i="10" s="1"/>
  <c r="P977" i="10"/>
  <c r="R977" i="10" s="1"/>
  <c r="U977" i="10" s="1"/>
  <c r="P888" i="10"/>
  <c r="R888" i="10" s="1"/>
  <c r="U888" i="10" s="1"/>
  <c r="L1741" i="10"/>
  <c r="L1724" i="10"/>
  <c r="K19" i="22"/>
  <c r="L19" i="22" s="1"/>
  <c r="M19" i="22" s="1"/>
  <c r="G17" i="19"/>
  <c r="J46" i="11"/>
  <c r="P887" i="10"/>
  <c r="R887" i="10" s="1"/>
  <c r="U887" i="10" s="1"/>
  <c r="L26" i="37" l="1"/>
  <c r="M38" i="11"/>
  <c r="J21" i="17"/>
  <c r="J20" i="17" s="1"/>
  <c r="J15" i="17"/>
  <c r="J14" i="17" s="1"/>
  <c r="K49" i="11"/>
  <c r="M49" i="11" s="1"/>
  <c r="M48" i="11" s="1"/>
  <c r="K46" i="11"/>
  <c r="M46" i="11" s="1"/>
  <c r="M45" i="11" s="1"/>
  <c r="I29" i="37"/>
  <c r="J29" i="37" s="1"/>
  <c r="L29" i="37" s="1"/>
  <c r="O1724" i="10"/>
  <c r="E1731" i="10" s="1"/>
  <c r="F24" i="20"/>
  <c r="F27" i="19" s="1"/>
  <c r="G27" i="19" s="1"/>
  <c r="N366" i="10"/>
  <c r="U889" i="10"/>
  <c r="F953" i="10" s="1"/>
  <c r="F23" i="16"/>
  <c r="H23" i="16" s="1"/>
  <c r="L23" i="16" s="1"/>
  <c r="N367" i="10"/>
  <c r="F397" i="10" s="1"/>
  <c r="H926" i="10"/>
  <c r="K353" i="10"/>
  <c r="F396" i="10" s="1"/>
  <c r="K338" i="10"/>
  <c r="U413" i="10"/>
  <c r="F439" i="10" s="1"/>
  <c r="F445" i="10" s="1"/>
  <c r="K1031" i="10"/>
  <c r="L1751" i="10"/>
  <c r="N1751" i="10" s="1"/>
  <c r="K27" i="22"/>
  <c r="L27" i="22" s="1"/>
  <c r="M27" i="22" s="1"/>
  <c r="M41" i="11"/>
  <c r="E19" i="15" s="1"/>
  <c r="G22" i="13"/>
  <c r="I22" i="13" s="1"/>
  <c r="J893" i="10"/>
  <c r="L893" i="10" s="1"/>
  <c r="I17" i="17"/>
  <c r="U978" i="10"/>
  <c r="F1009" i="10" s="1"/>
  <c r="K1752" i="10"/>
  <c r="M1741" i="10"/>
  <c r="O1741" i="10" s="1"/>
  <c r="K23" i="22"/>
  <c r="L23" i="22" s="1"/>
  <c r="M23" i="22" s="1"/>
  <c r="G19" i="15" l="1"/>
  <c r="I37" i="15"/>
  <c r="F22" i="20"/>
  <c r="E25" i="20" s="1"/>
  <c r="E22" i="20"/>
  <c r="F25" i="16"/>
  <c r="L22" i="16"/>
  <c r="I21" i="13"/>
  <c r="F20" i="15" s="1"/>
  <c r="J926" i="10"/>
  <c r="L926" i="10" s="1"/>
  <c r="L894" i="10"/>
  <c r="F954" i="10" s="1"/>
  <c r="H19" i="15"/>
  <c r="F19" i="15"/>
  <c r="K339" i="10"/>
  <c r="F394" i="10" s="1"/>
  <c r="F399" i="10" s="1"/>
  <c r="K1033" i="10"/>
  <c r="K28" i="22"/>
  <c r="L28" i="22" s="1"/>
  <c r="M28" i="22" s="1"/>
  <c r="L1752" i="10"/>
  <c r="N1752" i="10" s="1"/>
  <c r="F1015" i="10"/>
  <c r="G22" i="20" l="1"/>
  <c r="F37" i="15"/>
  <c r="L927" i="10"/>
  <c r="F957" i="10" s="1"/>
  <c r="F959" i="10" s="1"/>
  <c r="G25" i="16"/>
  <c r="H25" i="16" s="1"/>
  <c r="L25" i="16" s="1"/>
  <c r="L24" i="16" s="1"/>
  <c r="H20" i="15" s="1"/>
  <c r="H37" i="15" s="1"/>
  <c r="K19" i="15"/>
  <c r="G20" i="15"/>
  <c r="G37" i="15" s="1"/>
  <c r="N1039" i="10" l="1"/>
  <c r="I53" i="11" l="1"/>
  <c r="J53" i="11" s="1"/>
  <c r="M1032" i="10"/>
  <c r="N1038" i="10"/>
  <c r="P1038" i="10" s="1"/>
  <c r="R1038" i="10" s="1"/>
  <c r="U1038" i="10" s="1"/>
  <c r="H1033" i="10"/>
  <c r="H1032" i="10"/>
  <c r="K1069" i="10" s="1"/>
  <c r="K1070" i="10" s="1"/>
  <c r="P1039" i="10"/>
  <c r="R1039" i="10" s="1"/>
  <c r="U1039" i="10" s="1"/>
  <c r="K53" i="11" l="1"/>
  <c r="M53" i="11" s="1"/>
  <c r="I22" i="37"/>
  <c r="J22" i="37" s="1"/>
  <c r="L22" i="37" s="1"/>
  <c r="U1040" i="10"/>
  <c r="F1065" i="10" s="1"/>
  <c r="M1033" i="10"/>
  <c r="G49" i="20" s="1"/>
  <c r="I52" i="11"/>
  <c r="J52" i="11" s="1"/>
  <c r="K52" i="11" s="1"/>
  <c r="M52" i="11" s="1"/>
  <c r="F1071" i="10" l="1"/>
  <c r="J1071" i="10" s="1"/>
  <c r="J1069" i="10" s="1"/>
  <c r="J1070" i="10" s="1"/>
  <c r="D1077" i="10"/>
  <c r="F1076" i="10"/>
  <c r="M51" i="11"/>
  <c r="E20" i="15" l="1"/>
  <c r="K20" i="15" s="1"/>
  <c r="J1076" i="10"/>
  <c r="F1115" i="10" s="1"/>
  <c r="F1116" i="10" l="1"/>
  <c r="H1121" i="10"/>
  <c r="H1120" i="10"/>
  <c r="M1082" i="10"/>
  <c r="H19" i="37" s="1"/>
  <c r="M1081" i="10"/>
  <c r="I1088" i="10"/>
  <c r="K1088" i="10" s="1"/>
  <c r="G16" i="13"/>
  <c r="I16" i="13" s="1"/>
  <c r="F19" i="16" l="1"/>
  <c r="I1121" i="10"/>
  <c r="G19" i="16" s="1"/>
  <c r="I1120" i="10"/>
  <c r="G18" i="16" s="1"/>
  <c r="I15" i="13"/>
  <c r="I29" i="13" s="1"/>
  <c r="O1082" i="10"/>
  <c r="Q1082" i="10" s="1"/>
  <c r="T1082" i="10" s="1"/>
  <c r="I18" i="11"/>
  <c r="J18" i="11" s="1"/>
  <c r="K1089" i="10"/>
  <c r="F1152" i="10" s="1"/>
  <c r="I1662" i="10"/>
  <c r="G16" i="16" s="1"/>
  <c r="O1081" i="10"/>
  <c r="Q1081" i="10" s="1"/>
  <c r="T1081" i="10" s="1"/>
  <c r="I17" i="11"/>
  <c r="J17" i="11" s="1"/>
  <c r="K17" i="11" s="1"/>
  <c r="M17" i="11" s="1"/>
  <c r="K18" i="11" l="1"/>
  <c r="M18" i="11" s="1"/>
  <c r="J1121" i="10"/>
  <c r="H19" i="16"/>
  <c r="L19" i="16" s="1"/>
  <c r="T1083" i="10"/>
  <c r="F1151" i="10" s="1"/>
  <c r="J1120" i="10"/>
  <c r="J1122" i="10" s="1"/>
  <c r="F1155" i="10" s="1"/>
  <c r="F18" i="16"/>
  <c r="H18" i="16" s="1"/>
  <c r="M16" i="11" l="1"/>
  <c r="L18" i="16"/>
  <c r="F1157" i="10"/>
  <c r="L17" i="16" l="1"/>
  <c r="O37" i="15" s="1"/>
  <c r="C8" i="20"/>
  <c r="C8" i="19"/>
  <c r="C8" i="17"/>
  <c r="C9" i="6"/>
  <c r="C9" i="29"/>
  <c r="C9" i="21"/>
  <c r="C9" i="18"/>
  <c r="C9" i="13"/>
  <c r="C8" i="11"/>
  <c r="C9" i="23"/>
  <c r="C9" i="16"/>
  <c r="C9" i="14"/>
  <c r="C9" i="22"/>
  <c r="C9" i="24"/>
  <c r="C8" i="15"/>
  <c r="I153" i="10"/>
  <c r="I152" i="10"/>
  <c r="O160" i="10"/>
  <c r="O159" i="10"/>
  <c r="I26" i="11" s="1"/>
  <c r="J26" i="11" s="1"/>
  <c r="G150" i="10"/>
  <c r="Q160" i="10" l="1"/>
  <c r="S160" i="10" s="1"/>
  <c r="V160" i="10" s="1"/>
  <c r="H20" i="37"/>
  <c r="K26" i="11"/>
  <c r="M26" i="11" s="1"/>
  <c r="I154" i="10"/>
  <c r="L150" i="10"/>
  <c r="L152" i="10" s="1"/>
  <c r="K190" i="10"/>
  <c r="K189" i="10"/>
  <c r="K191" i="10" s="1"/>
  <c r="Q159" i="10"/>
  <c r="S159" i="10" s="1"/>
  <c r="V159" i="10" s="1"/>
  <c r="I27" i="11"/>
  <c r="J27" i="11" s="1"/>
  <c r="V161" i="10" l="1"/>
  <c r="F186" i="10" s="1"/>
  <c r="F192" i="10" s="1"/>
  <c r="J192" i="10" s="1"/>
  <c r="J190" i="10" s="1"/>
  <c r="K27" i="11"/>
  <c r="M27" i="11" s="1"/>
  <c r="M25" i="11" s="1"/>
  <c r="E15" i="15" s="1"/>
  <c r="N153" i="10"/>
  <c r="G34" i="20" s="1"/>
  <c r="N154" i="10"/>
  <c r="G50" i="20" s="1"/>
  <c r="N152" i="10"/>
  <c r="G18" i="20"/>
  <c r="J189" i="10" l="1"/>
  <c r="J191" i="10" s="1"/>
  <c r="F18" i="20"/>
  <c r="F23" i="19" s="1"/>
  <c r="G23" i="19" s="1"/>
  <c r="N155" i="10"/>
  <c r="K15" i="15"/>
  <c r="G15" i="19" l="1"/>
  <c r="F16" i="20"/>
  <c r="E16" i="20"/>
  <c r="G16" i="20" l="1"/>
  <c r="Q30" i="10" l="1"/>
  <c r="I21" i="11" s="1"/>
  <c r="J21" i="11" s="1"/>
  <c r="D25" i="10"/>
  <c r="G14" i="6" s="1"/>
  <c r="F14" i="6" s="1"/>
  <c r="Q29" i="10"/>
  <c r="K21" i="11" l="1"/>
  <c r="M21" i="11" s="1"/>
  <c r="G15" i="20"/>
  <c r="S29" i="10"/>
  <c r="U29" i="10" s="1"/>
  <c r="Y29" i="10" s="1"/>
  <c r="I20" i="11"/>
  <c r="J20" i="11" s="1"/>
  <c r="S30" i="10"/>
  <c r="U30" i="10" s="1"/>
  <c r="Y30" i="10" s="1"/>
  <c r="K20" i="11" l="1"/>
  <c r="F15" i="20"/>
  <c r="F22" i="19" s="1"/>
  <c r="E19" i="20"/>
  <c r="E24" i="19" s="1"/>
  <c r="M20" i="11"/>
  <c r="M19" i="11" s="1"/>
  <c r="E14" i="15" s="1"/>
  <c r="Y31" i="10"/>
  <c r="F57" i="10" s="1"/>
  <c r="F63" i="10" s="1"/>
  <c r="P202" i="10"/>
  <c r="P203" i="10"/>
  <c r="I31" i="11" s="1"/>
  <c r="J31" i="11" s="1"/>
  <c r="H197" i="10"/>
  <c r="P201" i="10"/>
  <c r="I29" i="11" s="1"/>
  <c r="J29" i="11" s="1"/>
  <c r="I30" i="11" l="1"/>
  <c r="J30" i="11" s="1"/>
  <c r="H30" i="37"/>
  <c r="K31" i="11"/>
  <c r="M31" i="11" s="1"/>
  <c r="I20" i="37"/>
  <c r="J20" i="37" s="1"/>
  <c r="L20" i="37" s="1"/>
  <c r="K30" i="11"/>
  <c r="M30" i="11" s="1"/>
  <c r="I30" i="37"/>
  <c r="J30" i="37" s="1"/>
  <c r="L30" i="37" s="1"/>
  <c r="K29" i="11"/>
  <c r="M29" i="11" s="1"/>
  <c r="I17" i="37"/>
  <c r="J17" i="37" s="1"/>
  <c r="L17" i="37" s="1"/>
  <c r="K14" i="15"/>
  <c r="G16" i="6"/>
  <c r="F16" i="6" s="1"/>
  <c r="G22" i="19"/>
  <c r="R201" i="10"/>
  <c r="T201" i="10" s="1"/>
  <c r="W201" i="10" s="1"/>
  <c r="G19" i="20"/>
  <c r="F19" i="20" s="1"/>
  <c r="R203" i="10"/>
  <c r="T203" i="10" s="1"/>
  <c r="W203" i="10" s="1"/>
  <c r="R202" i="10"/>
  <c r="T202" i="10" s="1"/>
  <c r="W202" i="10" s="1"/>
  <c r="M28" i="11" l="1"/>
  <c r="E16" i="15" s="1"/>
  <c r="K16" i="15" s="1"/>
  <c r="F24" i="19"/>
  <c r="E20" i="20"/>
  <c r="E25" i="19" s="1"/>
  <c r="W204" i="10"/>
  <c r="F230" i="10" s="1"/>
  <c r="F236" i="10" s="1"/>
  <c r="P245" i="10"/>
  <c r="G24" i="19" l="1"/>
  <c r="I33" i="11"/>
  <c r="J33" i="11" s="1"/>
  <c r="R245" i="10"/>
  <c r="T245" i="10" s="1"/>
  <c r="W245" i="10" s="1"/>
  <c r="P246" i="10"/>
  <c r="H31" i="37" s="1"/>
  <c r="H241" i="10"/>
  <c r="G17" i="6" s="1"/>
  <c r="F17" i="6" s="1"/>
  <c r="K33" i="11" l="1"/>
  <c r="M33" i="11" s="1"/>
  <c r="G20" i="20"/>
  <c r="F20" i="20" s="1"/>
  <c r="I34" i="11"/>
  <c r="J34" i="11" s="1"/>
  <c r="R246" i="10"/>
  <c r="T246" i="10" s="1"/>
  <c r="W246" i="10" s="1"/>
  <c r="W247" i="10" s="1"/>
  <c r="F272" i="10" s="1"/>
  <c r="F278" i="10" s="1"/>
  <c r="K34" i="11" l="1"/>
  <c r="M34" i="11" s="1"/>
  <c r="M32" i="11" s="1"/>
  <c r="E17" i="15" s="1"/>
  <c r="I31" i="37"/>
  <c r="J31" i="37" s="1"/>
  <c r="L31" i="37" s="1"/>
  <c r="L35" i="37" s="1"/>
  <c r="F25" i="20"/>
  <c r="G25" i="20" s="1"/>
  <c r="F25" i="19"/>
  <c r="E21" i="20"/>
  <c r="E26" i="20" l="1"/>
  <c r="K17" i="15"/>
  <c r="G25" i="19"/>
  <c r="E26" i="19"/>
  <c r="F21" i="20"/>
  <c r="F26" i="19" s="1"/>
  <c r="F26" i="20"/>
  <c r="E27" i="20" s="1"/>
  <c r="F27" i="20" s="1"/>
  <c r="E28" i="20" s="1"/>
  <c r="F28" i="20" s="1"/>
  <c r="E33" i="20" s="1"/>
  <c r="E29" i="19" s="1"/>
  <c r="G26" i="19" l="1"/>
  <c r="F21" i="19"/>
  <c r="E21" i="19"/>
  <c r="E14" i="20"/>
  <c r="F14" i="20"/>
  <c r="F16" i="38" s="1"/>
  <c r="F15" i="38" s="1"/>
  <c r="F31" i="20"/>
  <c r="F18" i="21" s="1"/>
  <c r="F15" i="21" l="1"/>
  <c r="E15" i="21"/>
  <c r="G21" i="19"/>
  <c r="E32" i="20"/>
  <c r="E19" i="19" s="1"/>
  <c r="E18" i="19" s="1"/>
  <c r="F17" i="19"/>
  <c r="G14" i="20"/>
  <c r="F32" i="20"/>
  <c r="F19" i="19" s="1"/>
  <c r="G15" i="21" l="1"/>
  <c r="G19" i="19"/>
  <c r="G18" i="19" s="1"/>
  <c r="F18" i="19"/>
  <c r="E14" i="19"/>
  <c r="E14" i="21"/>
  <c r="F33" i="20" l="1"/>
  <c r="F14" i="19"/>
  <c r="E52" i="19"/>
  <c r="F52" i="19"/>
  <c r="E13" i="19"/>
  <c r="F30" i="20" l="1"/>
  <c r="E34" i="20"/>
  <c r="F34" i="20" s="1"/>
  <c r="E35" i="20" s="1"/>
  <c r="E30" i="19" s="1"/>
  <c r="F29" i="19"/>
  <c r="G52" i="19"/>
  <c r="G14" i="19"/>
  <c r="G13" i="19" s="1"/>
  <c r="J1714" i="10" s="1"/>
  <c r="L1742" i="10" s="1"/>
  <c r="F13" i="19"/>
  <c r="F14" i="21"/>
  <c r="G14" i="21"/>
  <c r="E30" i="20"/>
  <c r="G29" i="19" l="1"/>
  <c r="E1624" i="10"/>
  <c r="F35" i="20"/>
  <c r="G30" i="20"/>
  <c r="E1625" i="10" l="1"/>
  <c r="E36" i="20"/>
  <c r="E31" i="19" s="1"/>
  <c r="F30" i="19"/>
  <c r="K17" i="22"/>
  <c r="L17" i="22" s="1"/>
  <c r="M17" i="22" s="1"/>
  <c r="K1714" i="10"/>
  <c r="M1714" i="10" l="1"/>
  <c r="E1729" i="10" s="1"/>
  <c r="F36" i="20"/>
  <c r="F31" i="19" s="1"/>
  <c r="G31" i="19" s="1"/>
  <c r="G30" i="19"/>
  <c r="E37" i="20"/>
  <c r="F37" i="20" l="1"/>
  <c r="E32" i="19"/>
  <c r="E38" i="20" l="1"/>
  <c r="F32" i="19"/>
  <c r="G32" i="19" s="1"/>
  <c r="F38" i="20" l="1"/>
  <c r="E33" i="19"/>
  <c r="E39" i="20" l="1"/>
  <c r="F33" i="19"/>
  <c r="G33" i="19" s="1"/>
  <c r="E34" i="19" l="1"/>
  <c r="F39" i="20"/>
  <c r="E40" i="20" s="1"/>
  <c r="M1586" i="10"/>
  <c r="M1585" i="10"/>
  <c r="J1580" i="10"/>
  <c r="F34" i="19" l="1"/>
  <c r="G34" i="19" s="1"/>
  <c r="G60" i="20"/>
  <c r="J1581" i="10"/>
  <c r="G31" i="6" s="1"/>
  <c r="F31" i="6" s="1"/>
  <c r="I101" i="11"/>
  <c r="J101" i="11" s="1"/>
  <c r="O1585" i="10"/>
  <c r="Q1585" i="10" s="1"/>
  <c r="T1585" i="10" s="1"/>
  <c r="O1586" i="10"/>
  <c r="Q1586" i="10" s="1"/>
  <c r="T1586" i="10" s="1"/>
  <c r="I102" i="11"/>
  <c r="J102" i="11" s="1"/>
  <c r="K101" i="11" l="1"/>
  <c r="M101" i="11" s="1"/>
  <c r="I15" i="37"/>
  <c r="K102" i="11"/>
  <c r="J19" i="37"/>
  <c r="E35" i="19"/>
  <c r="F40" i="20"/>
  <c r="T1587" i="10"/>
  <c r="F1613" i="10" s="1"/>
  <c r="F1619" i="10" s="1"/>
  <c r="L19" i="37" l="1"/>
  <c r="L43" i="37" s="1"/>
  <c r="J15" i="37"/>
  <c r="L15" i="37" s="1"/>
  <c r="M102" i="11"/>
  <c r="E41" i="20"/>
  <c r="F35" i="19"/>
  <c r="G35" i="19" s="1"/>
  <c r="L34" i="37" l="1"/>
  <c r="L42" i="37" s="1"/>
  <c r="M100" i="11"/>
  <c r="E31" i="15" s="1"/>
  <c r="E37" i="15" s="1"/>
  <c r="M122" i="11"/>
  <c r="K31" i="15"/>
  <c r="K37" i="15" s="1"/>
  <c r="E36" i="19"/>
  <c r="F41" i="20"/>
  <c r="L33" i="15" l="1"/>
  <c r="L21" i="15"/>
  <c r="O33" i="15"/>
  <c r="L31" i="15"/>
  <c r="O31" i="15" s="1"/>
  <c r="L34" i="15"/>
  <c r="O34" i="15" s="1"/>
  <c r="L35" i="15"/>
  <c r="O35" i="15" s="1"/>
  <c r="L32" i="15"/>
  <c r="O32" i="15" s="1"/>
  <c r="L36" i="15"/>
  <c r="O36" i="15" s="1"/>
  <c r="L26" i="15"/>
  <c r="O26" i="15" s="1"/>
  <c r="L28" i="15"/>
  <c r="O28" i="15" s="1"/>
  <c r="L18" i="15"/>
  <c r="O18" i="15" s="1"/>
  <c r="L30" i="15"/>
  <c r="O30" i="15" s="1"/>
  <c r="L23" i="15"/>
  <c r="O23" i="15" s="1"/>
  <c r="L25" i="15"/>
  <c r="O25" i="15" s="1"/>
  <c r="L27" i="15"/>
  <c r="O27" i="15" s="1"/>
  <c r="L29" i="15"/>
  <c r="O29" i="15" s="1"/>
  <c r="L22" i="15"/>
  <c r="O22" i="15" s="1"/>
  <c r="L24" i="15"/>
  <c r="O24" i="15" s="1"/>
  <c r="L19" i="15"/>
  <c r="O19" i="15" s="1"/>
  <c r="L20" i="15"/>
  <c r="L15" i="15"/>
  <c r="O15" i="15" s="1"/>
  <c r="L16" i="15"/>
  <c r="O16" i="15" s="1"/>
  <c r="L17" i="15"/>
  <c r="O17" i="15" s="1"/>
  <c r="E42" i="20"/>
  <c r="F36" i="19"/>
  <c r="G36" i="19" s="1"/>
  <c r="L14" i="15"/>
  <c r="O21" i="15" l="1"/>
  <c r="M21" i="15"/>
  <c r="O20" i="15"/>
  <c r="M20" i="15"/>
  <c r="L37" i="15"/>
  <c r="E37" i="19"/>
  <c r="F42" i="20"/>
  <c r="H1662" i="10"/>
  <c r="O14" i="15" l="1"/>
  <c r="F16" i="16"/>
  <c r="H16" i="16" s="1"/>
  <c r="E43" i="20"/>
  <c r="F37" i="19"/>
  <c r="G37" i="19" s="1"/>
  <c r="K16" i="16"/>
  <c r="J1662" i="10"/>
  <c r="D1670" i="10" s="1"/>
  <c r="D1672" i="10" s="1"/>
  <c r="F1683" i="10" s="1"/>
  <c r="L16" i="16" l="1"/>
  <c r="L15" i="16" s="1"/>
  <c r="E38" i="19"/>
  <c r="F43" i="20"/>
  <c r="L37" i="16"/>
  <c r="E44" i="20" l="1"/>
  <c r="F38" i="19"/>
  <c r="G38" i="19" s="1"/>
  <c r="F44" i="20" l="1"/>
  <c r="G44" i="20" l="1"/>
  <c r="E45" i="20"/>
  <c r="F45" i="20" s="1"/>
  <c r="E46" i="20" l="1"/>
  <c r="F46" i="20" l="1"/>
  <c r="E47" i="20" l="1"/>
  <c r="F47" i="20" l="1"/>
  <c r="E71" i="20" s="1"/>
  <c r="E48" i="19" s="1"/>
  <c r="E49" i="20" l="1"/>
  <c r="F29" i="20"/>
  <c r="F18" i="38" s="1"/>
  <c r="F17" i="38" s="1"/>
  <c r="E29" i="20"/>
  <c r="F49" i="20" l="1"/>
  <c r="G29" i="20"/>
  <c r="E28" i="19"/>
  <c r="F28" i="19"/>
  <c r="G28" i="19" l="1"/>
  <c r="E20" i="19"/>
  <c r="E41" i="19" s="1"/>
  <c r="E50" i="20"/>
  <c r="F50" i="20" l="1"/>
  <c r="E51" i="20" l="1"/>
  <c r="F51" i="20" l="1"/>
  <c r="E52" i="20" l="1"/>
  <c r="F52" i="20" l="1"/>
  <c r="E53" i="20" l="1"/>
  <c r="F53" i="20" l="1"/>
  <c r="E54" i="20" l="1"/>
  <c r="F54" i="20" l="1"/>
  <c r="E55" i="20" l="1"/>
  <c r="F55" i="20" l="1"/>
  <c r="E56" i="20" s="1"/>
  <c r="F56" i="20" l="1"/>
  <c r="E57" i="20" l="1"/>
  <c r="F57" i="20" l="1"/>
  <c r="E58" i="20" l="1"/>
  <c r="F58" i="20" l="1"/>
  <c r="E59" i="20" l="1"/>
  <c r="F59" i="20" l="1"/>
  <c r="E60" i="20" l="1"/>
  <c r="F60" i="20" l="1"/>
  <c r="G40" i="19" l="1"/>
  <c r="E61" i="20"/>
  <c r="F61" i="20" s="1"/>
  <c r="E62" i="20" s="1"/>
  <c r="F62" i="20" s="1"/>
  <c r="E63" i="20" l="1"/>
  <c r="F63" i="20" s="1"/>
  <c r="E64" i="20" l="1"/>
  <c r="F64" i="20" s="1"/>
  <c r="E68" i="20" l="1"/>
  <c r="E66" i="20"/>
  <c r="E43" i="19" s="1"/>
  <c r="F71" i="20"/>
  <c r="F48" i="19" s="1"/>
  <c r="F48" i="20"/>
  <c r="F20" i="38" s="1"/>
  <c r="F19" i="38" s="1"/>
  <c r="E48" i="20"/>
  <c r="G48" i="19" l="1"/>
  <c r="E47" i="19"/>
  <c r="F47" i="19"/>
  <c r="F68" i="20"/>
  <c r="E69" i="20" s="1"/>
  <c r="E45" i="19"/>
  <c r="F66" i="20"/>
  <c r="F43" i="19" s="1"/>
  <c r="E72" i="20"/>
  <c r="G48" i="20"/>
  <c r="F45" i="19" l="1"/>
  <c r="G45" i="19" s="1"/>
  <c r="G47" i="19"/>
  <c r="F69" i="20"/>
  <c r="E46" i="19"/>
  <c r="G43" i="19"/>
  <c r="F72" i="20"/>
  <c r="F46" i="19" l="1"/>
  <c r="F65" i="20"/>
  <c r="F22" i="38" s="1"/>
  <c r="F21" i="38" s="1"/>
  <c r="E65" i="20"/>
  <c r="E73" i="20"/>
  <c r="F73" i="20" s="1"/>
  <c r="E74" i="20" s="1"/>
  <c r="F74" i="20" s="1"/>
  <c r="F70" i="20" s="1"/>
  <c r="F24" i="38" s="1"/>
  <c r="F23" i="38" s="1"/>
  <c r="F25" i="38" s="1"/>
  <c r="E70" i="20" l="1"/>
  <c r="G65" i="20"/>
  <c r="G46" i="19"/>
  <c r="E42" i="19"/>
  <c r="F42" i="19"/>
  <c r="G70" i="20"/>
  <c r="E13" i="20"/>
  <c r="F13" i="20"/>
  <c r="G42" i="19" l="1"/>
  <c r="G13" i="20"/>
  <c r="G41" i="19"/>
  <c r="E39" i="19"/>
  <c r="F39" i="19"/>
  <c r="G39" i="19" l="1"/>
  <c r="F20" i="19"/>
  <c r="E49" i="19" l="1"/>
  <c r="F49" i="19"/>
  <c r="G20" i="19"/>
  <c r="G49" i="19" l="1"/>
  <c r="E1623" i="10" s="1"/>
  <c r="G1623" i="10" s="1"/>
  <c r="M1635" i="10" s="1"/>
  <c r="L1692" i="10" l="1"/>
  <c r="I15" i="11"/>
  <c r="J15" i="11" s="1"/>
  <c r="O1635" i="10"/>
  <c r="Q1635" i="10" s="1"/>
  <c r="T1635" i="10" s="1"/>
  <c r="F1679" i="10" s="1"/>
  <c r="F1685" i="10" s="1"/>
  <c r="K1705" i="10"/>
  <c r="O1692" i="10"/>
  <c r="L1739" i="10"/>
  <c r="K15" i="11" l="1"/>
  <c r="M15" i="11" s="1"/>
  <c r="M121" i="11" s="1"/>
  <c r="M124" i="11" s="1"/>
  <c r="J14" i="37"/>
  <c r="K24" i="22"/>
  <c r="L24" i="22" s="1"/>
  <c r="M24" i="22" s="1"/>
  <c r="M1742" i="10"/>
  <c r="O1742" i="10" s="1"/>
  <c r="K1753" i="10"/>
  <c r="M1739" i="10"/>
  <c r="K21" i="22"/>
  <c r="L21" i="22" s="1"/>
  <c r="K1750" i="10"/>
  <c r="L1705" i="10"/>
  <c r="K16" i="22"/>
  <c r="L16" i="22" s="1"/>
  <c r="L14" i="37" l="1"/>
  <c r="L33" i="37" s="1"/>
  <c r="M14" i="11"/>
  <c r="N37" i="15" s="1"/>
  <c r="M21" i="22"/>
  <c r="M20" i="22" s="1"/>
  <c r="O1739" i="10"/>
  <c r="O1743" i="10" s="1"/>
  <c r="M16" i="22"/>
  <c r="M15" i="22" s="1"/>
  <c r="N1705" i="10"/>
  <c r="E1728" i="10" s="1"/>
  <c r="E1732" i="10" s="1"/>
  <c r="L1750" i="10"/>
  <c r="N1750" i="10" s="1"/>
  <c r="K26" i="22"/>
  <c r="L26" i="22" s="1"/>
  <c r="M26" i="22" s="1"/>
  <c r="L1753" i="10"/>
  <c r="N1753" i="10" s="1"/>
  <c r="K29" i="22"/>
  <c r="L29" i="22" s="1"/>
  <c r="M29" i="22" s="1"/>
  <c r="L41" i="37" l="1"/>
  <c r="M25" i="22"/>
  <c r="M30" i="22" s="1"/>
  <c r="M37" i="15" s="1"/>
  <c r="M33" i="15" s="1"/>
  <c r="N1754" i="10"/>
  <c r="L36" i="37" l="1"/>
  <c r="N33" i="15"/>
  <c r="Q33" i="15" s="1"/>
  <c r="N21" i="15"/>
  <c r="Q21" i="15" s="1"/>
  <c r="E24" i="24" s="1"/>
  <c r="E17" i="36" s="1"/>
  <c r="M32" i="15"/>
  <c r="M34" i="15"/>
  <c r="M35" i="15"/>
  <c r="N36" i="15"/>
  <c r="N32" i="15"/>
  <c r="Q32" i="15" s="1"/>
  <c r="N34" i="15"/>
  <c r="Q34" i="15" s="1"/>
  <c r="N35" i="15"/>
  <c r="Q35" i="15" s="1"/>
  <c r="M31" i="15"/>
  <c r="M36" i="15"/>
  <c r="Q36" i="15" s="1"/>
  <c r="M24" i="15"/>
  <c r="M30" i="15"/>
  <c r="M19" i="15"/>
  <c r="M29" i="15"/>
  <c r="M25" i="15"/>
  <c r="M26" i="15"/>
  <c r="M16" i="15"/>
  <c r="M15" i="15"/>
  <c r="M23" i="15"/>
  <c r="M27" i="15"/>
  <c r="M28" i="15"/>
  <c r="M17" i="15"/>
  <c r="M22" i="15"/>
  <c r="M18" i="15"/>
  <c r="N15" i="15"/>
  <c r="N31" i="15"/>
  <c r="N22" i="15"/>
  <c r="N25" i="15"/>
  <c r="N16" i="15"/>
  <c r="N23" i="15"/>
  <c r="N24" i="15"/>
  <c r="N20" i="15"/>
  <c r="N18" i="15"/>
  <c r="N19" i="15"/>
  <c r="N17" i="15"/>
  <c r="N29" i="15"/>
  <c r="N26" i="15"/>
  <c r="N28" i="15"/>
  <c r="N30" i="15"/>
  <c r="N27" i="15"/>
  <c r="F24" i="24" l="1"/>
  <c r="E57" i="24"/>
  <c r="E56" i="24"/>
  <c r="E19" i="36" s="1"/>
  <c r="E54" i="24"/>
  <c r="E55" i="24"/>
  <c r="Q29" i="15"/>
  <c r="Q18" i="15"/>
  <c r="T18" i="15" s="1"/>
  <c r="Q23" i="15"/>
  <c r="Q16" i="15"/>
  <c r="Q27" i="15"/>
  <c r="Q17" i="15"/>
  <c r="Q15" i="15"/>
  <c r="Q28" i="15"/>
  <c r="Q20" i="15"/>
  <c r="Q19" i="15"/>
  <c r="N14" i="15"/>
  <c r="Q25" i="15"/>
  <c r="Q22" i="15"/>
  <c r="Q31" i="15"/>
  <c r="Q24" i="15"/>
  <c r="Q30" i="15"/>
  <c r="Q26" i="15"/>
  <c r="E60" i="24"/>
  <c r="E16" i="36" s="1"/>
  <c r="M14" i="15"/>
  <c r="F57" i="24" l="1"/>
  <c r="F47" i="36" s="1"/>
  <c r="E47" i="36"/>
  <c r="F55" i="24"/>
  <c r="F45" i="36" s="1"/>
  <c r="E45" i="36"/>
  <c r="F54" i="24"/>
  <c r="F26" i="36" s="1"/>
  <c r="E26" i="36"/>
  <c r="F17" i="36"/>
  <c r="F56" i="24"/>
  <c r="F60" i="24"/>
  <c r="E52" i="24"/>
  <c r="E53" i="24"/>
  <c r="T29" i="15"/>
  <c r="E36" i="24"/>
  <c r="E19" i="24"/>
  <c r="E22" i="24"/>
  <c r="E30" i="24"/>
  <c r="T26" i="15"/>
  <c r="T25" i="15"/>
  <c r="E34" i="24"/>
  <c r="E20" i="24"/>
  <c r="E29" i="24"/>
  <c r="T19" i="15"/>
  <c r="E51" i="24"/>
  <c r="E22" i="36" s="1"/>
  <c r="E27" i="24"/>
  <c r="E18" i="36" s="1"/>
  <c r="T17" i="15"/>
  <c r="E37" i="24"/>
  <c r="E31" i="24"/>
  <c r="E35" i="24"/>
  <c r="T16" i="15"/>
  <c r="T23" i="15"/>
  <c r="T27" i="15"/>
  <c r="T28" i="15"/>
  <c r="T15" i="15"/>
  <c r="T20" i="15"/>
  <c r="E28" i="24"/>
  <c r="E21" i="24"/>
  <c r="Q14" i="15"/>
  <c r="E23" i="24"/>
  <c r="E33" i="24"/>
  <c r="T31" i="15"/>
  <c r="T30" i="15"/>
  <c r="E32" i="24"/>
  <c r="T22" i="15"/>
  <c r="T24" i="15"/>
  <c r="E59" i="24"/>
  <c r="F59" i="24" s="1"/>
  <c r="F16" i="36" l="1"/>
  <c r="E49" i="24"/>
  <c r="E50" i="36" s="1"/>
  <c r="E49" i="36"/>
  <c r="F21" i="24"/>
  <c r="F46" i="36" s="1"/>
  <c r="E46" i="36"/>
  <c r="F22" i="24"/>
  <c r="F43" i="36" s="1"/>
  <c r="E43" i="36"/>
  <c r="E48" i="24"/>
  <c r="E42" i="36"/>
  <c r="F28" i="24"/>
  <c r="F38" i="36" s="1"/>
  <c r="E38" i="36"/>
  <c r="F20" i="24"/>
  <c r="F36" i="36" s="1"/>
  <c r="E36" i="36"/>
  <c r="E50" i="24"/>
  <c r="E34" i="36"/>
  <c r="E46" i="24"/>
  <c r="E33" i="36"/>
  <c r="E42" i="24"/>
  <c r="E31" i="36" s="1"/>
  <c r="E32" i="36"/>
  <c r="E47" i="24"/>
  <c r="E37" i="36" s="1"/>
  <c r="E30" i="36"/>
  <c r="E45" i="24"/>
  <c r="E35" i="36" s="1"/>
  <c r="E29" i="36"/>
  <c r="F19" i="24"/>
  <c r="F25" i="36" s="1"/>
  <c r="E25" i="36"/>
  <c r="E44" i="24"/>
  <c r="E24" i="36"/>
  <c r="E43" i="24"/>
  <c r="E27" i="36" s="1"/>
  <c r="E23" i="36"/>
  <c r="F23" i="24"/>
  <c r="F21" i="36" s="1"/>
  <c r="E21" i="36"/>
  <c r="F52" i="24"/>
  <c r="F19" i="36"/>
  <c r="F53" i="24"/>
  <c r="E22" i="38" s="1"/>
  <c r="M22" i="38" s="1"/>
  <c r="E40" i="24"/>
  <c r="E23" i="38"/>
  <c r="T14" i="15"/>
  <c r="T37" i="15" s="1"/>
  <c r="E41" i="24"/>
  <c r="Q37" i="15"/>
  <c r="E18" i="24"/>
  <c r="E58" i="24"/>
  <c r="F58" i="24"/>
  <c r="F51" i="24"/>
  <c r="F22" i="36" s="1"/>
  <c r="F36" i="24"/>
  <c r="F49" i="36" s="1"/>
  <c r="F34" i="24"/>
  <c r="F30" i="36" s="1"/>
  <c r="F33" i="24"/>
  <c r="F33" i="36" s="1"/>
  <c r="F35" i="24"/>
  <c r="F42" i="36" s="1"/>
  <c r="F37" i="24"/>
  <c r="F34" i="36" s="1"/>
  <c r="F32" i="24"/>
  <c r="F29" i="36" s="1"/>
  <c r="F31" i="24"/>
  <c r="F24" i="36" s="1"/>
  <c r="F30" i="24"/>
  <c r="F23" i="36" s="1"/>
  <c r="F29" i="24"/>
  <c r="F32" i="36" s="1"/>
  <c r="F49" i="24"/>
  <c r="F50" i="36" s="1"/>
  <c r="E26" i="24"/>
  <c r="E25" i="24" s="1"/>
  <c r="F27" i="24"/>
  <c r="F18" i="36" s="1"/>
  <c r="F48" i="24" l="1"/>
  <c r="F48" i="36" s="1"/>
  <c r="E48" i="36"/>
  <c r="E17" i="24"/>
  <c r="E16" i="24" s="1"/>
  <c r="E44" i="36"/>
  <c r="F47" i="24"/>
  <c r="F37" i="36" s="1"/>
  <c r="F42" i="24"/>
  <c r="F31" i="36" s="1"/>
  <c r="F45" i="24"/>
  <c r="F35" i="36" s="1"/>
  <c r="F50" i="24"/>
  <c r="F41" i="36" s="1"/>
  <c r="E41" i="36"/>
  <c r="E39" i="36"/>
  <c r="E28" i="36"/>
  <c r="F41" i="24"/>
  <c r="F40" i="36" s="1"/>
  <c r="E40" i="36"/>
  <c r="F46" i="24"/>
  <c r="F43" i="24"/>
  <c r="F27" i="36" s="1"/>
  <c r="E21" i="38"/>
  <c r="F44" i="24"/>
  <c r="F40" i="24"/>
  <c r="F20" i="36" s="1"/>
  <c r="E20" i="36"/>
  <c r="R33" i="15"/>
  <c r="R21" i="15"/>
  <c r="M25" i="38"/>
  <c r="S22" i="38"/>
  <c r="F18" i="24"/>
  <c r="U26" i="15"/>
  <c r="R35" i="15"/>
  <c r="R34" i="15"/>
  <c r="R32" i="15"/>
  <c r="U31" i="15"/>
  <c r="R19" i="15"/>
  <c r="R31" i="15"/>
  <c r="R29" i="15"/>
  <c r="R23" i="15"/>
  <c r="U25" i="15"/>
  <c r="R30" i="15"/>
  <c r="R36" i="15"/>
  <c r="U29" i="15"/>
  <c r="U20" i="15"/>
  <c r="R18" i="15"/>
  <c r="R15" i="15"/>
  <c r="U23" i="15"/>
  <c r="R24" i="15"/>
  <c r="U15" i="15"/>
  <c r="U14" i="15"/>
  <c r="U27" i="15"/>
  <c r="R17" i="15"/>
  <c r="R26" i="15"/>
  <c r="R27" i="15"/>
  <c r="R16" i="15"/>
  <c r="R28" i="15"/>
  <c r="S37" i="15"/>
  <c r="R20" i="15"/>
  <c r="U24" i="15"/>
  <c r="U22" i="15"/>
  <c r="U30" i="15"/>
  <c r="U19" i="15"/>
  <c r="U28" i="15"/>
  <c r="U18" i="15"/>
  <c r="R25" i="15"/>
  <c r="U17" i="15"/>
  <c r="U16" i="15"/>
  <c r="R22" i="15"/>
  <c r="E24" i="38"/>
  <c r="F26" i="24"/>
  <c r="E18" i="38" s="1"/>
  <c r="E39" i="24"/>
  <c r="E38" i="24" s="1"/>
  <c r="E61" i="24" l="1"/>
  <c r="F17" i="24"/>
  <c r="F44" i="36"/>
  <c r="F39" i="36"/>
  <c r="F28" i="36"/>
  <c r="F39" i="24"/>
  <c r="J24" i="38"/>
  <c r="K24" i="38"/>
  <c r="I18" i="38"/>
  <c r="I25" i="38" s="1"/>
  <c r="E51" i="36"/>
  <c r="U37" i="15"/>
  <c r="F38" i="24"/>
  <c r="E20" i="38"/>
  <c r="E17" i="38"/>
  <c r="R25" i="38"/>
  <c r="E16" i="38"/>
  <c r="H16" i="38" s="1"/>
  <c r="F25" i="24"/>
  <c r="S18" i="38" l="1"/>
  <c r="S24" i="38"/>
  <c r="K20" i="38"/>
  <c r="K25" i="38" s="1"/>
  <c r="J25" i="38"/>
  <c r="E15" i="38"/>
  <c r="G16" i="38" s="1"/>
  <c r="S16" i="38" s="1"/>
  <c r="H25" i="38"/>
  <c r="E19" i="38"/>
  <c r="L25" i="38"/>
  <c r="F16" i="24"/>
  <c r="F61" i="24" l="1"/>
  <c r="M24" i="37" s="1"/>
  <c r="S20" i="38"/>
  <c r="E25" i="38"/>
  <c r="G53" i="24"/>
  <c r="D22" i="38" s="1"/>
  <c r="G55" i="24"/>
  <c r="G57" i="24"/>
  <c r="G56" i="24"/>
  <c r="G52" i="24"/>
  <c r="G54" i="24"/>
  <c r="G25" i="38"/>
  <c r="S25" i="38" s="1"/>
  <c r="M32" i="37" l="1"/>
  <c r="M14" i="37"/>
  <c r="M23" i="37"/>
  <c r="M29" i="37"/>
  <c r="M19" i="37"/>
  <c r="M27" i="37"/>
  <c r="M16" i="37"/>
  <c r="M18" i="37"/>
  <c r="M17" i="37"/>
  <c r="M21" i="37"/>
  <c r="M26" i="37"/>
  <c r="M30" i="37"/>
  <c r="M31" i="37"/>
  <c r="M15" i="37"/>
  <c r="M28" i="37"/>
  <c r="M22" i="37"/>
  <c r="M25" i="37"/>
  <c r="M20" i="37"/>
  <c r="F51" i="36"/>
  <c r="G25" i="36" s="1"/>
  <c r="G39" i="36"/>
  <c r="G35" i="36"/>
  <c r="G37" i="36"/>
  <c r="G38" i="36"/>
  <c r="G41" i="36"/>
  <c r="G33" i="36"/>
  <c r="G44" i="36"/>
  <c r="G40" i="36"/>
  <c r="G36" i="36"/>
  <c r="G48" i="36"/>
  <c r="G32" i="36"/>
  <c r="G29" i="36"/>
  <c r="G24" i="24"/>
  <c r="G17" i="24"/>
  <c r="D16" i="38" s="1"/>
  <c r="D15" i="38" s="1"/>
  <c r="G38" i="24"/>
  <c r="G26" i="24"/>
  <c r="D18" i="38" s="1"/>
  <c r="D17" i="38" s="1"/>
  <c r="G39" i="24"/>
  <c r="D20" i="38" s="1"/>
  <c r="D19" i="38" s="1"/>
  <c r="G48" i="24"/>
  <c r="G27" i="24"/>
  <c r="G40" i="24"/>
  <c r="G28" i="24"/>
  <c r="G30" i="24"/>
  <c r="G51" i="24"/>
  <c r="G23" i="24"/>
  <c r="G34" i="24"/>
  <c r="G21" i="24"/>
  <c r="G31" i="24"/>
  <c r="G29" i="24"/>
  <c r="G45" i="24"/>
  <c r="G33" i="24"/>
  <c r="G44" i="24"/>
  <c r="G36" i="24"/>
  <c r="G50" i="24"/>
  <c r="G43" i="24"/>
  <c r="G22" i="24"/>
  <c r="G59" i="24"/>
  <c r="D23" i="38" s="1"/>
  <c r="G41" i="24"/>
  <c r="G58" i="24"/>
  <c r="G46" i="24"/>
  <c r="G19" i="24"/>
  <c r="G60" i="24"/>
  <c r="G32" i="24"/>
  <c r="G25" i="24"/>
  <c r="G16" i="24"/>
  <c r="G37" i="24"/>
  <c r="G18" i="24"/>
  <c r="G49" i="24"/>
  <c r="G47" i="24"/>
  <c r="G35" i="24"/>
  <c r="G20" i="24"/>
  <c r="G42" i="24"/>
  <c r="D21" i="38"/>
  <c r="G20" i="36" l="1"/>
  <c r="M33" i="37"/>
  <c r="G18" i="36"/>
  <c r="G22" i="36"/>
  <c r="G23" i="36"/>
  <c r="G21" i="36"/>
  <c r="G19" i="36"/>
  <c r="G24" i="36"/>
  <c r="G16" i="36"/>
  <c r="G17" i="36"/>
  <c r="G27" i="36"/>
  <c r="G45" i="36"/>
  <c r="G31" i="36"/>
  <c r="G43" i="36"/>
  <c r="G28" i="36"/>
  <c r="G49" i="36"/>
  <c r="G42" i="36"/>
  <c r="G30" i="36"/>
  <c r="G47" i="36"/>
  <c r="G26" i="36"/>
  <c r="G50" i="36"/>
  <c r="G46" i="36"/>
  <c r="G34" i="36"/>
  <c r="D24" i="38"/>
  <c r="G61" i="24"/>
  <c r="D25" i="38"/>
  <c r="R14" i="15"/>
  <c r="G51" i="36" l="1"/>
</calcChain>
</file>

<file path=xl/comments1.xml><?xml version="1.0" encoding="utf-8"?>
<comments xmlns="http://schemas.openxmlformats.org/spreadsheetml/2006/main">
  <authors>
    <author>Leonardo Roberto Perim</author>
    <author>DNIT</author>
  </authors>
  <commentList>
    <comment ref="C7" authorId="0" shapeId="0">
      <text>
        <r>
          <rPr>
            <sz val="9"/>
            <color indexed="81"/>
            <rFont val="Segoe UI"/>
            <family val="2"/>
          </rPr>
          <t>valor total - valor do carro similar</t>
        </r>
      </text>
    </comment>
    <comment ref="D7" authorId="0" shapeId="0">
      <text>
        <r>
          <rPr>
            <sz val="9"/>
            <color indexed="81"/>
            <rFont val="Segoe UI"/>
            <family val="2"/>
          </rPr>
          <t>Orçamento recebido sem impostos.
Somado ao Valor do Bem:
Alíquota II = 14%
Alíquota IPI = 5% * (valor + Alíquota II)
Alíquota PIS = 2,10%
Alíquota COFINS = 9,5% 
Ref. Set/2018</t>
        </r>
      </text>
    </comment>
    <comment ref="E7" authorId="0" shapeId="0">
      <text>
        <r>
          <rPr>
            <sz val="9"/>
            <color indexed="81"/>
            <rFont val="Segoe UI"/>
            <family val="2"/>
          </rPr>
          <t>Orçamento recebido sem impostos.
Somado ao Valor do Bem:
Alíquota II = 14%
Alíquota IPI = 5% * (valor + Alíquota II)
Alíquota PIS = 2,10%
Alíquota COFINS = 9,5% 
Ref. Set/2018</t>
        </r>
      </text>
    </comment>
    <comment ref="C11" authorId="1" shapeId="0">
      <text>
        <r>
          <rPr>
            <sz val="9"/>
            <color indexed="81"/>
            <rFont val="Segoe UI"/>
            <family val="2"/>
          </rPr>
          <t>Valor do orçamento em Dólar</t>
        </r>
      </text>
    </comment>
    <comment ref="D11" authorId="1" shapeId="0">
      <text>
        <r>
          <rPr>
            <sz val="9"/>
            <color indexed="81"/>
            <rFont val="Segoe UI"/>
            <family val="2"/>
          </rPr>
          <t>Valor do orçamento em Reais</t>
        </r>
      </text>
    </comment>
    <comment ref="G11" authorId="0" shapeId="0">
      <text>
        <r>
          <rPr>
            <sz val="9"/>
            <color indexed="81"/>
            <rFont val="Segoe UI"/>
            <family val="2"/>
          </rPr>
          <t xml:space="preserve">
frente, traseira e foto</t>
        </r>
      </text>
    </comment>
  </commentList>
</comments>
</file>

<file path=xl/sharedStrings.xml><?xml version="1.0" encoding="utf-8"?>
<sst xmlns="http://schemas.openxmlformats.org/spreadsheetml/2006/main" count="5857" uniqueCount="1336">
  <si>
    <t>Objeto:</t>
  </si>
  <si>
    <t>Extensão:</t>
  </si>
  <si>
    <t>Prazo:</t>
  </si>
  <si>
    <t>km (aproximadamente)</t>
  </si>
  <si>
    <t>dias</t>
  </si>
  <si>
    <t>Quadro demonstrativo da abrangência do projeto</t>
  </si>
  <si>
    <t>TRECHO</t>
  </si>
  <si>
    <t>LOTE</t>
  </si>
  <si>
    <t>MUNICÍPIO</t>
  </si>
  <si>
    <t>JURISDIÇÃO</t>
  </si>
  <si>
    <t>INÍCIO</t>
  </si>
  <si>
    <t>ACUM.</t>
  </si>
  <si>
    <t>TOTAL DE EXTENSÃO ACUMULADA:</t>
  </si>
  <si>
    <t>km</t>
  </si>
  <si>
    <t>LOCAL</t>
  </si>
  <si>
    <t>DESCRIÇÃO</t>
  </si>
  <si>
    <t>Processo:</t>
  </si>
  <si>
    <t>Data-base:</t>
  </si>
  <si>
    <t>Orçamento referencial - Sumário</t>
  </si>
  <si>
    <t>ITEM</t>
  </si>
  <si>
    <t>Quadro de abrangência do projeto</t>
  </si>
  <si>
    <t>Planilha sintética do orçamento</t>
  </si>
  <si>
    <t>Custo do projeto</t>
  </si>
  <si>
    <t>Custo da mão de obra</t>
  </si>
  <si>
    <t>Custo de diárias e passagens</t>
  </si>
  <si>
    <t>Custo de mobilização e desmobilização da mão de obra</t>
  </si>
  <si>
    <t>Custo de mobilização e desmobilização de equipamentos rodantes</t>
  </si>
  <si>
    <t>Custo das instalações físicas e diversos</t>
  </si>
  <si>
    <t>Custo com serviços gráficos</t>
  </si>
  <si>
    <t>CÓDIGO</t>
  </si>
  <si>
    <t>TIPO</t>
  </si>
  <si>
    <t>UNID.</t>
  </si>
  <si>
    <t>CUSTO UNID. (R$)</t>
  </si>
  <si>
    <t>P8001</t>
  </si>
  <si>
    <t>Advogado júnior</t>
  </si>
  <si>
    <t>S</t>
  </si>
  <si>
    <t>mês</t>
  </si>
  <si>
    <t>P8002</t>
  </si>
  <si>
    <t>Advogado pleno</t>
  </si>
  <si>
    <t>P8003</t>
  </si>
  <si>
    <t>Advogado sênior</t>
  </si>
  <si>
    <t>P8007</t>
  </si>
  <si>
    <t>Analista de desenvolvimento de sistemas júnior</t>
  </si>
  <si>
    <t>P8008</t>
  </si>
  <si>
    <t>Analista de desenvolvimento de sistemas pleno</t>
  </si>
  <si>
    <t>P8009</t>
  </si>
  <si>
    <t>Analista de desenvolvimento de sistemas sênior</t>
  </si>
  <si>
    <t>P8013</t>
  </si>
  <si>
    <t>Arquiteto júnior</t>
  </si>
  <si>
    <t>P8014</t>
  </si>
  <si>
    <t>Arquiteto pleno</t>
  </si>
  <si>
    <t>P8015</t>
  </si>
  <si>
    <t>Arquiteto sênior</t>
  </si>
  <si>
    <t>P8019</t>
  </si>
  <si>
    <t>Assistente social júnior</t>
  </si>
  <si>
    <t>P8020</t>
  </si>
  <si>
    <t>Assistente social pleno</t>
  </si>
  <si>
    <t>P8021</t>
  </si>
  <si>
    <t>Assistente social sênior</t>
  </si>
  <si>
    <t>P8025</t>
  </si>
  <si>
    <t>Auxiliar</t>
  </si>
  <si>
    <t>A</t>
  </si>
  <si>
    <t>P8026</t>
  </si>
  <si>
    <t>Auxiliar administrativo</t>
  </si>
  <si>
    <t>P8027</t>
  </si>
  <si>
    <t>Auxiliar de laboratório</t>
  </si>
  <si>
    <t>P8028</t>
  </si>
  <si>
    <t>Auxiliar de topografia</t>
  </si>
  <si>
    <t>P8032</t>
  </si>
  <si>
    <t>Biólogo júnior</t>
  </si>
  <si>
    <t>P8033</t>
  </si>
  <si>
    <t>Biólogo pleno</t>
  </si>
  <si>
    <t>P8034</t>
  </si>
  <si>
    <t>Biólogo sênior</t>
  </si>
  <si>
    <t>P8038</t>
  </si>
  <si>
    <t>Chefe de escritório</t>
  </si>
  <si>
    <t>P8040</t>
  </si>
  <si>
    <t>Contador júnior</t>
  </si>
  <si>
    <t>P8041</t>
  </si>
  <si>
    <t>Contador pleno</t>
  </si>
  <si>
    <t>P8042</t>
  </si>
  <si>
    <t>Contador sênior</t>
  </si>
  <si>
    <t>P8044</t>
  </si>
  <si>
    <t>Coordenador ambiental</t>
  </si>
  <si>
    <t>P8045</t>
  </si>
  <si>
    <t>Economista júnior</t>
  </si>
  <si>
    <t>P8046</t>
  </si>
  <si>
    <t>Economista pleno</t>
  </si>
  <si>
    <t>P8047</t>
  </si>
  <si>
    <t>Economista sênior</t>
  </si>
  <si>
    <t>P8054</t>
  </si>
  <si>
    <t>Engenheiro agrônomo júnior</t>
  </si>
  <si>
    <t>P8055</t>
  </si>
  <si>
    <t>Engenheiro agrônomo pleno</t>
  </si>
  <si>
    <t>P8056</t>
  </si>
  <si>
    <t>Engenheiro agrônomo sênior</t>
  </si>
  <si>
    <t>P8057</t>
  </si>
  <si>
    <t>Engenheiro ambiental júnior</t>
  </si>
  <si>
    <t>P8058</t>
  </si>
  <si>
    <t>Engenheiro ambiental pleno</t>
  </si>
  <si>
    <t>P8059</t>
  </si>
  <si>
    <t>Engenheiro ambiental sênior</t>
  </si>
  <si>
    <t>P8060</t>
  </si>
  <si>
    <t>Engenheiro consultor especial</t>
  </si>
  <si>
    <t>P8061</t>
  </si>
  <si>
    <t>Engenheiro coordenador</t>
  </si>
  <si>
    <t>P8062</t>
  </si>
  <si>
    <t>Engenheiro de pesca júnior</t>
  </si>
  <si>
    <t>P8063</t>
  </si>
  <si>
    <t>Engenheiro de pesca pleno</t>
  </si>
  <si>
    <t>P8064</t>
  </si>
  <si>
    <t>Engenheiro de pesca sênior</t>
  </si>
  <si>
    <t>P8065</t>
  </si>
  <si>
    <t>Engenheiro de projetos júnior</t>
  </si>
  <si>
    <t>P8066</t>
  </si>
  <si>
    <t>Engenheiro de projetos pleno</t>
  </si>
  <si>
    <t>P8067</t>
  </si>
  <si>
    <t>Engenheiro de projetos sênior</t>
  </si>
  <si>
    <t>P8068</t>
  </si>
  <si>
    <t>Engenheiro florestal júnior</t>
  </si>
  <si>
    <t>P8069</t>
  </si>
  <si>
    <t>Engenheiro florestal pleno</t>
  </si>
  <si>
    <t>P8070</t>
  </si>
  <si>
    <t>Engenheiro florestal sênior</t>
  </si>
  <si>
    <t>P8080</t>
  </si>
  <si>
    <t>Geólogo júnior</t>
  </si>
  <si>
    <t>P8081</t>
  </si>
  <si>
    <t>Geólogo pleno</t>
  </si>
  <si>
    <t>P8082</t>
  </si>
  <si>
    <t>Geólogo sênior</t>
  </si>
  <si>
    <t>P8092</t>
  </si>
  <si>
    <t>Jornalista júnior</t>
  </si>
  <si>
    <t>P8093</t>
  </si>
  <si>
    <t>Jornalista pleno</t>
  </si>
  <si>
    <t>P8094</t>
  </si>
  <si>
    <t>Jornalista sênior</t>
  </si>
  <si>
    <t>P8098</t>
  </si>
  <si>
    <t>Laboratorista</t>
  </si>
  <si>
    <t>T</t>
  </si>
  <si>
    <t>P8102</t>
  </si>
  <si>
    <t>Médico veterinário</t>
  </si>
  <si>
    <t>P8106</t>
  </si>
  <si>
    <t>Meteorologista júnior</t>
  </si>
  <si>
    <t>P8107</t>
  </si>
  <si>
    <t>Meteorologista pleno</t>
  </si>
  <si>
    <t>P8108</t>
  </si>
  <si>
    <t>Meteorologista sênior</t>
  </si>
  <si>
    <t>P8112</t>
  </si>
  <si>
    <t>Motorista de caminhão</t>
  </si>
  <si>
    <t>P8113</t>
  </si>
  <si>
    <t>Motorista de veículo leve</t>
  </si>
  <si>
    <t>P8117</t>
  </si>
  <si>
    <t>Oceanógrafo júnior</t>
  </si>
  <si>
    <t>P8118</t>
  </si>
  <si>
    <t>Oceanógrafo pleno</t>
  </si>
  <si>
    <t>P8119</t>
  </si>
  <si>
    <t>Oceanógrafo sênior</t>
  </si>
  <si>
    <t>P8129</t>
  </si>
  <si>
    <t>Pedagogo júnior</t>
  </si>
  <si>
    <t>P8130</t>
  </si>
  <si>
    <t>Pedagogo pleno</t>
  </si>
  <si>
    <t>P8131</t>
  </si>
  <si>
    <t>Pedagogo sênior</t>
  </si>
  <si>
    <t>P8135</t>
  </si>
  <si>
    <t>Secretária</t>
  </si>
  <si>
    <t>P8139</t>
  </si>
  <si>
    <t>Sondador</t>
  </si>
  <si>
    <t>P8143</t>
  </si>
  <si>
    <t>Técnico ambiental</t>
  </si>
  <si>
    <t>P8147</t>
  </si>
  <si>
    <t>Técnico de obras</t>
  </si>
  <si>
    <t>P8151</t>
  </si>
  <si>
    <t>Técnico de segurança do trabalho</t>
  </si>
  <si>
    <t>P8155</t>
  </si>
  <si>
    <t>Técnico em geoprocessamento</t>
  </si>
  <si>
    <t>P8159</t>
  </si>
  <si>
    <t>Técnico em informática - programador</t>
  </si>
  <si>
    <t>P8163</t>
  </si>
  <si>
    <t>Topógrafo</t>
  </si>
  <si>
    <t>P9811</t>
  </si>
  <si>
    <t>Encarregado especializado</t>
  </si>
  <si>
    <t>P9848</t>
  </si>
  <si>
    <t>Desenhista</t>
  </si>
  <si>
    <t>CUSTO PRODUTIVO (R$/h)</t>
  </si>
  <si>
    <t>CUSTO IMPRODUTIVO (R$/h)</t>
  </si>
  <si>
    <t>HORAS PRODUTIVAS (h/mês)</t>
  </si>
  <si>
    <t>HORAS IMPRODUTIVAS (h/mês)</t>
  </si>
  <si>
    <t>CUSTO PRODUTIVO (R$/mês)</t>
  </si>
  <si>
    <t>CUSTO IMPRODUTIVO (R$/mês)</t>
  </si>
  <si>
    <t>CUSTO TOTAL (R$/mês)</t>
  </si>
  <si>
    <t>E8889</t>
  </si>
  <si>
    <t>Veículo leve - 53 kW (sem motorista)</t>
  </si>
  <si>
    <t>V</t>
  </si>
  <si>
    <t>E8891</t>
  </si>
  <si>
    <t>E8887</t>
  </si>
  <si>
    <t>E9508</t>
  </si>
  <si>
    <t>Caminhão carroceria com capacidade de 9 t - 136 kW</t>
  </si>
  <si>
    <t>E</t>
  </si>
  <si>
    <t>km/dia</t>
  </si>
  <si>
    <t>QUANT. (m)</t>
  </si>
  <si>
    <t>amostras/dia</t>
  </si>
  <si>
    <t>-&gt;</t>
  </si>
  <si>
    <t>QUANT.</t>
  </si>
  <si>
    <t>Produtividade referencial de mão de obra</t>
  </si>
  <si>
    <t>ATIVIDADE</t>
  </si>
  <si>
    <t>DIAS PARA ELABORAÇÃO</t>
  </si>
  <si>
    <t>Coleta e análise dos dados existentes</t>
  </si>
  <si>
    <t>Componente Ambiental do Projeto</t>
  </si>
  <si>
    <t>Estudos de Traçado</t>
  </si>
  <si>
    <t>Estudos Geológicos</t>
  </si>
  <si>
    <t>Estudos Hidrológicos</t>
  </si>
  <si>
    <t>Estudos Topográficos</t>
  </si>
  <si>
    <t>Estudos Geotécnicos</t>
  </si>
  <si>
    <t>Projeto Geométrico</t>
  </si>
  <si>
    <t>Projeto de Terraplenagem</t>
  </si>
  <si>
    <t>Projeto de Drenagem</t>
  </si>
  <si>
    <t>Projeto de Pavimentação</t>
  </si>
  <si>
    <t>Projeto de Sinalização</t>
  </si>
  <si>
    <t>Projeto de Obras Complementares</t>
  </si>
  <si>
    <t>Projeto de Canteiro de Obras e Acampamento de Pessoal</t>
  </si>
  <si>
    <t>Projeto de Regularização de Jazidas</t>
  </si>
  <si>
    <t>Orçamento da Obra</t>
  </si>
  <si>
    <t>Referência de horas e dias</t>
  </si>
  <si>
    <t>HORAS</t>
  </si>
  <si>
    <t>DIAS</t>
  </si>
  <si>
    <t>DIAS CORRIDOS</t>
  </si>
  <si>
    <t>A/B</t>
  </si>
  <si>
    <t>(A)</t>
  </si>
  <si>
    <t>(B)</t>
  </si>
  <si>
    <t>Mês</t>
  </si>
  <si>
    <t>Semana</t>
  </si>
  <si>
    <t>Dia</t>
  </si>
  <si>
    <t>Velocidades médias de transporte por tipo e condições da via</t>
  </si>
  <si>
    <t>Índice de reajustamento de obras rodoviárias</t>
  </si>
  <si>
    <t>Áreas de referência</t>
  </si>
  <si>
    <t>TIPO DE VIA</t>
  </si>
  <si>
    <t>EQUIPAMENTO</t>
  </si>
  <si>
    <t>CONDIÇÃO DA VIA</t>
  </si>
  <si>
    <t>VELOCIDADE</t>
  </si>
  <si>
    <t>KM</t>
  </si>
  <si>
    <t>GRUPO DE CIDADES</t>
  </si>
  <si>
    <t>VALOR (R$)</t>
  </si>
  <si>
    <t>ÁREA (m²)</t>
  </si>
  <si>
    <t>Rodovia</t>
  </si>
  <si>
    <t>Veículos rodoviários</t>
  </si>
  <si>
    <t>Pavimentada</t>
  </si>
  <si>
    <t>km/h</t>
  </si>
  <si>
    <t>Campo Grande, Coxim, Dourados, Naviraí, Nova Andradina, Ponta Porã e Três Lagoas.</t>
  </si>
  <si>
    <t>Diária completa</t>
  </si>
  <si>
    <t>Consultoria (Supervisão e Projetos)</t>
  </si>
  <si>
    <t>Escritório (módulo básico)</t>
  </si>
  <si>
    <t>Revestimento primário</t>
  </si>
  <si>
    <t>Diária de alimentação</t>
  </si>
  <si>
    <t>Residência, por ocupante</t>
  </si>
  <si>
    <t>Terreno natural</t>
  </si>
  <si>
    <t>Diária de hospedagem</t>
  </si>
  <si>
    <t>Topografia</t>
  </si>
  <si>
    <t>Ferrovia</t>
  </si>
  <si>
    <t>Veículos ferroviários</t>
  </si>
  <si>
    <t>-</t>
  </si>
  <si>
    <t>Bonito e Corumbá</t>
  </si>
  <si>
    <t>Lab. asfalto</t>
  </si>
  <si>
    <t>Hidrovia</t>
  </si>
  <si>
    <t>Rebocadores</t>
  </si>
  <si>
    <t>Lab. concreto</t>
  </si>
  <si>
    <t>Draga Hopper 750 m³</t>
  </si>
  <si>
    <t>Lab. solos</t>
  </si>
  <si>
    <t>Draga Hopper 1.000 m³</t>
  </si>
  <si>
    <t>Demais cidades</t>
  </si>
  <si>
    <t>Draga Hopper 2.000 m³</t>
  </si>
  <si>
    <t>Draga Hopper 3.000 m³</t>
  </si>
  <si>
    <t>Draga Hopper 4.000 m³</t>
  </si>
  <si>
    <t>Draga Hopper 5.000 m³</t>
  </si>
  <si>
    <t>Item</t>
  </si>
  <si>
    <t>Tipo</t>
  </si>
  <si>
    <t>Unidade</t>
  </si>
  <si>
    <t>Veículos</t>
  </si>
  <si>
    <t>Imóveis</t>
  </si>
  <si>
    <t>B8951</t>
  </si>
  <si>
    <t>m² x mês</t>
  </si>
  <si>
    <t>B8952</t>
  </si>
  <si>
    <t>Mobiliário</t>
  </si>
  <si>
    <t>B8953</t>
  </si>
  <si>
    <t>Escritório</t>
  </si>
  <si>
    <t>ocupante x mês</t>
  </si>
  <si>
    <t>B8954</t>
  </si>
  <si>
    <t>Residência</t>
  </si>
  <si>
    <t>Cesta das Instalações</t>
  </si>
  <si>
    <t>B8955</t>
  </si>
  <si>
    <t>Laboratório de asfalto</t>
  </si>
  <si>
    <t>B8956</t>
  </si>
  <si>
    <t>Laboratório de concreto</t>
  </si>
  <si>
    <t>B8957</t>
  </si>
  <si>
    <t>Laboratório de solos</t>
  </si>
  <si>
    <t>B8958</t>
  </si>
  <si>
    <t>Custos Diversos</t>
  </si>
  <si>
    <t>B8959</t>
  </si>
  <si>
    <t>B8960</t>
  </si>
  <si>
    <t>Despesas Indiretas</t>
  </si>
  <si>
    <t>Administração Central</t>
  </si>
  <si>
    <t>Variável - f (CD)</t>
  </si>
  <si>
    <t>Despesas Financeiras</t>
  </si>
  <si>
    <t>Riscos</t>
  </si>
  <si>
    <t>0,50% do PV</t>
  </si>
  <si>
    <t>0,10% do PV</t>
  </si>
  <si>
    <t>Benefícios</t>
  </si>
  <si>
    <t>Lucro Operacional</t>
  </si>
  <si>
    <t>Tributos</t>
  </si>
  <si>
    <t>PIS</t>
  </si>
  <si>
    <t>1,65% do PV</t>
  </si>
  <si>
    <t>COFINS</t>
  </si>
  <si>
    <t>7,60% do PV</t>
  </si>
  <si>
    <t>5,00% do PV</t>
  </si>
  <si>
    <t>Memória de cálculo de quantidades</t>
  </si>
  <si>
    <t>Mão de obra, veículos, ocupantes das instalações físicas, equipamentos, materiais, diárias, passagens, mobilização e desmobilização</t>
  </si>
  <si>
    <t>1.</t>
  </si>
  <si>
    <t>1.1</t>
  </si>
  <si>
    <t>Mão de obra</t>
  </si>
  <si>
    <t>Dias trabalhados:</t>
  </si>
  <si>
    <t>Dias consecutivos:</t>
  </si>
  <si>
    <t>CÓD</t>
  </si>
  <si>
    <t>TIPO DE MÃO DE OBRA</t>
  </si>
  <si>
    <t>EQUIPES</t>
  </si>
  <si>
    <t>PESSOAS/EQUIPE</t>
  </si>
  <si>
    <t>JORNADA DE TRABALHO DIÁRIA</t>
  </si>
  <si>
    <t>DIAS TRABALHADOS</t>
  </si>
  <si>
    <t>TOTAL DE HORAS</t>
  </si>
  <si>
    <t>FUNCIONÁRIOS/MÊS</t>
  </si>
  <si>
    <t>CUSTO MENSAL</t>
  </si>
  <si>
    <t>TOTAL</t>
  </si>
  <si>
    <t>b</t>
  </si>
  <si>
    <t>c</t>
  </si>
  <si>
    <t>d</t>
  </si>
  <si>
    <t>e</t>
  </si>
  <si>
    <t>f=b*c*d*e</t>
  </si>
  <si>
    <t>g=f/220</t>
  </si>
  <si>
    <t>h</t>
  </si>
  <si>
    <t>i=g*h</t>
  </si>
  <si>
    <t>MÃO DE OBRA</t>
  </si>
  <si>
    <t>B</t>
  </si>
  <si>
    <t>VEÍCULOS</t>
  </si>
  <si>
    <t>Não foram previstos veículos para esse serviço.</t>
  </si>
  <si>
    <t>Instalações físicas e custos diversos</t>
  </si>
  <si>
    <t>Equipamentos e materiais</t>
  </si>
  <si>
    <t>Não foram previstos equipamentos e materiais para esse serviço.</t>
  </si>
  <si>
    <t>Diárias e passagens</t>
  </si>
  <si>
    <t>Não foram previstas diárias e passagens para esse serviço.</t>
  </si>
  <si>
    <t>Não foram previstas mobilização e desmobilização para esse serviço.</t>
  </si>
  <si>
    <t>C</t>
  </si>
  <si>
    <t>INSTALAÇÕES FÍSICAS E CUSTOS DIVERSOS</t>
  </si>
  <si>
    <t>D</t>
  </si>
  <si>
    <t>EQUIPAMENTOS E MATERIAIS</t>
  </si>
  <si>
    <t>DIÁRIAS E PASSAGENS</t>
  </si>
  <si>
    <t>F</t>
  </si>
  <si>
    <t>MOBILIZAÇÃO E DESMOBILIZAÇÃO</t>
  </si>
  <si>
    <t>G</t>
  </si>
  <si>
    <t>RESUMO</t>
  </si>
  <si>
    <t>VALOR</t>
  </si>
  <si>
    <t>Fase Preliminar</t>
  </si>
  <si>
    <t>Logo:</t>
  </si>
  <si>
    <t>CÓD.</t>
  </si>
  <si>
    <t>MESES</t>
  </si>
  <si>
    <t>CUSTO TOTAL</t>
  </si>
  <si>
    <t>a</t>
  </si>
  <si>
    <t>c=b/30</t>
  </si>
  <si>
    <t>e=a*c*d</t>
  </si>
  <si>
    <t>Veículos e equipamentos</t>
  </si>
  <si>
    <t>TIPO DA VIA</t>
  </si>
  <si>
    <t>MÊS</t>
  </si>
  <si>
    <t>Índice de obras rodoviárias: consultoria</t>
  </si>
  <si>
    <t>Índice de reajustamento</t>
  </si>
  <si>
    <t>TEMPO DE VIAGEM (h)</t>
  </si>
  <si>
    <t>k</t>
  </si>
  <si>
    <t>FU</t>
  </si>
  <si>
    <t>SUBTOTAL 1</t>
  </si>
  <si>
    <t>TEMPO DE DESCANSO (h)</t>
  </si>
  <si>
    <t>TEMPO TOTAL (h)</t>
  </si>
  <si>
    <t>DIÁRIA</t>
  </si>
  <si>
    <t>f</t>
  </si>
  <si>
    <t>Logo, o prazo maior engloba o prazo menor.</t>
  </si>
  <si>
    <t>Prazo maior</t>
  </si>
  <si>
    <t>DIAS CONSECUTIVOS</t>
  </si>
  <si>
    <t>Trabalho de escritório</t>
  </si>
  <si>
    <t>1.2</t>
  </si>
  <si>
    <t>1.2.1</t>
  </si>
  <si>
    <t>F.1</t>
  </si>
  <si>
    <t>F.2</t>
  </si>
  <si>
    <t>VELOCIDADE (km/h)</t>
  </si>
  <si>
    <t>PEDÁGIO</t>
  </si>
  <si>
    <t>i</t>
  </si>
  <si>
    <t>TIPO DE M.O.</t>
  </si>
  <si>
    <t>QUANT. EQUIPE</t>
  </si>
  <si>
    <t>PESSOAS/ EQUIPE</t>
  </si>
  <si>
    <t>HORAS/ DIA</t>
  </si>
  <si>
    <t>PESSOAS/ MÊS</t>
  </si>
  <si>
    <t>CUSTO MENSAL (R$)</t>
  </si>
  <si>
    <t>TOTAL (R$)</t>
  </si>
  <si>
    <t>COORDENAÇÃO DO PROJETO</t>
  </si>
  <si>
    <t>ADMINISTRAÇÃO DE CAMPO</t>
  </si>
  <si>
    <t>COLETA E ANÁLISE DE DADOS EXISTENTES</t>
  </si>
  <si>
    <t>Custo dos veículos</t>
  </si>
  <si>
    <t>DISTÂNCIA (km)</t>
  </si>
  <si>
    <t>VELOCIDADE MÉDIA (km/h)</t>
  </si>
  <si>
    <t>d=b/c</t>
  </si>
  <si>
    <t>CUSTO DO TRANSPORTE</t>
  </si>
  <si>
    <t>R$/h</t>
  </si>
  <si>
    <t>R$</t>
  </si>
  <si>
    <t>g=a*d*k*e*f</t>
  </si>
  <si>
    <t>DIÁRIAS (R$)</t>
  </si>
  <si>
    <t>PEDÁGIO (R$)</t>
  </si>
  <si>
    <t>l</t>
  </si>
  <si>
    <t>m</t>
  </si>
  <si>
    <t>n=g+l+m</t>
  </si>
  <si>
    <t>j=d+i</t>
  </si>
  <si>
    <t>%</t>
  </si>
  <si>
    <t>MÃO DE OBRA (R$)</t>
  </si>
  <si>
    <t>VEÍCULOS (R$)</t>
  </si>
  <si>
    <t>DIÁRIAS E PASSAGENS (R$)</t>
  </si>
  <si>
    <t>MOB. E DESMOB. DE M.O. (R$)</t>
  </si>
  <si>
    <t>MOB. E DESMOB. DE EQUIP. RODANTES (R$)</t>
  </si>
  <si>
    <t>Elaboração dos Estudos Geológicos</t>
  </si>
  <si>
    <t>DIAS TRABALHADO</t>
  </si>
  <si>
    <t>Elaboração dos Estudos Hidrológicos</t>
  </si>
  <si>
    <t>1.1.4</t>
  </si>
  <si>
    <t>Elaboração dos Estudos de Traçado</t>
  </si>
  <si>
    <t>ESTUDOS GEOLÓGICOS</t>
  </si>
  <si>
    <t>ESTUDOS HIDROLÓGICOS</t>
  </si>
  <si>
    <t>ESTUDOS DE TRAÇADO</t>
  </si>
  <si>
    <t>1.1.2</t>
  </si>
  <si>
    <t>1.1.2.1</t>
  </si>
  <si>
    <t>DIA DA VIAGEM</t>
  </si>
  <si>
    <t>+</t>
  </si>
  <si>
    <t>=</t>
  </si>
  <si>
    <t>Diárias</t>
  </si>
  <si>
    <t>ALIMENTAÇÃO</t>
  </si>
  <si>
    <t>HOSPEDAGEM</t>
  </si>
  <si>
    <t>c=a+b</t>
  </si>
  <si>
    <t>Passagens</t>
  </si>
  <si>
    <t>Não foram previstas passagens para esse serviço.</t>
  </si>
  <si>
    <t>Foi considerado que a mão de obra especializada para esse serviço será mobilizada em seus próprios veículos.</t>
  </si>
  <si>
    <t>1.1.2.2</t>
  </si>
  <si>
    <t>Elaboração do Componente Ambiental do Projeto</t>
  </si>
  <si>
    <t>Visita ao trecho</t>
  </si>
  <si>
    <t>Fase Preliminar (1/3)</t>
  </si>
  <si>
    <t>Proj. Básico (1/3)</t>
  </si>
  <si>
    <t>Proj. Básico</t>
  </si>
  <si>
    <t>Proj. Executivo (1/3)</t>
  </si>
  <si>
    <t>Proj. Executivo</t>
  </si>
  <si>
    <t>FASE</t>
  </si>
  <si>
    <t>Preliminar</t>
  </si>
  <si>
    <t>E.1</t>
  </si>
  <si>
    <t>C.1</t>
  </si>
  <si>
    <t>Ocupação do escritório</t>
  </si>
  <si>
    <t>OCUPARÁ?</t>
  </si>
  <si>
    <t>PESSOAS</t>
  </si>
  <si>
    <t>Sim</t>
  </si>
  <si>
    <t>C.2</t>
  </si>
  <si>
    <t>Ocupação da residência</t>
  </si>
  <si>
    <t>A mão de obra auxiliar prevista para o serviço está disponível no local de sua execução.</t>
  </si>
  <si>
    <t>E.2</t>
  </si>
  <si>
    <t>TOTAL DOS CUSTOS DE MOBILIZAÇÃO DE EQUIPAMENTOS RODANTES</t>
  </si>
  <si>
    <t>TOTAL DOS CUSTOS DE MOBILIZAÇÃO E DESMOBILIZAÇÃO DE EQUIPAMENTOS RODANTES</t>
  </si>
  <si>
    <t>ALIMENTAÇÃO (R$)</t>
  </si>
  <si>
    <t>HOSPEDAGEM (R$)</t>
  </si>
  <si>
    <t>d=b+c</t>
  </si>
  <si>
    <t>PASSAGENS DE ÔNIBUS (R$)</t>
  </si>
  <si>
    <t>PASSAGENS AÉREAS (R$)</t>
  </si>
  <si>
    <t>TOTAL DE PASSAGENS (R$)</t>
  </si>
  <si>
    <t>g=e+f</t>
  </si>
  <si>
    <t>h=d+g</t>
  </si>
  <si>
    <t>Produtividade:</t>
  </si>
  <si>
    <t>(por equipe)</t>
  </si>
  <si>
    <t>dias trabalhados</t>
  </si>
  <si>
    <t>dias consecutivos</t>
  </si>
  <si>
    <t>Então:</t>
  </si>
  <si>
    <t>equipes</t>
  </si>
  <si>
    <t>dias de viagem</t>
  </si>
  <si>
    <t>dias (para os Topógrafos)</t>
  </si>
  <si>
    <t>CUSTO UNITÁRIO (R$/UND)</t>
  </si>
  <si>
    <t>Elaboração dos Estudos Topográficos</t>
  </si>
  <si>
    <t>EQUIP. E MATERIAIS (R$)</t>
  </si>
  <si>
    <t>Custo de equipamentos e materiais</t>
  </si>
  <si>
    <t>1.1.1</t>
  </si>
  <si>
    <t>1.1.3</t>
  </si>
  <si>
    <t>1.1.5</t>
  </si>
  <si>
    <t>1.1.6</t>
  </si>
  <si>
    <t>1.1.7</t>
  </si>
  <si>
    <t>Fase de Projeto Básico</t>
  </si>
  <si>
    <t>Sondagens subleito, cortes, caixas de empréstimo e  jazidas de solo</t>
  </si>
  <si>
    <t>a cada</t>
  </si>
  <si>
    <t>Ensaios de laboratórios</t>
  </si>
  <si>
    <t>amostra</t>
  </si>
  <si>
    <t>laboratorista</t>
  </si>
  <si>
    <t>analisa</t>
  </si>
  <si>
    <t>AMOSTRAS</t>
  </si>
  <si>
    <t>MOB. E DESMOB.</t>
  </si>
  <si>
    <t>DEBANDAS</t>
  </si>
  <si>
    <t>g</t>
  </si>
  <si>
    <t>h=g/30</t>
  </si>
  <si>
    <t>i=2*a*d*h</t>
  </si>
  <si>
    <t>j=f+i</t>
  </si>
  <si>
    <t>Elaboração dos Estudos Geotécnicos</t>
  </si>
  <si>
    <t>1.2.1.1</t>
  </si>
  <si>
    <t>1.2.1.2</t>
  </si>
  <si>
    <t>Os ensaios de laboratório tem que terminar depois das sondagens.</t>
  </si>
  <si>
    <t>Foi considerado que a mão de obra especializada para esse serviço será mobilizada e desmobilizada em seus próprios veículos.</t>
  </si>
  <si>
    <t>1.2.1.3</t>
  </si>
  <si>
    <t>ESTUDOS GEOTÉCNICOS: TRABALHO DE ESCRITÓRIO (ANÁLISES E FORMULAÇÕES)</t>
  </si>
  <si>
    <t>1.2.2</t>
  </si>
  <si>
    <t>ESTUDOS GEOTÉCNICOS: SONDAGENS SUBLEITO, CORTES, CAIXAS DE EMPRÉSTIMO E JAZIDAS DE SOLO</t>
  </si>
  <si>
    <t>CUSTO DA PASSAGEM (R$)</t>
  </si>
  <si>
    <t>CUSTO DA ALIMENTAÇÃO (R$)</t>
  </si>
  <si>
    <t>CUSTO DA VIAGEM (R$)</t>
  </si>
  <si>
    <t>CUSTO DE MOB. E DESMOB. (R$)</t>
  </si>
  <si>
    <t>CUSTO DA DEBANDA (R$)</t>
  </si>
  <si>
    <t>PREÇO UNITÁRIO (R$)</t>
  </si>
  <si>
    <t>Mobilização e desmobilização</t>
  </si>
  <si>
    <t>1.2.3</t>
  </si>
  <si>
    <t>1.3.3</t>
  </si>
  <si>
    <t>Administração de campo</t>
  </si>
  <si>
    <t>Estudos geotécnicos: sondagens subleito, cortes, caixas de empréstimo e jazidas de solo</t>
  </si>
  <si>
    <t>Histograma de mão de obra: escritório</t>
  </si>
  <si>
    <t>TÉRMINO</t>
  </si>
  <si>
    <t>DURAÇÃO (DIAS)</t>
  </si>
  <si>
    <t>ATIVIDADES EM CAMPO</t>
  </si>
  <si>
    <t>PROJETO EXECUTIVO</t>
  </si>
  <si>
    <t>1.3</t>
  </si>
  <si>
    <t>1.4</t>
  </si>
  <si>
    <t>FASE PRELIMINAR</t>
  </si>
  <si>
    <t>1.1.8</t>
  </si>
  <si>
    <t>Entrega do Relatório da Fase Preliminar</t>
  </si>
  <si>
    <t>1.1.9</t>
  </si>
  <si>
    <t>Análise do Relatório da Fase Preliminar</t>
  </si>
  <si>
    <t>1.1.10</t>
  </si>
  <si>
    <t>Correções do Relatório da Fase Preliminar</t>
  </si>
  <si>
    <t>Aprovação do Relatório da Fase Preliminar</t>
  </si>
  <si>
    <t>FASE DE PROJETO BÁSICO</t>
  </si>
  <si>
    <t>Estudos Geotécnicos: sondagens de subleito, cortes, caixas de empréstimo e jazidas de solo</t>
  </si>
  <si>
    <t>Estudos Geotécnicos: ensaios de laboratório</t>
  </si>
  <si>
    <t>ESTUDOS GEOTÉCNICOS: ENSAIOS DE LABORATÓRIO</t>
  </si>
  <si>
    <t>Projeto Geométrico Básico</t>
  </si>
  <si>
    <t>Projeto Básico de Terraplenagem</t>
  </si>
  <si>
    <t>Projeto Básico de Pavimentação</t>
  </si>
  <si>
    <t>Projeto Básico de Sinalização</t>
  </si>
  <si>
    <t>Projeto Básico de Obras Complementares</t>
  </si>
  <si>
    <t>1.2.4</t>
  </si>
  <si>
    <t>1.2.5</t>
  </si>
  <si>
    <t>1.2.7</t>
  </si>
  <si>
    <t>1.2.8</t>
  </si>
  <si>
    <t>1.2.11</t>
  </si>
  <si>
    <t>1.2.12</t>
  </si>
  <si>
    <t>1.2.13</t>
  </si>
  <si>
    <t>1.2.14</t>
  </si>
  <si>
    <t>1.2.15</t>
  </si>
  <si>
    <t>1.2.16</t>
  </si>
  <si>
    <t>Estudos Geotécnicos - Fase de Projeto Básico: trabalho de escritório (análises e formulações)</t>
  </si>
  <si>
    <t>Projeto Básico do Canteiro de Obras e Acampamento do Pessoal</t>
  </si>
  <si>
    <t>Projeto Básico de Regularização de Jazidas</t>
  </si>
  <si>
    <t>Componente Ambiental do Projeto - Fase de Projeto Básico</t>
  </si>
  <si>
    <t>Estudos Geotécnicos - Fase de Projeto Básico</t>
  </si>
  <si>
    <t>Orçamento Básico da Obra</t>
  </si>
  <si>
    <t>Entrega do Relatório da Fase de Projeto Básico</t>
  </si>
  <si>
    <t>Análise do Relatório da Fase de Projeto Básico</t>
  </si>
  <si>
    <t>Correções do Relatório da Fase de Projeto Básico</t>
  </si>
  <si>
    <t>Aprovação do Relatório da Fase de Projeto Básico</t>
  </si>
  <si>
    <t>FASE DE PROJETO EXECUTIVO</t>
  </si>
  <si>
    <t>1.3.1</t>
  </si>
  <si>
    <t>1.3.2</t>
  </si>
  <si>
    <t>1.3.4</t>
  </si>
  <si>
    <t>1.3.5</t>
  </si>
  <si>
    <t>1.3.6</t>
  </si>
  <si>
    <t>1.3.7</t>
  </si>
  <si>
    <t>1.3.8</t>
  </si>
  <si>
    <t>1.3.10</t>
  </si>
  <si>
    <t>1.3.11</t>
  </si>
  <si>
    <t>1.3.12</t>
  </si>
  <si>
    <t>1.3.13</t>
  </si>
  <si>
    <t>1.3.14</t>
  </si>
  <si>
    <t>1.3.15</t>
  </si>
  <si>
    <t>1.3.16</t>
  </si>
  <si>
    <t>Estudos Geotécnicos - Fase de Projeto Executivo</t>
  </si>
  <si>
    <t>Projeto do Canteiro de Obras e Acampamento do Pessoal</t>
  </si>
  <si>
    <t>Componente Ambiental do Projeto - Fase de Projeto Executivo</t>
  </si>
  <si>
    <t>Entrega do Relatório da Fase de Projeto Executivo</t>
  </si>
  <si>
    <t>Análise do Relatório da Fase de Projeto Executivo</t>
  </si>
  <si>
    <t>Correções do Relatório da Fase de Projeto Executivo</t>
  </si>
  <si>
    <t>Aprovação do Relatório da Fase de Projeto Executivo</t>
  </si>
  <si>
    <t>Observações:</t>
  </si>
  <si>
    <t>(*): Toda mão de obra prevista para esse serviço está disponível no local de sua execução. Por isso, foi considarado apenas a ocupação do escritório (para os profissionais de nível técnico).</t>
  </si>
  <si>
    <t>Foi considerado que a mão de obra especializada para esse serviço será mobilizada em seu próprio veículo.</t>
  </si>
  <si>
    <t>Histograma de mão de obra: residência</t>
  </si>
  <si>
    <t>Elaboração do Projeto Geométrico</t>
  </si>
  <si>
    <t>Fase de Projeto Executivo</t>
  </si>
  <si>
    <t>Instalações físicas</t>
  </si>
  <si>
    <t>Elaboração do Projeto de Terraplenagem</t>
  </si>
  <si>
    <t>Elaboração do Projeto de Drenagem</t>
  </si>
  <si>
    <t>Elaboração do Projeto de Pavimentação</t>
  </si>
  <si>
    <t>PROJETO GEOMÉTRICO</t>
  </si>
  <si>
    <t>PROJETO DE TERRAPLENAGEM</t>
  </si>
  <si>
    <t>PROJETO DE PAVIMENTAÇÃO</t>
  </si>
  <si>
    <t>PROJETO DE SINALIZAÇÃO</t>
  </si>
  <si>
    <t>Elaboração do Projeto de Sinalização</t>
  </si>
  <si>
    <t>PROJETO DE OBRAS COMPLEMENTARES</t>
  </si>
  <si>
    <t>Elaboração do Projeto de Obras Complementares</t>
  </si>
  <si>
    <t>PROJETO DE CANTEIRO DE OBRAS E ACAMPAMENTO DE PESSOAL</t>
  </si>
  <si>
    <t>Elaboração do Projeto de Canteiro de Obras e Acampamento de Pessoal</t>
  </si>
  <si>
    <t>PROJETO DE REGULARIZAÇÃO DE JAZIDAS</t>
  </si>
  <si>
    <t>Elaboração do Projeto de Regularização de Jazidas</t>
  </si>
  <si>
    <t>ORÇAMENTO DA OBRA</t>
  </si>
  <si>
    <t>Orçamento das Obras</t>
  </si>
  <si>
    <t>Elaboração do Orçamento da Obra</t>
  </si>
  <si>
    <t>Coordenação do Projeto</t>
  </si>
  <si>
    <t>Término do Projeto Executivo</t>
  </si>
  <si>
    <t>Atividades de campo</t>
  </si>
  <si>
    <t>(uma visita a cada 30 dias)</t>
  </si>
  <si>
    <t>Jornada de trabalho diária:</t>
  </si>
  <si>
    <t>Total de diárias e passagens</t>
  </si>
  <si>
    <t>Diária</t>
  </si>
  <si>
    <t>E.3</t>
  </si>
  <si>
    <t>Instalações e Diversos</t>
  </si>
  <si>
    <t>2.1</t>
  </si>
  <si>
    <t>2.1.1</t>
  </si>
  <si>
    <t>Custo referencial da unidade de área</t>
  </si>
  <si>
    <t>CUSTO UNITÁRIO (R$ / UND)</t>
  </si>
  <si>
    <t>2.1.2</t>
  </si>
  <si>
    <t>Dimensionamento da área e custos de instalação</t>
  </si>
  <si>
    <t>Dia do pico de ocupantes, segundo o histograma de escritório:</t>
  </si>
  <si>
    <t>dia</t>
  </si>
  <si>
    <t>Pico de pessoas, segundo o histograma de escritório:</t>
  </si>
  <si>
    <t>pessoas</t>
  </si>
  <si>
    <t>Pessoas de Topografia, no pico:</t>
  </si>
  <si>
    <t>Pessoas de Sondagem, no pico:</t>
  </si>
  <si>
    <t>Pessoas de Laboratório de solos, no pico:</t>
  </si>
  <si>
    <t>Nº de ocupantes do escritório, no pico:</t>
  </si>
  <si>
    <t>ÁREA DO MÓDULO BÁSICO (m²)</t>
  </si>
  <si>
    <t>OCUPANTES</t>
  </si>
  <si>
    <t>ÁREA DO ESCRITÓRIO (m²)</t>
  </si>
  <si>
    <t>CUSTO TOTAL COM ESCRITÓRIO (R$)</t>
  </si>
  <si>
    <t>Dia do pico de ocupantes, segundo o histograma de residência:</t>
  </si>
  <si>
    <t>Pico de pessoas, segundo o histograma de residência:</t>
  </si>
  <si>
    <t>ÁREA DE RESIDÊNCIA POR OCUPANTE (m²)</t>
  </si>
  <si>
    <t>ÁREA DA RESIDÊNCIA (m²)</t>
  </si>
  <si>
    <t>CUSTO TOTAL COM RESIDÊNCIA (R$)</t>
  </si>
  <si>
    <t>Topografia convencional</t>
  </si>
  <si>
    <t>ÁREA PARA AS INSTALAÇÕES DE TOPOGRAFIA POR EQUIPE (m²)</t>
  </si>
  <si>
    <t>ÁREA DA TOPOGRAFIA (m²)</t>
  </si>
  <si>
    <t>CUSTO TOTAL DE INSTALAÇÃO DE TOPOGRAFIA (R$)</t>
  </si>
  <si>
    <t>ÁREA PARA AS INSTALAÇÕES DO LAB. SOLOS POR EQUIPE (m²)</t>
  </si>
  <si>
    <t>ÁREA DO LAB. SOLOS (m²)</t>
  </si>
  <si>
    <t>CUSTO TOTAL DE INSTALAÇÃO DE LABORATÓRIO (R$)</t>
  </si>
  <si>
    <t>f=(57,95/2)+(d*e)</t>
  </si>
  <si>
    <t>ESCRITÓRIO</t>
  </si>
  <si>
    <t>RESIDÊNCIA</t>
  </si>
  <si>
    <t>f=d*e</t>
  </si>
  <si>
    <t>i=a*f*h</t>
  </si>
  <si>
    <t>TOPOGRAFIA CONVENCIONAL</t>
  </si>
  <si>
    <t>LABORATÓRIO DE SOLOS</t>
  </si>
  <si>
    <t>2.1.3</t>
  </si>
  <si>
    <t>Para fins de dimensionamento, considera-se que os custos de mobiliário de escritório se aplicam também às equipes de topografia e laboratórios.</t>
  </si>
  <si>
    <t>CUSTO DE MOBILIÁRIO DE ESCRITÓRIO [R$/(ocupante xmês)]</t>
  </si>
  <si>
    <t>Pessoas de Topografia:</t>
  </si>
  <si>
    <t>CUSTO TOTAL COM MOBILIÁRIO (R$)</t>
  </si>
  <si>
    <t>2.2</t>
  </si>
  <si>
    <t>Custos diversos</t>
  </si>
  <si>
    <t>Para fins de dimensionamento, considera-se que os custos diversos de escritório se aplicam também às equipes de topografia e laboratórios.</t>
  </si>
  <si>
    <t>CUSTO UND. (R$/OCUPANTE)</t>
  </si>
  <si>
    <t>CUSTOS DIVERSOS (R$)</t>
  </si>
  <si>
    <t>d=a*b*c</t>
  </si>
  <si>
    <t>Serviços Gráficos</t>
  </si>
  <si>
    <t>FORNECEDOR</t>
  </si>
  <si>
    <t>ÍNDICE DE REAJUSTAMENTO</t>
  </si>
  <si>
    <t>PREÇO UNITÁRIO REAJUSTADO (R$)</t>
  </si>
  <si>
    <t>c=a*(1+b)</t>
  </si>
  <si>
    <t>Impressão colorida em folha A4</t>
  </si>
  <si>
    <t>Impressão colorida em folha A3</t>
  </si>
  <si>
    <t>Só Cópias</t>
  </si>
  <si>
    <t>TOTAL DO CUSTO DE MÃO DE OBRA DE NÍVEL SUPERIOR</t>
  </si>
  <si>
    <t>TOTAL DO CUSTO DE MÃO DE OBRA DE NÍVEL TÉCNICO</t>
  </si>
  <si>
    <t>TOTAL DO CUSTO DE MÃO DE OBRA AUXILIAR</t>
  </si>
  <si>
    <t>Tipos de mão de obra: (S) nível superior, (T) nível técnico e (A) auxiliar</t>
  </si>
  <si>
    <t>UNIDADE</t>
  </si>
  <si>
    <t>CUSTO UNITÁRIO (R$/und)</t>
  </si>
  <si>
    <t>d=c/30</t>
  </si>
  <si>
    <t>% INST. FÍSICAS E DIVERSOS (R$)</t>
  </si>
  <si>
    <t>INSTALAÇÕES FÍSICAS</t>
  </si>
  <si>
    <t>e=d/30</t>
  </si>
  <si>
    <t>MOBILIÁRIO</t>
  </si>
  <si>
    <t>TOTAL DOS CUSTOS DAS INSTALAÇÕES FÍSICAS E DIVERSOS</t>
  </si>
  <si>
    <t>TOTAL DOS CUSTOS DOS VEÍCULOS</t>
  </si>
  <si>
    <t>TOTAL DOS CUSTOS DE DIÁRIAS E PASSAGENS PARA A MÃO DE OBRA DE NÍVEL SUPERIOR</t>
  </si>
  <si>
    <t>TOTAL DOS CUSTOS DE DIÁRIAS E PASSAGENS PARA A MÃO DE OBRA DE DE NÍVEL TÉCNICO</t>
  </si>
  <si>
    <t>TOTAL DOS CUSTOS DE DIÁRIAS E PASSAGENS</t>
  </si>
  <si>
    <t>TOTAL DOS CUSTOS DE EQUIPAMENTOS E MATERIAIS</t>
  </si>
  <si>
    <t>TOTAL DO CUSTO DA MÃO DE OBRA</t>
  </si>
  <si>
    <t>Tipos de mão de obra: (S) nível superior e (T) nível técnico.</t>
  </si>
  <si>
    <t>TOTAL DOS CUSTOS DE MOBILIZAÇÃO E DESMOBILIZAÇÃO DA MÃO DE OBRA</t>
  </si>
  <si>
    <t>% COORD. DO PROJETO (R$)</t>
  </si>
  <si>
    <t>% ADM. DE CAMPO (R$)</t>
  </si>
  <si>
    <t>VOLUME</t>
  </si>
  <si>
    <t>3A</t>
  </si>
  <si>
    <t>3C</t>
  </si>
  <si>
    <t>3E</t>
  </si>
  <si>
    <t>Relatório do Projeto Executivo</t>
  </si>
  <si>
    <t>Projeto de Execução</t>
  </si>
  <si>
    <t>Memória Justificativa</t>
  </si>
  <si>
    <t>Notas de Serviço e Cálculo de Volumes</t>
  </si>
  <si>
    <t>TÍTULO</t>
  </si>
  <si>
    <t>TIPO DE FOLHA</t>
  </si>
  <si>
    <t>A4</t>
  </si>
  <si>
    <t>A3</t>
  </si>
  <si>
    <t>FOLHAS</t>
  </si>
  <si>
    <t>VIAS</t>
  </si>
  <si>
    <t>CUSTO UNITÁRIO (R$/UND.)</t>
  </si>
  <si>
    <t>TOTAL DOS CUSTOS COM SERVIÇOS GRÁFICOS</t>
  </si>
  <si>
    <t>% SERVIÇOS GRÁFICOS (R$)</t>
  </si>
  <si>
    <t>IMPRESSÃO DEFINITIVA (10%)</t>
  </si>
  <si>
    <t>SUBTOTAL 2</t>
  </si>
  <si>
    <t>CUSTO DIRETO (R$)</t>
  </si>
  <si>
    <t>PREÇO DE VENDA (R$)</t>
  </si>
  <si>
    <t>b=a*(1+BDI)</t>
  </si>
  <si>
    <t>1.0</t>
  </si>
  <si>
    <t>Componente Ambiental do Projeto - Fase Preliminar</t>
  </si>
  <si>
    <t>Projeto Básico de Regulazição de Jazidas</t>
  </si>
  <si>
    <t>BDI:</t>
  </si>
  <si>
    <t>Cronograma de medições</t>
  </si>
  <si>
    <t>VALORES</t>
  </si>
  <si>
    <t>ÚNICO</t>
  </si>
  <si>
    <t>MEDIÇÃO</t>
  </si>
  <si>
    <t>Cronograma físico</t>
  </si>
  <si>
    <t>Investigação de campo:</t>
  </si>
  <si>
    <t>Dias:</t>
  </si>
  <si>
    <t>1.1.6.1</t>
  </si>
  <si>
    <t>COMPONENTE AMBIENTAL DO PROJETO: INVESTIGAÇÃO DE CAMPO</t>
  </si>
  <si>
    <t>1.1.6.2</t>
  </si>
  <si>
    <t>COMPONENTE AMBIENTAL DO PROJETO: TRABALHO DE ESCRITÓRIO (ANÁLISES E FORMULAÇÕES)</t>
  </si>
  <si>
    <t>ESTUDOS TOPOGRÁFICOS: SERVIÇOS DE CAMPO</t>
  </si>
  <si>
    <t>ESTUDOS TOPOGRÁFICOS: TRABALHO DE ESCRITÓRIO</t>
  </si>
  <si>
    <t>Serviço de campo</t>
  </si>
  <si>
    <t>Trado</t>
  </si>
  <si>
    <t>EXTENSÃO (km)</t>
  </si>
  <si>
    <t>Estudos Topográficos: serviços de campo</t>
  </si>
  <si>
    <t>Estudos Topográficos: trabalho de escritório</t>
  </si>
  <si>
    <t>CUSTOS DIVERSOS</t>
  </si>
  <si>
    <t>Gráfica Pex</t>
  </si>
  <si>
    <t>Conservare Gráfica</t>
  </si>
  <si>
    <t>CUSTO UNITÁRIO (R$)</t>
  </si>
  <si>
    <t>Produtividade</t>
  </si>
  <si>
    <t>Memória de cálculo</t>
  </si>
  <si>
    <t>Memória de cálculo: cronograma físico</t>
  </si>
  <si>
    <t>Histograma: escritório</t>
  </si>
  <si>
    <t>Histograma: residência</t>
  </si>
  <si>
    <t>Listas</t>
  </si>
  <si>
    <t>Lista: mão de obra</t>
  </si>
  <si>
    <t>Lista: veículos e equipamentos</t>
  </si>
  <si>
    <t>DNIT consultoria: custos + BDI</t>
  </si>
  <si>
    <t>Sondagens</t>
  </si>
  <si>
    <t>P8167</t>
  </si>
  <si>
    <t>Arquivista júnior</t>
  </si>
  <si>
    <t>P8168</t>
  </si>
  <si>
    <t>Arquivista pleno</t>
  </si>
  <si>
    <t>P8169</t>
  </si>
  <si>
    <t>Arquivista sênior</t>
  </si>
  <si>
    <t>P8173</t>
  </si>
  <si>
    <t>Administrador júnior</t>
  </si>
  <si>
    <t>P8174</t>
  </si>
  <si>
    <t>Administrador pleno</t>
  </si>
  <si>
    <t>P8175</t>
  </si>
  <si>
    <t>Administrador sênior</t>
  </si>
  <si>
    <t>CUSTO TOTAL (R$/m)</t>
  </si>
  <si>
    <t>DATA-BASE DA REFERÊNCIA</t>
  </si>
  <si>
    <t>DATA-BASE DO ORÇAMENTO</t>
  </si>
  <si>
    <t>IND. REAJUST.</t>
  </si>
  <si>
    <t>CUSTO REAJUSTADO (R$/m)</t>
  </si>
  <si>
    <t>SPT</t>
  </si>
  <si>
    <t>Mista</t>
  </si>
  <si>
    <t>DIAS TRABALHADOS (POR EQUIPE)</t>
  </si>
  <si>
    <t>DIAS CONSECUTIVOS (POR EQUIPE)</t>
  </si>
  <si>
    <t>DIAS CONSECUTIVOS (EQUIP.)</t>
  </si>
  <si>
    <t>CUSTO UNITÁRIO</t>
  </si>
  <si>
    <t>Foram utilizados os custos referenciais da Sudecap (Prefeitura de BH).</t>
  </si>
  <si>
    <t>Componente Ambiental do Projeto - Fase Preliminar: investigação de campo</t>
  </si>
  <si>
    <t>Componente Ambiental do Projeto - Fase Preliminar: trabalho de escritório (análises e formulações)</t>
  </si>
  <si>
    <t>Projeto Básico de Drenagem e Obras de Arte Correntes</t>
  </si>
  <si>
    <t>Projeto de Drenagem e Obras de Arte Correntes</t>
  </si>
  <si>
    <t>Cotação realizada em 14/10/21</t>
  </si>
  <si>
    <t>1.2.10</t>
  </si>
  <si>
    <t>PROJETO DE DRENAGEM E OBRAS DE ARTE CORRENTES</t>
  </si>
  <si>
    <t>Características do trecho para quantificação de serviços</t>
  </si>
  <si>
    <t>Complexidade da topografia (% extensão do trecho)</t>
  </si>
  <si>
    <t>NÍVEL</t>
  </si>
  <si>
    <t>VEGETAÇÃO</t>
  </si>
  <si>
    <t>RELEVO</t>
  </si>
  <si>
    <t>ACESSO</t>
  </si>
  <si>
    <t>SEGURANÇA</t>
  </si>
  <si>
    <t>ADOTADO</t>
  </si>
  <si>
    <t>PRODUTIVIDADE</t>
  </si>
  <si>
    <t>Difícil</t>
  </si>
  <si>
    <t>Médio</t>
  </si>
  <si>
    <t>Fácil</t>
  </si>
  <si>
    <t>Complexidade das sondagens (% extensão do trecho)</t>
  </si>
  <si>
    <t>PRESENÇA DE ROCHAS</t>
  </si>
  <si>
    <t>ÁREAS ÚMIDAS</t>
  </si>
  <si>
    <t>m/dia</t>
  </si>
  <si>
    <t>PROFUND. (m)</t>
  </si>
  <si>
    <t>FUROS</t>
  </si>
  <si>
    <t>Alagados, difícil acesso (montanhoso).</t>
  </si>
  <si>
    <t>Pastos, lavouras, acesso normal (trafegável).</t>
  </si>
  <si>
    <t>Leito de vias.</t>
  </si>
  <si>
    <t>Produtividade para ensaios de laboratório</t>
  </si>
  <si>
    <t>TEMPO FIXO (DIAS)</t>
  </si>
  <si>
    <t>Normal</t>
  </si>
  <si>
    <t>NOTA: Os estudos e projetos a seguir foram previstos com um prazo fixo mais um prazo variável, proporcionais à extensão do trecho.</t>
  </si>
  <si>
    <t>Tempo fixo e produtividade para Estudos Geotécnicos (escritório) e Projeto de Pavimentação</t>
  </si>
  <si>
    <t>Médias ponderadas, considerando a complexidade da sondagem.</t>
  </si>
  <si>
    <t>Tempo fixo e produtividade para Projetos Geométricos, de Terraplenagem, de Drenagem, de Interseções e de Obras Complementares</t>
  </si>
  <si>
    <t>Médias ponderadas, considerando a complexidade do relevo.</t>
  </si>
  <si>
    <t>Produtividade para o Projeto de Sinalização</t>
  </si>
  <si>
    <t>Produtividade para o Projeto de Desapropriações</t>
  </si>
  <si>
    <t>ADENSAMENTO</t>
  </si>
  <si>
    <t>QUANTIDADE (PROPRIEDADES/km)</t>
  </si>
  <si>
    <t>Região urbana adensada.</t>
  </si>
  <si>
    <t>propriedades/dia</t>
  </si>
  <si>
    <t>Região rural de chácaras e sítios.</t>
  </si>
  <si>
    <t>Região rural de fazendas.</t>
  </si>
  <si>
    <t>Produtividade para o Projeto de Regularização de Jazidas</t>
  </si>
  <si>
    <t>TAXA (JAZIDAS/km)</t>
  </si>
  <si>
    <t>QUANT. (JAZIDAS)</t>
  </si>
  <si>
    <t>jazidas/dia</t>
  </si>
  <si>
    <t>Produtividade para o Projeto de Paisagismo</t>
  </si>
  <si>
    <t>UND.</t>
  </si>
  <si>
    <t>Interseções</t>
  </si>
  <si>
    <t>und</t>
  </si>
  <si>
    <t>interseções/dia</t>
  </si>
  <si>
    <t>Canteiro central</t>
  </si>
  <si>
    <t>Parâmetros para o Projeto de Canteiro de Obras</t>
  </si>
  <si>
    <t>Urbano</t>
  </si>
  <si>
    <t>Consideração de locações na cidade.</t>
  </si>
  <si>
    <t>Rural</t>
  </si>
  <si>
    <t>Consideração de locação de residência em localidade próxima da obra.</t>
  </si>
  <si>
    <t>Remoto</t>
  </si>
  <si>
    <t>Canteiro no campo.</t>
  </si>
  <si>
    <t>Adotado.</t>
  </si>
  <si>
    <t>Produtividade para o Orçamento de Obras</t>
  </si>
  <si>
    <t>DADOS PARAMETRIZADOS</t>
  </si>
  <si>
    <t xml:space="preserve">Data-base do orçamento: </t>
  </si>
  <si>
    <t>Reajuste:</t>
  </si>
  <si>
    <t>Data último índice de reajuste de obra roviária:</t>
  </si>
  <si>
    <t>Pedágio passeio:</t>
  </si>
  <si>
    <t>Pedágio 2 eixos:</t>
  </si>
  <si>
    <t>Cidade das instalações:</t>
  </si>
  <si>
    <t>Distância até cidade das instalações (km):</t>
  </si>
  <si>
    <t>Valor da diária completa:</t>
  </si>
  <si>
    <t>Passagem:</t>
  </si>
  <si>
    <t>Certidão de matrícula:</t>
  </si>
  <si>
    <t>Total de metros de sondagem e de dias trabalhados</t>
  </si>
  <si>
    <t>TEMPO FIXO</t>
  </si>
  <si>
    <t>PRODUTIVIDADE (km/dia)</t>
  </si>
  <si>
    <t>Foi considerado que o Coordenador do Projeto será o Engenheiro responsável pelos projetos Geométrico, Terraplenagem, Drenagem, Pavimentação, Sinalização, Obras Complementares e de Canteiro.</t>
  </si>
  <si>
    <t>Foi considerado que o Coordenador do Projeto será o engenheiro que trabalhará nos projetos Geométrico, Terraplenagem, Drenagem, Pavimentação, Sinalização, Obras Complementares e de Canteiro de Obras.</t>
  </si>
  <si>
    <t>PRODUTIVIDADE (jazidas/dia)</t>
  </si>
  <si>
    <t>JAZIDAS</t>
  </si>
  <si>
    <t>1.2.6</t>
  </si>
  <si>
    <t>Município:</t>
  </si>
  <si>
    <t>Local:</t>
  </si>
  <si>
    <t>INICIAL</t>
  </si>
  <si>
    <t>FINAL</t>
  </si>
  <si>
    <t>Investigação de campo</t>
  </si>
  <si>
    <t>Pedágio passeio</t>
  </si>
  <si>
    <t>Pedágio 2 eixos</t>
  </si>
  <si>
    <t>Pedágio passeio reajustado</t>
  </si>
  <si>
    <t>Pedágio 2 eixos reajustado</t>
  </si>
  <si>
    <t>E9014</t>
  </si>
  <si>
    <t>Deflectômetro de impacto (FWD) instalado em picape com reboque e faixa de carga de 7 a 120 kN - 147 kW</t>
  </si>
  <si>
    <t>E9562</t>
  </si>
  <si>
    <t>GPS geodésico de dupla frequência (L1/L2)</t>
  </si>
  <si>
    <t>M0047</t>
  </si>
  <si>
    <t>Cone de sinalização em polietileno - H = 75 cm e base quadrada de 40 x 40 cm</t>
  </si>
  <si>
    <t>M</t>
  </si>
  <si>
    <t>Custos de imóveis, mobiliário, cestas de instalações e custos diversos</t>
  </si>
  <si>
    <t>Codigo</t>
  </si>
  <si>
    <t>Custo_Unitário</t>
  </si>
  <si>
    <t>ORIGEM</t>
  </si>
  <si>
    <t>SUDECAP</t>
  </si>
  <si>
    <t>INVESTIGAÇÕES GEOTÉCNICAS</t>
  </si>
  <si>
    <t>Sondagem a percussão D= 2 1/2" (SPT)</t>
  </si>
  <si>
    <t>MOBILIZAÇÃO, INST. E DESMOBILIZAÇÃO P/EXECUÇÃO DE SONDAGEM À PERCUSSÃO (NBR 6484:2020)</t>
  </si>
  <si>
    <t xml:space="preserve">un </t>
  </si>
  <si>
    <t>PERFURAÇÃO DE SOLO SONDAGEM À PERCUSSÃO (NBR 6484:2020)</t>
  </si>
  <si>
    <t>DESMONTAGEM, TRANSPORTE E MONTAGEM DE EQUIPAMENTOS DE SONDAGEM A PERCUSSÃO POR FURO</t>
  </si>
  <si>
    <t>Sondagem a trado D= 20 CM</t>
  </si>
  <si>
    <t>Mobilização de equipamentos de sondagem a trado (NBR 9603:2015) DN 20CM</t>
  </si>
  <si>
    <t>Perfuração de solo sondagem a trado (NBR 9603:2015) DN 20CM</t>
  </si>
  <si>
    <t>Sondagem (Outras)</t>
  </si>
  <si>
    <t>SONDAGEM DE SOLO COM UTILIZAÇÃO DE PA E PICARETA</t>
  </si>
  <si>
    <t>Sondagem rotativa D= NW</t>
  </si>
  <si>
    <t>MOBILIZACAO E DESMOBILIZACAO - SONDAGEM ROTATIVA NW</t>
  </si>
  <si>
    <t>INSTALACAO DE SONDAGEM ROTATIVA NW POR FURO</t>
  </si>
  <si>
    <t>PERFURACAO EM SOLO COM SONDAGEM ROTATIVA NW</t>
  </si>
  <si>
    <t>PERFURACAO COM COROA DE WIDIA SONDAGEM ROTATIVA NW</t>
  </si>
  <si>
    <t>65.06.05</t>
  </si>
  <si>
    <t>PERFURACAO COM COROA DIAMANTADA SONDAGEM ROTATIVA NW</t>
  </si>
  <si>
    <t>ENSAIOS DE SOLO E AGREGADO</t>
  </si>
  <si>
    <t>Ensaio de solo</t>
  </si>
  <si>
    <t>DETERMINAÇÃO DO TEOR DE UMIDADE DE SOLOS EM LABORATORIO (NBR 6457:2016 ANEXO A)</t>
  </si>
  <si>
    <t>MASSA ESPECÍFICA,  MASSA ESPECÍFICA APARENTE E ABSORÇÃO DE ÁGUA (NBR 6458:2016)</t>
  </si>
  <si>
    <t>ANÁLISE GRANULOMETRICA DE SOLOS POR PENEIRAMENTO (NBR 7181:2016)</t>
  </si>
  <si>
    <t>ANÁLISE GRANULOMETRICA DE SOLOS POR PENEIRAMENTO E SEDIMENTAÇÃO (NBR 7181:2016)</t>
  </si>
  <si>
    <t>DETERMINAÇÃO DO LIMITE DE LIQUIDEZ DE SOLOS (NBR 6459:2017)</t>
  </si>
  <si>
    <t>DETERMINAÇÃO DO LIMITE DE PLASTICIDADE DE SOLOS (NBR 7180:2016)</t>
  </si>
  <si>
    <t>DETERMINAÇÃO DOS FATORES DE CONTRAÇÃO DE SOLOS (DNER-ME 087/94)</t>
  </si>
  <si>
    <t>COMPACTAÇÃO DO SOLO ENERGIA PROCTOR NORMAL (NBR 7182:2020) COM 05 CORPOS DE PROVA</t>
  </si>
  <si>
    <t>COMPACTAÇÃO DO SOLO ENERGIA PROCTOR INTERMEDIÁRIO (NBR 7182:2020) COM 05 CORPOS DE PROVA</t>
  </si>
  <si>
    <t>COMPACTAÇÃO DO SOLO ENERGIA PROCTOR MODIFICADO (NBR 7182:2020) COM 05 CORPOS DE PROVA</t>
  </si>
  <si>
    <t>ÍNDICE DE SUPORTE CALIFÓRNIA DE SOLOS (ISC/CBR) C/1 CP (DNIT 172/016-ME / NBR 9895:2017)</t>
  </si>
  <si>
    <t>ÍNDICE DE SUPORTE CALIFÓRNIA DE SOLOS (ISC/CBR) C/3 CP (DNIT 172/016-ME / NBR 9895:2017)</t>
  </si>
  <si>
    <t>ÍNDICE DE SUPORTE CALIFÓRNIA DE SOLOS (ISC/CBR) C/5 CP (DNIT 172/016-ME / NBR 9895:2017)</t>
  </si>
  <si>
    <t>DETERMINAÇÃO DO EQUIVALENTE DE AREIA EM SOLO (DNER-ME 054/97 / NBR 12052:92)</t>
  </si>
  <si>
    <t>DETERMINAÇÃO COLORIMÉTRICA DE IMPUREZAS ORGÂNICAS EM SOLOS (NBR NM 49:2001)</t>
  </si>
  <si>
    <t>ENSAIO DE ADENSAMENTO DE SOLOS (DNER-IE 005/94 - NBR 16853:2020)</t>
  </si>
  <si>
    <t>COEFICIENTE DE PERMEABILIDADE DE SOLOS ARGILOSOS À CARGA VARIÁVEL (NBR 14545:2021)</t>
  </si>
  <si>
    <t>COEFICIENTE DE PERMEABILIDADE DE SOLOS GRANULARES À CARGA CONSTANTE (NBR 13292:2021)</t>
  </si>
  <si>
    <t>RESISTÊNCIA À COMPRESSÃO NÃO CONFINADA - SOLOS COESIVOS (NBR 12770:1992)</t>
  </si>
  <si>
    <t>DIAS DE VIAGEM</t>
  </si>
  <si>
    <t>Administração de campo - Fase de Projeto Básico</t>
  </si>
  <si>
    <t>DIAS TRABALHADOS (ENGENHEIROS)</t>
  </si>
  <si>
    <t>Plano de Execução da Obra</t>
  </si>
  <si>
    <t>Elaboração do Plano de Execução da Obra</t>
  </si>
  <si>
    <t>1.3.17</t>
  </si>
  <si>
    <t>PLANO DE EXECUÇÃO DA OBRA</t>
  </si>
  <si>
    <t>1.4.2</t>
  </si>
  <si>
    <t>RELATÓRIO PRELIMINAR</t>
  </si>
  <si>
    <t>2.0</t>
  </si>
  <si>
    <t>RELATÓRIO BÁSICO</t>
  </si>
  <si>
    <t>3.0</t>
  </si>
  <si>
    <t>3.1</t>
  </si>
  <si>
    <t>2.1.4</t>
  </si>
  <si>
    <t>2.1.5</t>
  </si>
  <si>
    <t>2.1.6</t>
  </si>
  <si>
    <t>2.1.7</t>
  </si>
  <si>
    <t>2.1.8</t>
  </si>
  <si>
    <t>2.1.9</t>
  </si>
  <si>
    <t>2.1.10</t>
  </si>
  <si>
    <t>2.1.11</t>
  </si>
  <si>
    <t>3.1.1</t>
  </si>
  <si>
    <t>3.1.2</t>
  </si>
  <si>
    <t>3.1.3</t>
  </si>
  <si>
    <t>3.1.4</t>
  </si>
  <si>
    <t>3.1.5</t>
  </si>
  <si>
    <t>3.1.6</t>
  </si>
  <si>
    <t>3.1.7</t>
  </si>
  <si>
    <t>3.1.8</t>
  </si>
  <si>
    <t>3.1.9</t>
  </si>
  <si>
    <t>3.1.10</t>
  </si>
  <si>
    <t>3.1.11</t>
  </si>
  <si>
    <t>3.1.12</t>
  </si>
  <si>
    <t>RELATÓRIO FINAL DO PROJETO EXECUTIVO</t>
  </si>
  <si>
    <t>Relatório Preliminar</t>
  </si>
  <si>
    <t>Relatório Básico</t>
  </si>
  <si>
    <t>Relatório Final do Projeto Executivo</t>
  </si>
  <si>
    <t>Largura:</t>
  </si>
  <si>
    <t>95.02</t>
  </si>
  <si>
    <t>95.03</t>
  </si>
  <si>
    <t>95.06</t>
  </si>
  <si>
    <t>IND. REAJUST. REF. (DNIT - CONSULTORIA)</t>
  </si>
  <si>
    <t>IND. REAJUST. ORÇ. (DNIT - CONSULTORIA)</t>
  </si>
  <si>
    <t>Banco</t>
  </si>
  <si>
    <t>SICRO</t>
  </si>
  <si>
    <t>Engenheiro agrimensor júnior</t>
  </si>
  <si>
    <t>Engenheiro agrimensor pleno</t>
  </si>
  <si>
    <t>Engenheiro agrimensor sênior</t>
  </si>
  <si>
    <t>Historiador júnior</t>
  </si>
  <si>
    <t>Historiador pleno</t>
  </si>
  <si>
    <t>Historiador sênior</t>
  </si>
  <si>
    <t>Paleontólogo júnior</t>
  </si>
  <si>
    <t>Paleontólogo pleno</t>
  </si>
  <si>
    <t>Paleontólogo sênior</t>
  </si>
  <si>
    <t>DNIT</t>
  </si>
  <si>
    <t>SICRO materiais</t>
  </si>
  <si>
    <t>P8183</t>
  </si>
  <si>
    <t>Geógrafo júnior</t>
  </si>
  <si>
    <t>P8184</t>
  </si>
  <si>
    <t>Geógrafo pleno</t>
  </si>
  <si>
    <t>P8185</t>
  </si>
  <si>
    <t>Geógrafo sênior</t>
  </si>
  <si>
    <t>P8186</t>
  </si>
  <si>
    <t>Antropólogo júnior</t>
  </si>
  <si>
    <t>P8187</t>
  </si>
  <si>
    <t>Antropólogo pleno</t>
  </si>
  <si>
    <t>P8188</t>
  </si>
  <si>
    <t>Antropólogo sênior</t>
  </si>
  <si>
    <t>P8189</t>
  </si>
  <si>
    <t>Arqueólogo júnior</t>
  </si>
  <si>
    <t>P8190</t>
  </si>
  <si>
    <t>Arqueólogo pleno</t>
  </si>
  <si>
    <t>P8191</t>
  </si>
  <si>
    <t>Arqueólogo sênior</t>
  </si>
  <si>
    <t>P8198</t>
  </si>
  <si>
    <t>Sociólogo júnior</t>
  </si>
  <si>
    <t>P8199</t>
  </si>
  <si>
    <t>Sociólogo pleno</t>
  </si>
  <si>
    <t>P8200</t>
  </si>
  <si>
    <t>Sociólogo sênior</t>
  </si>
  <si>
    <t>P8264</t>
  </si>
  <si>
    <t>Motorista de veículo leve - horista</t>
  </si>
  <si>
    <t>4.0</t>
  </si>
  <si>
    <t>4.1</t>
  </si>
  <si>
    <t>RELATÓRIO FINAL DO PBZPA</t>
  </si>
  <si>
    <t>4.1.1</t>
  </si>
  <si>
    <t>Elaboração do PBZPA</t>
  </si>
  <si>
    <t>PLANO BÁSICO DE ZONA DE PROTEÇÃO AERÓDROMO - PBZPA</t>
  </si>
  <si>
    <t>2.1.1.1</t>
  </si>
  <si>
    <t>2.1.1.2</t>
  </si>
  <si>
    <t>2.1.1.3</t>
  </si>
  <si>
    <t>Foi considerado que o motorista seria um dos profissionais</t>
  </si>
  <si>
    <t>Comercial (2,55% do CMCC - SINAPI)</t>
  </si>
  <si>
    <t>Residencial (2,45% do CMCC - SINAPI)</t>
  </si>
  <si>
    <t>Embarcação de transporte de pessoal e apoio logístico - 30 Kw</t>
  </si>
  <si>
    <t>P9948</t>
  </si>
  <si>
    <t>Motorista de veículo leve - mensalista</t>
  </si>
  <si>
    <t>PRODUTIVIDADE (KM/DIAS)</t>
  </si>
  <si>
    <t>deslocamento</t>
  </si>
  <si>
    <t>B8961</t>
  </si>
  <si>
    <t>Topografia por VANT</t>
  </si>
  <si>
    <t>Draga Hopper 10.000 m³</t>
  </si>
  <si>
    <t>Draga Hopper 15.000 m³</t>
  </si>
  <si>
    <t>Draga Hopper 20.000 m³</t>
  </si>
  <si>
    <t>Batelão autopropelido 300 m³</t>
  </si>
  <si>
    <t>Batelão autopropelido 500 m³</t>
  </si>
  <si>
    <t>Foi adotado que os ensaios de laboratório ocorrerão após os serviços de campo.</t>
  </si>
  <si>
    <t>f=a*d*e</t>
  </si>
  <si>
    <t>Saída de Campo Grande -&gt; Visita ao trecho -&gt; Chegada em Campo Grande</t>
  </si>
  <si>
    <t>i) Conforme memorando circular nº 687/2018/DIREX/DNIT SEDE, em função da pouca relevância na formação dos custos totais dos contratos de engenharia consultiva, os serviços gráficos não são detalhados como itens de planilha nos orçamentos. Este fato não exime a CONTRATADA de realizar os serviços gráficos necessarios ao andamento dos trabalhos.</t>
  </si>
  <si>
    <t>A mão de obra prevista para o serviço está disponível no local de sua execução.</t>
  </si>
  <si>
    <t>Não foram previstos escritório para esse serviço.</t>
  </si>
  <si>
    <t>Foi considerado que a mão de obra especializada para esse serviço será mobilizada e desmobilizada em veículo leve 53 kW.</t>
  </si>
  <si>
    <t>Durante o período de deslocamento do pessoal também foi considerado os custos adicionais de diárias de alimentação e eventual pousada. Para a mão de obra auxiliar foi considerado pessoal local.</t>
  </si>
  <si>
    <t>(*): Toda mão de obra prevista para esse serviço está disponível no local de sua execução. Por isso, foi considarado apenas a ocupação do escritório (para os profissionais de nível superior e técnico).</t>
  </si>
  <si>
    <t>ATIVIDADES EM ESCRITÓRIO</t>
  </si>
  <si>
    <t>ATIVIDADES EM LABORATÓRIO</t>
  </si>
  <si>
    <t>mínimo</t>
  </si>
  <si>
    <t>ATIVIDADES DE ESCRITÓRIO (MESES)</t>
  </si>
  <si>
    <t>1.4.1</t>
  </si>
  <si>
    <t>Entrega do PBZPA</t>
  </si>
  <si>
    <t>Aprovação do PBZPA</t>
  </si>
  <si>
    <t>TOTAL DOS CUSTOS DE DIÁRIAS E PASSAGENS PARA A MÃO DE OBRA DE DE NÍVEL AUXILIAR</t>
  </si>
  <si>
    <t>0,85% sobre (PV - Lucro)</t>
  </si>
  <si>
    <t>Subtotal 1</t>
  </si>
  <si>
    <t>Subtotal 2</t>
  </si>
  <si>
    <t>Subtotal 3</t>
  </si>
  <si>
    <t>Total - BDI (%)</t>
  </si>
  <si>
    <t>65.01</t>
  </si>
  <si>
    <t>65.01.01</t>
  </si>
  <si>
    <t>65.01.02</t>
  </si>
  <si>
    <t>65.01.03</t>
  </si>
  <si>
    <t>65.02.01</t>
  </si>
  <si>
    <t>65.02.02</t>
  </si>
  <si>
    <t>65.03.02</t>
  </si>
  <si>
    <t>65.06.01</t>
  </si>
  <si>
    <t>65.06.02</t>
  </si>
  <si>
    <t>65.06.03</t>
  </si>
  <si>
    <t>65.06.04</t>
  </si>
  <si>
    <t>67</t>
  </si>
  <si>
    <t>67.01</t>
  </si>
  <si>
    <t>67.01.01</t>
  </si>
  <si>
    <t>67.01.03</t>
  </si>
  <si>
    <t>67.01.04</t>
  </si>
  <si>
    <t>67.01.05</t>
  </si>
  <si>
    <t>67.01.06</t>
  </si>
  <si>
    <t>67.01.07</t>
  </si>
  <si>
    <t>67.01.08</t>
  </si>
  <si>
    <t>67.01.09</t>
  </si>
  <si>
    <t>67.01.10</t>
  </si>
  <si>
    <t>67.01.11</t>
  </si>
  <si>
    <t>67.01.12</t>
  </si>
  <si>
    <t>67.01.13</t>
  </si>
  <si>
    <t>67.01.14</t>
  </si>
  <si>
    <t>67.01.15</t>
  </si>
  <si>
    <t>67.01.17</t>
  </si>
  <si>
    <t>67.01.18</t>
  </si>
  <si>
    <t>67.01.20</t>
  </si>
  <si>
    <t>67.01.21</t>
  </si>
  <si>
    <t>67.01.22</t>
  </si>
  <si>
    <t>67.01.23</t>
  </si>
  <si>
    <t>67.01.24</t>
  </si>
  <si>
    <t>67.01.25</t>
  </si>
  <si>
    <t>67.01.26</t>
  </si>
  <si>
    <t>67.01.27</t>
  </si>
  <si>
    <t>67.01.28</t>
  </si>
  <si>
    <t>67.01.30</t>
  </si>
  <si>
    <t>67.01.31</t>
  </si>
  <si>
    <t>67.01.32</t>
  </si>
  <si>
    <t>67.01.33</t>
  </si>
  <si>
    <t>67.01.34</t>
  </si>
  <si>
    <t>67.01.35</t>
  </si>
  <si>
    <t>67.01.36</t>
  </si>
  <si>
    <t>Benefícios e Despesas Indiretas - BDI</t>
  </si>
  <si>
    <t>% sobre PV</t>
  </si>
  <si>
    <t>% sobre CD</t>
  </si>
  <si>
    <t>Detalhamento do BDI (Engenharia Consultiva - Tabela DNIT)</t>
  </si>
  <si>
    <t>Seguros e Garantias Contratuais</t>
  </si>
  <si>
    <t>ISSQN*</t>
  </si>
  <si>
    <t>(*) Limite máximo adotado de 5%, valor variável em função da legislação de cada município. As empresas licitantes deverão adotar as alíquotas pertinentes.</t>
  </si>
  <si>
    <t>365 dias</t>
  </si>
  <si>
    <t>Plano Básico de Zona de Proteção de Aeródromo</t>
  </si>
  <si>
    <t>Correções do PBZPA</t>
  </si>
  <si>
    <t>Plano Básico de Zona de Proteção de Aeródromo - PBZPA</t>
  </si>
  <si>
    <t>Deslocamento:</t>
  </si>
  <si>
    <t>dias (ida e volta)</t>
  </si>
  <si>
    <t>Total:</t>
  </si>
  <si>
    <t>Tabela 1 - Benefícios e Despesas Indiretas</t>
  </si>
  <si>
    <t>Tabela de Preços de Consultoria</t>
  </si>
  <si>
    <t>Tabela 2 - Custos de imóveis, mobiliário, cestas de instalações e custos diversos</t>
  </si>
  <si>
    <t>Fonte: FGV IBRE</t>
  </si>
  <si>
    <t>Veículo tipo van furgão com capacidade de 1,38 t - 100 kW (com motorista)</t>
  </si>
  <si>
    <t>Veículo leve picape 4 x 4 com capacidade de 1,10 t - 147 kW (sem motorista)</t>
  </si>
  <si>
    <t>P8180</t>
  </si>
  <si>
    <t>P8181</t>
  </si>
  <si>
    <t>P8182</t>
  </si>
  <si>
    <t>P8192</t>
  </si>
  <si>
    <t>P8193</t>
  </si>
  <si>
    <t>P8194</t>
  </si>
  <si>
    <t>P8195</t>
  </si>
  <si>
    <t>P8196</t>
  </si>
  <si>
    <t>P8197</t>
  </si>
  <si>
    <t>Decreto Estadual 16.536/2024</t>
  </si>
  <si>
    <t>DECRETO Nº 16.536, DE 26 DE DEZEMBRO DE 2024</t>
  </si>
  <si>
    <t>Valor da impressão em A4, cotado em 00/00/00: R$ 0,00</t>
  </si>
  <si>
    <t>Valor da impressão em A3, cotado em 00/00/00: R$ 0,00</t>
  </si>
  <si>
    <t>i) Conforme Memorando Circular nº 687/2018/DIREX/DNIT SEDE, em função da pouca relevância na formação dos custos totais dos contratos de engenharia consultiva, os serviços gráficos não são detalhados como itens de planilha nos orçamentos. Este fato não exime a CONTRATADA de realizar os serviços gráficos necessarios ao andamento dos trabalhos.</t>
  </si>
  <si>
    <t>Leito de vias (eixo e bordos a cada 300 m)</t>
  </si>
  <si>
    <t>máximo</t>
  </si>
  <si>
    <r>
      <rPr>
        <b/>
        <sz val="11"/>
        <color theme="1"/>
        <rFont val="Calibri"/>
        <family val="2"/>
        <scheme val="minor"/>
      </rPr>
      <t>Largura:</t>
    </r>
    <r>
      <rPr>
        <sz val="11"/>
        <color theme="1"/>
        <rFont val="Calibri"/>
        <family val="2"/>
        <scheme val="minor"/>
      </rPr>
      <t xml:space="preserve"> 23 m</t>
    </r>
  </si>
  <si>
    <r>
      <t xml:space="preserve">km (aproximadamente)            </t>
    </r>
    <r>
      <rPr>
        <b/>
        <sz val="11"/>
        <color theme="1"/>
        <rFont val="Calibri"/>
        <family val="2"/>
        <scheme val="minor"/>
      </rPr>
      <t xml:space="preserve"> Largura:</t>
    </r>
    <r>
      <rPr>
        <sz val="11"/>
        <color theme="1"/>
        <rFont val="Calibri"/>
        <family val="2"/>
        <scheme val="minor"/>
      </rPr>
      <t xml:space="preserve"> 23 m</t>
    </r>
  </si>
  <si>
    <r>
      <t>Largura:</t>
    </r>
    <r>
      <rPr>
        <sz val="11"/>
        <color theme="1"/>
        <rFont val="Calibri"/>
        <family val="2"/>
        <scheme val="minor"/>
      </rPr>
      <t xml:space="preserve"> 23 m</t>
    </r>
  </si>
  <si>
    <r>
      <t xml:space="preserve">km (aproximadamente)         </t>
    </r>
    <r>
      <rPr>
        <b/>
        <sz val="11"/>
        <color theme="1"/>
        <rFont val="Calibri"/>
        <family val="2"/>
        <scheme val="minor"/>
      </rPr>
      <t>Largura:</t>
    </r>
    <r>
      <rPr>
        <sz val="11"/>
        <color theme="1"/>
        <rFont val="Calibri"/>
        <family val="2"/>
        <scheme val="minor"/>
      </rPr>
      <t xml:space="preserve"> 23 m</t>
    </r>
  </si>
  <si>
    <r>
      <t xml:space="preserve">km (aproximadamente)          </t>
    </r>
    <r>
      <rPr>
        <b/>
        <sz val="11"/>
        <color theme="1"/>
        <rFont val="Calibri"/>
        <family val="2"/>
        <scheme val="minor"/>
      </rPr>
      <t>Largura:</t>
    </r>
    <r>
      <rPr>
        <sz val="11"/>
        <color theme="1"/>
        <rFont val="Calibri"/>
        <family val="2"/>
        <scheme val="minor"/>
      </rPr>
      <t xml:space="preserve"> 23 m</t>
    </r>
  </si>
  <si>
    <t>23 m</t>
  </si>
  <si>
    <r>
      <t xml:space="preserve">(aproximadamente)       </t>
    </r>
    <r>
      <rPr>
        <b/>
        <sz val="11"/>
        <color theme="1"/>
        <rFont val="Calibri"/>
        <family val="2"/>
        <scheme val="minor"/>
      </rPr>
      <t>Largura:</t>
    </r>
    <r>
      <rPr>
        <sz val="11"/>
        <color theme="1"/>
        <rFont val="Calibri"/>
        <family val="2"/>
        <scheme val="minor"/>
      </rPr>
      <t xml:space="preserve"> 23 m</t>
    </r>
  </si>
  <si>
    <r>
      <t xml:space="preserve">km      </t>
    </r>
    <r>
      <rPr>
        <b/>
        <sz val="11"/>
        <color theme="1"/>
        <rFont val="Calibri"/>
        <family val="2"/>
        <scheme val="minor"/>
      </rPr>
      <t>Largura:</t>
    </r>
    <r>
      <rPr>
        <sz val="11"/>
        <color theme="1"/>
        <rFont val="Calibri"/>
        <family val="2"/>
        <scheme val="minor"/>
      </rPr>
      <t xml:space="preserve"> 23 m</t>
    </r>
  </si>
  <si>
    <t>Curva ABC de mão de obra</t>
  </si>
  <si>
    <t>Curva ABC de serviços</t>
  </si>
  <si>
    <t>(h)</t>
  </si>
  <si>
    <t>TOTAL COM BDI (R$)</t>
  </si>
  <si>
    <t>Planilha de Cálculo Exemplificativa para o BDI na Tabela de Preços de Consultoria</t>
  </si>
  <si>
    <t>Descrição das Parcelas</t>
  </si>
  <si>
    <t>Valores</t>
  </si>
  <si>
    <t>Lucro</t>
  </si>
  <si>
    <r>
      <rPr>
        <b/>
        <sz val="10"/>
        <color theme="1"/>
        <rFont val="Arial"/>
        <family val="2"/>
      </rPr>
      <t>Observação:</t>
    </r>
    <r>
      <rPr>
        <sz val="10"/>
        <color theme="1"/>
        <rFont val="Arial"/>
        <family val="2"/>
      </rPr>
      <t xml:space="preserve"> (*) Limite máximo adotado de 5%, valor variável em função da legislação de cada município. As empresas licitantes deverão adotar as alíquotas pertinentes.</t>
    </r>
  </si>
  <si>
    <t>Tabela de Preços de Consultoria - mês de referência: MAIO de 2025</t>
  </si>
  <si>
    <t>RELATÓRIO DE CONSOLIDAÇÃO DE CUSTOS GERAIS - mês de referência: ABRIL de 2025</t>
  </si>
  <si>
    <t>E9508, E9014, E9562 e M0047 - Atualizado pelo Relatório de Sintético de Equipamento e Materiais - ABRIL DE 2025</t>
  </si>
  <si>
    <t>Tabela de Preços de Consultoria - mês de referência: ABRIL de 2025</t>
  </si>
  <si>
    <t>P9811, P9848, P9948, P9880 - Atualizado pelo Relatório Sintético de Mão de Obra - ABRIL DE 2025</t>
  </si>
  <si>
    <t>ABRIL/25</t>
  </si>
  <si>
    <t>79.018.153-2024</t>
  </si>
  <si>
    <t>11ª RR - Amambai</t>
  </si>
  <si>
    <t>JULHO/25</t>
  </si>
  <si>
    <t>65.08</t>
  </si>
  <si>
    <t>RETIRADA DE AMOSTRA INDEFORMADA</t>
  </si>
  <si>
    <t>65.08.21</t>
  </si>
  <si>
    <t>RETIRADA DE AMOSTRA INDEFORMADA EM BLOCOS 30X30X30CM (NBR 9604:2016), PROF =  2 A 3 M</t>
  </si>
  <si>
    <t>UN</t>
  </si>
  <si>
    <t>65.08.22</t>
  </si>
  <si>
    <t>RETIRADA DE AMOSTRA INDEFORMADA EM BLOCOS 30X30X30CM (NBR 9604:2016), PROF =  1 A 2 M</t>
  </si>
  <si>
    <t>65.08.23</t>
  </si>
  <si>
    <t>RETIRADA DE AMOSTRA INDEFORMADA EM BLOCOS 30X30X30CM (NBR 9604:2016), PROF ATÉ 1 M</t>
  </si>
  <si>
    <t>COMPRESSAO TRIAXIAL RAPIDO NÃO ADENSADO E NÃO DRENADO (Q/UU) MÍNIMO 3 CORPOS DE PROVA</t>
  </si>
  <si>
    <t>COMPRESSAO TRIAXIAL RAPIDO NÃO ADENSADO E NÃO DRENADO (Q/UU) C/MEDIDAS DE PRESSAO NEUTRA MÍNIMO 3 CORPOS DE PROVA</t>
  </si>
  <si>
    <t>COMPRESSAO TRIAXIAL RAPIDO PRE-ADENSADO E NÃO DRENADO (R/CIU) MÍNIMO 3 CORPOS DE PROVA</t>
  </si>
  <si>
    <t>COMPRESSAO TRIAXIAL RAPIDO PRE-ADENSADO (R/CIU) C/MEDIDAS DE PRESSÃO NEUTRA MÍNIMO 3 CORPOS DE PROVA</t>
  </si>
  <si>
    <t>COMPRESSAO TRIAXIAL RAPIDO PRE-ADENSADO SATURADO (R-SAT/CIU-SAT) MÍNIMO 3 CORPOS DE PROVA</t>
  </si>
  <si>
    <t>COMPRESSAO TRIAXIAL RAPIDO PRE-ADENSADO SATURADO (R-SAT/CIU-SAT) C/MEDIDAS PRESSÃO NEUTRA MÍNIMO 3 CORPOS DE PROVA</t>
  </si>
  <si>
    <t>COMPRESSAO TRIAXIAL LENTO SATURADO (CD) MÍNIMO 3 CORPOS DE PROVA</t>
  </si>
  <si>
    <t>ENSAIO DE CISALHAMENTO DIRETO RAPIDO EM SOLOS (NBR ISO 12957-1:2013) MÍNIMO 3 CORPOS DE PROVA</t>
  </si>
  <si>
    <t>ENSAIO DE SOLO - CISALHAMENTO DIRETO RAPIDO SATURADO MÍNIMO 3 CORPOS DE PROVA</t>
  </si>
  <si>
    <t>ENSAIO DE SOLO - CISALHAMENTO DIRETO RAPIDO PRE-ADENSADO MÍNIMO 3 CORPOS DE PROVA</t>
  </si>
  <si>
    <t>ENSAIOD E SOLO - CISALHAMENTO DIRETO RAPIDO SATURADO PRE-ADENSADO MÍNIMO 3 CORPOS DE PROVA</t>
  </si>
  <si>
    <t>ENSAIO DE SOLO - CISALHAMENTO DIRETO LENTO MÍNIMO 3 CORPOS DE PROVA</t>
  </si>
  <si>
    <t>ENSAIO DE SOLO - CISALHAMENTO DIRETO LENTO SATURADO MÍNIMO 3 CORPOS DE PROVA</t>
  </si>
  <si>
    <t>4.</t>
  </si>
  <si>
    <t>LICENCIAMENTO AMBIENTAL</t>
  </si>
  <si>
    <t>4.2</t>
  </si>
  <si>
    <t>PLANO BÁSICO AMBIENTAL (PBA)</t>
  </si>
  <si>
    <t>PROPOSTA TÉCNICA AMBIENTAL (PTA)</t>
  </si>
  <si>
    <t>Elaboração da PTA</t>
  </si>
  <si>
    <t>Elaboração da PBA</t>
  </si>
  <si>
    <t>5.1.1.</t>
  </si>
  <si>
    <t>Proposta Técnica Ambiental (PTA)</t>
  </si>
  <si>
    <t>Plano Básico Ambiental (PBA)</t>
  </si>
  <si>
    <t>LICENCIAMENTO AMBIENTAL (AERÓDROMO E/OU HELIPORTO CIVIL/MILITAR/PÚBLICO, COM PISTA ATÉ 1.800 METROS)</t>
  </si>
  <si>
    <t>4.3</t>
  </si>
  <si>
    <t>Formulário de Atividades de Infraestrutura (IMASUL)</t>
  </si>
  <si>
    <t>1,00 km (aproximadamente)</t>
  </si>
  <si>
    <t>1.5</t>
  </si>
  <si>
    <t>1.5.1</t>
  </si>
  <si>
    <t>1.5.2</t>
  </si>
  <si>
    <t>1.5.3</t>
  </si>
  <si>
    <t>1.5.4</t>
  </si>
  <si>
    <t>1.4.3</t>
  </si>
  <si>
    <t>Preenchimento do Formulário</t>
  </si>
  <si>
    <t>5.0</t>
  </si>
  <si>
    <t>5.1</t>
  </si>
  <si>
    <t>5.1.1</t>
  </si>
  <si>
    <t>FORMULÁRIO DE ATIVIDADES DE INFRAESTRUTURA (IMASUL)</t>
  </si>
  <si>
    <t>FOMULÁRIO DE ATIVIDADES DE INFRAESTRUTURA (IMASUL)</t>
  </si>
  <si>
    <t>4.1.2</t>
  </si>
  <si>
    <t>4.1.3</t>
  </si>
  <si>
    <t>DOCUMENTAÇÃO PARA O LICENCIAMENTO AMBIENTAL JUNTO AO IMASUL</t>
  </si>
  <si>
    <t>Quantificação das sondagens à percussão</t>
  </si>
  <si>
    <t>Quantificação das sondagens à trado</t>
  </si>
  <si>
    <t>ESTUDO DE SONDAGEM DO SOLO (ESS)</t>
  </si>
  <si>
    <t>Estudo de Sondagem do Solo (ESS)</t>
  </si>
  <si>
    <t>ESTUDOS GEOTÉCNICOS: SONDAGENS SUBLEITO, CORTES, CAIXAS DE EMPRÉSTIMO, JAZIDAS DE SOLO, LICENCIAMENTO AMBIENTAL</t>
  </si>
  <si>
    <t>4.4</t>
  </si>
  <si>
    <t>1.4.4</t>
  </si>
  <si>
    <t>4.1.4</t>
  </si>
  <si>
    <t>Nova Andradina/MS</t>
  </si>
  <si>
    <t>Contratação de Projeto Executivo de Engenharia para Implantação do Aeródromo no município de Nova Andradina</t>
  </si>
  <si>
    <t>79.010.182-2025</t>
  </si>
  <si>
    <t>Nova Andradina</t>
  </si>
  <si>
    <t>Projeto Executivo de Engenharia para Implantação do Aeródromo município de Nova Andradina/MS</t>
  </si>
  <si>
    <t>Aeródromo de Nova Andradina/MS</t>
  </si>
  <si>
    <t>Saída de Campo Grande -&gt; Chegada em Nova Andradina</t>
  </si>
  <si>
    <t>Saída de Nova Andradina -&gt; Chegada em Campo Grande</t>
  </si>
  <si>
    <t>1,70 km (aproximadamente)</t>
  </si>
  <si>
    <t>Avaliação estrutural do pavimento existente</t>
  </si>
  <si>
    <t xml:space="preserve"> Ofício-Circular nº 4706/2025 (SEI DNIT nº 21705904)</t>
  </si>
  <si>
    <t>AVALIAÇÃO ESTRUTURAL DO PAVIMENTO EXISTENTE: DETERMINAÇÃO DAS DEFLEXÕES</t>
  </si>
  <si>
    <t>Produtividade (FWD):</t>
  </si>
  <si>
    <t>Não</t>
  </si>
  <si>
    <t>Motorista de veículo especializado (FWD)</t>
  </si>
  <si>
    <t>e=a*b*d</t>
  </si>
  <si>
    <t>Foi considerado que o Motorista de veículo especializado (FWD) para esse serviço será mobilizada em seu próprio veículo.</t>
  </si>
  <si>
    <t>Não há custo com pedágio no trajeto.</t>
  </si>
  <si>
    <t>1.1.7.1</t>
  </si>
  <si>
    <t>(de acordo com o Edital DNIT 0311/2019-00)</t>
  </si>
  <si>
    <t>Motorista da van furgão</t>
  </si>
  <si>
    <t>Equipamento do VDR</t>
  </si>
  <si>
    <t>Foi considerado que o Motorista da van furgão para esse serviço será mobilizada em seu próprio veículo.</t>
  </si>
  <si>
    <t>AVALIAÇÃO ESTRUTURAL DO PAVIMENTO EXISTENTE: INVESTIGAÇÃO DAS CONDIÇÕES DE SUPERFÍCIE E MEDIDA DA IRREGULARIDADE LONGITUDINAL DO PAVIMENTO</t>
  </si>
  <si>
    <t>1.1.7.2</t>
  </si>
  <si>
    <t>AVALIAÇÃO ESTRUTURAL DO PAVIMENTO EXISTENTE: SONDAGENS</t>
  </si>
  <si>
    <t>a) Leito, subleito e cortes</t>
  </si>
  <si>
    <t>DISTÂNCIA ENTRE OS FUROS (m)</t>
  </si>
  <si>
    <t>Nº DE FUROS</t>
  </si>
  <si>
    <t>PROFUNDIDADE MÉDIA DOS FUROS (m)</t>
  </si>
  <si>
    <t>Aterros</t>
  </si>
  <si>
    <t>Cortes</t>
  </si>
  <si>
    <t>TIPO DE SONDAGEM</t>
  </si>
  <si>
    <t>PRODUTIVIDADE (m/dia)</t>
  </si>
  <si>
    <t>JORNADA DE TRABALHO (dias)</t>
  </si>
  <si>
    <t>Percussão</t>
  </si>
  <si>
    <t>Rotativa</t>
  </si>
  <si>
    <t>equipe</t>
  </si>
  <si>
    <t>dia de viagem</t>
  </si>
  <si>
    <t>dias (para Sondadores)</t>
  </si>
  <si>
    <t>dias (para veículos e equipamentos)</t>
  </si>
  <si>
    <t>AVALIAÇÃO ESTRUTURAL DO PAVIMENTO EXISTENTE: ENSAIOS DE LABORATÓRIO</t>
  </si>
  <si>
    <t>Leito, subleito e cortes</t>
  </si>
  <si>
    <t>Passagem</t>
  </si>
  <si>
    <t>CUSTO DA PASSAGEM</t>
  </si>
  <si>
    <t>CUSTO DA ALIMENTAÇÃO</t>
  </si>
  <si>
    <t>CUSTO DA VIAGEM</t>
  </si>
  <si>
    <t>CUSTO DE MOB. E DESMOB.</t>
  </si>
  <si>
    <t>CUSTO DA DEBANDA</t>
  </si>
  <si>
    <t>f=2*a*d*e</t>
  </si>
  <si>
    <t>1.1.7.3</t>
  </si>
  <si>
    <t>1.1.7.4</t>
  </si>
  <si>
    <t>AVALIAÇÃO ESTRUTURAL DO PAVIMENTO EXISTENTE: TRABALHO DE ESCRITÓRIO (ANÁLISES E FORMULAÇÕES)</t>
  </si>
  <si>
    <t>Determinação das deflexões</t>
  </si>
  <si>
    <t>Investigação das condições de superfície e medida da irregularidade longitudinal do pavimento</t>
  </si>
  <si>
    <t>Avaliação estrutural do pavimento</t>
  </si>
  <si>
    <t>Serão utilizadas as instalações da contratada para o desenvolvimento deste serviço.</t>
  </si>
  <si>
    <t>1.1.7.5</t>
  </si>
  <si>
    <t>CP001</t>
  </si>
  <si>
    <t>Equipamento para o VDR</t>
  </si>
  <si>
    <t>ORÇAMENTO REFERENCIAL</t>
  </si>
  <si>
    <t>EQUIPAMENTOS DO VDR</t>
  </si>
  <si>
    <t>1 Dólar =</t>
  </si>
  <si>
    <t>1 Euro =</t>
  </si>
  <si>
    <t>EQUIPAMENTOS</t>
  </si>
  <si>
    <t>VALOR PESQUISADO (R$)</t>
  </si>
  <si>
    <t>QTD</t>
  </si>
  <si>
    <t>SUBTOTAL
(R$)</t>
  </si>
  <si>
    <t>VALOR TOTAL
(R$)</t>
  </si>
  <si>
    <t>MÉDIA</t>
  </si>
  <si>
    <t>Conjunto de Equipamentos para o VDR</t>
  </si>
  <si>
    <t>Perfilômetro (perfilógrafo) Laser com no mínimo 5 módulos laser + Odômetro ótico de precisão + Módulos de medição laser + Acelerômetros +  Sistema de medição de velocidade em rodas do veículo + Interface computador x sistema + Softwares específicos para campo e escritório + Computadores</t>
  </si>
  <si>
    <t>Cibermétrica</t>
  </si>
  <si>
    <t>Dynatest</t>
  </si>
  <si>
    <t>ARRB</t>
  </si>
  <si>
    <t>GPS/GNSS com receptores de dupla frequência (L1/L2), com taxa mínima de coleta de 10 Hz, máscara de elevação de 15º e conjunto de acessórios.</t>
  </si>
  <si>
    <t>Embratop</t>
  </si>
  <si>
    <t>Geomat</t>
  </si>
  <si>
    <t>Filmadora HD, resolução no mínima padrão HD 720 (1280 por 720 pixels) e taxa mínima de 30 fps.</t>
  </si>
  <si>
    <t>AltaVision</t>
  </si>
  <si>
    <t>Traders</t>
  </si>
  <si>
    <t>CÁLCULO DO CUSTO HORÁRIO E MENSAL DOS EQUIPAMENTOS (VDR)</t>
  </si>
  <si>
    <t>Equipamento para Levantamento (sem o veículo)</t>
  </si>
  <si>
    <t>Data Base:</t>
  </si>
  <si>
    <t>DADOS BÁSICOS</t>
  </si>
  <si>
    <t>VALOR  (R$)</t>
  </si>
  <si>
    <t>QTDADE</t>
  </si>
  <si>
    <t>OBSERVAÇÕES</t>
  </si>
  <si>
    <t>Valor de aquisição do equipamento  (Va)</t>
  </si>
  <si>
    <t>Conjunto de Equipamentos</t>
  </si>
  <si>
    <t>Vida útil do equipamento em anos  (n)</t>
  </si>
  <si>
    <t>(anos)</t>
  </si>
  <si>
    <t>Total de horas trabalhadas por ano  (HTA)</t>
  </si>
  <si>
    <t>Taxa de juros ao ano  (i)</t>
  </si>
  <si>
    <t>Coeficiente de manutenção  (k)</t>
  </si>
  <si>
    <t>Valor residual  (Vr)</t>
  </si>
  <si>
    <t>Custo de Propriedade</t>
  </si>
  <si>
    <t>Depreciação horária  (Dh)</t>
  </si>
  <si>
    <t>(R$/h)</t>
  </si>
  <si>
    <t>Valor médio do investimento  (Vm)</t>
  </si>
  <si>
    <t>(R$)</t>
  </si>
  <si>
    <t>Custo horário de oportunidade do capital  (Jh)</t>
  </si>
  <si>
    <t>Custo horário dos seguros e impostos  (Ih)</t>
  </si>
  <si>
    <t>Custo de Manutenção</t>
  </si>
  <si>
    <t>Custo de manutenção horária   (Mh)</t>
  </si>
  <si>
    <t>Custo de Operação</t>
  </si>
  <si>
    <t xml:space="preserve">Combustível, Lubrificantes, Filtros e Graxas </t>
  </si>
  <si>
    <t>Custo da Mão de Obra de Operação</t>
  </si>
  <si>
    <t xml:space="preserve">Custo Horário dos Equipamentos e Veículos </t>
  </si>
  <si>
    <t>Custo Horário Produtivo  (Chp)</t>
  </si>
  <si>
    <t>(R$/h)      Chp = Dh + Jh + Mh + Cc + Cmo + Ih</t>
  </si>
  <si>
    <t>Custo Horário Improdutivo  (Chi)</t>
  </si>
  <si>
    <t>(R$/h)      Chi = Cmo+ Dh + Jh + Ih</t>
  </si>
  <si>
    <t xml:space="preserve">Custo Mensal dos Equipamentos e Veículos </t>
  </si>
  <si>
    <t>Custo Mensal Produtivo  (Cpm)</t>
  </si>
  <si>
    <t xml:space="preserve">(R$/mês)    </t>
  </si>
  <si>
    <t>Custo Mensal Improdutivo  (Cim)</t>
  </si>
  <si>
    <t>Custo Mensal Total  (Ctm)</t>
  </si>
  <si>
    <t>BDI (45,11%)</t>
  </si>
  <si>
    <t>auxiliar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</si>
</sst>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1">
    <numFmt numFmtId="44" formatCode="_-&quot;R$&quot;\ * #,##0.00_-;\-&quot;R$&quot;\ * #,##0.00_-;_-&quot;R$&quot;\ * &quot;-&quot;??_-;_-@_-"/>
    <numFmt numFmtId="43" formatCode="_-* #,##0.00_-;\-* #,##0.00_-;_-* &quot;-&quot;??_-;_-@_-"/>
    <numFmt numFmtId="164" formatCode="_(* #,##0_);_(* \(#,##0\);_(* &quot;-&quot;_);_(@_)"/>
    <numFmt numFmtId="165" formatCode="_(&quot;R$&quot;* #,##0.00_);_(&quot;R$&quot;* \(#,##0.00\);_(&quot;R$&quot;* &quot;-&quot;??_);_(@_)"/>
    <numFmt numFmtId="166" formatCode="_(* #,##0.00_);_(* \(#,##0.00\);_(* &quot;-&quot;??_);_(@_)"/>
    <numFmt numFmtId="167" formatCode="[$-416]mmmm\-yy;@"/>
    <numFmt numFmtId="168" formatCode="#,##0.000"/>
    <numFmt numFmtId="169" formatCode="#,##0.0000"/>
    <numFmt numFmtId="170" formatCode="0.0000"/>
    <numFmt numFmtId="171" formatCode="[$-416]mmm\-yy;@"/>
    <numFmt numFmtId="172" formatCode="0.000%"/>
    <numFmt numFmtId="173" formatCode="0.0"/>
    <numFmt numFmtId="174" formatCode="0.0000%"/>
    <numFmt numFmtId="175" formatCode="_-* #,##0.0000_-;\-* #,##0.0000_-;_-* &quot;-&quot;????_-;_-@_-"/>
    <numFmt numFmtId="176" formatCode="0.000"/>
    <numFmt numFmtId="177" formatCode="_-[$R$-416]\ * #,##0.00_-;\-[$R$-416]\ * #,##0.00_-;_-[$R$-416]\ * &quot;-&quot;??_-;_-@_-"/>
    <numFmt numFmtId="178" formatCode="0.00000000%"/>
    <numFmt numFmtId="179" formatCode="0.00&quot;% sobre (PV - Lucro)&quot;"/>
    <numFmt numFmtId="180" formatCode="&quot;R$&quot;#,##0.00"/>
    <numFmt numFmtId="181" formatCode="0.0%"/>
    <numFmt numFmtId="182" formatCode="_-&quot;R$&quot;\ * #,##0.000_-;\-&quot;R$&quot;\ * #,##0.000_-;_-&quot;R$&quot;\ * &quot;-&quot;???_-;_-@_-"/>
  </numFmts>
  <fonts count="48"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Calibri"/>
      <family val="2"/>
      <scheme val="minor"/>
    </font>
    <font>
      <sz val="7"/>
      <color theme="1"/>
      <name val="Calibri"/>
      <family val="2"/>
      <scheme val="minor"/>
    </font>
    <font>
      <sz val="16"/>
      <color theme="1"/>
      <name val="Calibri"/>
      <family val="2"/>
      <scheme val="minor"/>
    </font>
    <font>
      <sz val="16"/>
      <color theme="1"/>
      <name val="Calibri Light"/>
      <family val="2"/>
      <scheme val="major"/>
    </font>
    <font>
      <sz val="13"/>
      <color theme="1"/>
      <name val="Calibri"/>
      <family val="2"/>
      <scheme val="minor"/>
    </font>
    <font>
      <b/>
      <sz val="9"/>
      <color theme="1"/>
      <name val="Calibri"/>
      <family val="2"/>
      <scheme val="minor"/>
    </font>
    <font>
      <sz val="28"/>
      <color theme="1"/>
      <name val="Calibri Light"/>
      <family val="2"/>
      <scheme val="major"/>
    </font>
    <font>
      <i/>
      <sz val="8"/>
      <color theme="1"/>
      <name val="Calibri"/>
      <family val="2"/>
      <scheme val="minor"/>
    </font>
    <font>
      <b/>
      <sz val="10"/>
      <color theme="1"/>
      <name val="Calibri"/>
      <family val="2"/>
      <scheme val="minor"/>
    </font>
    <font>
      <b/>
      <sz val="16"/>
      <color theme="1"/>
      <name val="Calibri"/>
      <family val="2"/>
      <scheme val="minor"/>
    </font>
    <font>
      <u/>
      <sz val="11"/>
      <color theme="10"/>
      <name val="Calibri"/>
      <family val="2"/>
      <scheme val="minor"/>
    </font>
    <font>
      <sz val="9"/>
      <name val="Calibri"/>
      <family val="2"/>
      <scheme val="minor"/>
    </font>
    <font>
      <sz val="13"/>
      <color theme="1"/>
      <name val="Calibri Light"/>
      <family val="2"/>
      <scheme val="major"/>
    </font>
    <font>
      <sz val="18"/>
      <color theme="1"/>
      <name val="Calibri"/>
      <family val="2"/>
      <scheme val="minor"/>
    </font>
    <font>
      <sz val="11"/>
      <name val="Calibri"/>
      <family val="2"/>
      <scheme val="minor"/>
    </font>
    <font>
      <sz val="11"/>
      <color rgb="FF000000"/>
      <name val="Arial"/>
      <family val="2"/>
    </font>
    <font>
      <b/>
      <sz val="11"/>
      <color rgb="FFFF0000"/>
      <name val="Calibri"/>
      <family val="2"/>
      <scheme val="minor"/>
    </font>
    <font>
      <sz val="11"/>
      <color theme="1"/>
      <name val="Arial"/>
      <family val="2"/>
    </font>
    <font>
      <sz val="11"/>
      <color rgb="FF000000"/>
      <name val="Calibri"/>
      <family val="2"/>
      <scheme val="minor"/>
    </font>
    <font>
      <sz val="10"/>
      <color theme="1"/>
      <name val="Calibri"/>
      <family val="2"/>
      <scheme val="minor"/>
    </font>
    <font>
      <sz val="9"/>
      <color rgb="FF000000"/>
      <name val="Arial"/>
      <family val="2"/>
    </font>
    <font>
      <b/>
      <sz val="10"/>
      <color theme="1"/>
      <name val="Arial"/>
      <family val="2"/>
    </font>
    <font>
      <sz val="10"/>
      <color theme="1"/>
      <name val="Arial"/>
      <family val="2"/>
    </font>
    <font>
      <b/>
      <sz val="10"/>
      <color theme="0"/>
      <name val="Arial"/>
      <family val="2"/>
    </font>
    <font>
      <b/>
      <sz val="10"/>
      <name val="Arial"/>
      <family val="2"/>
    </font>
    <font>
      <sz val="11"/>
      <color rgb="FFFF0000"/>
      <name val="Arial"/>
      <family val="2"/>
    </font>
    <font>
      <sz val="11"/>
      <name val="Arial"/>
      <family val="2"/>
    </font>
    <font>
      <sz val="10"/>
      <name val="Arial"/>
    </font>
    <font>
      <sz val="10"/>
      <name val="Arial"/>
      <family val="2"/>
    </font>
    <font>
      <sz val="8"/>
      <name val="Arial"/>
      <family val="2"/>
    </font>
    <font>
      <u/>
      <sz val="10"/>
      <color theme="10"/>
      <name val="Arial"/>
      <family val="2"/>
    </font>
    <font>
      <sz val="12"/>
      <name val="Times New Roman"/>
      <family val="1"/>
    </font>
    <font>
      <b/>
      <sz val="18"/>
      <name val="Times New Roman"/>
      <family val="1"/>
    </font>
    <font>
      <b/>
      <sz val="12"/>
      <name val="Times New Roman"/>
      <family val="1"/>
    </font>
    <font>
      <b/>
      <sz val="18"/>
      <color rgb="FF0070C0"/>
      <name val="Times New Roman"/>
      <family val="1"/>
    </font>
    <font>
      <b/>
      <sz val="11"/>
      <name val="Times New Roman"/>
      <family val="1"/>
    </font>
    <font>
      <b/>
      <sz val="12"/>
      <color theme="1"/>
      <name val="Times New Roman"/>
      <family val="1"/>
    </font>
    <font>
      <sz val="12"/>
      <color theme="1"/>
      <name val="Times New Roman"/>
      <family val="1"/>
    </font>
    <font>
      <i/>
      <sz val="11"/>
      <name val="Times New Roman"/>
      <family val="1"/>
    </font>
    <font>
      <sz val="9"/>
      <color indexed="81"/>
      <name val="Segoe UI"/>
      <family val="2"/>
    </font>
    <font>
      <b/>
      <sz val="20"/>
      <name val="Times New Roman"/>
      <family val="1"/>
    </font>
    <font>
      <sz val="10"/>
      <name val="Times New Roman"/>
      <family val="1"/>
    </font>
    <font>
      <b/>
      <sz val="16"/>
      <name val="Times New Roman"/>
      <family val="1"/>
    </font>
    <font>
      <sz val="14"/>
      <name val="Times New Roman"/>
      <family val="1"/>
    </font>
    <font>
      <b/>
      <sz val="14"/>
      <name val="Times New Roman"/>
      <family val="1"/>
    </font>
  </fonts>
  <fills count="14">
    <fill>
      <patternFill patternType="none"/>
    </fill>
    <fill>
      <patternFill patternType="gray125"/>
    </fill>
    <fill>
      <patternFill patternType="solid">
        <fgColor theme="0" tint="-0.14999847407452621"/>
        <bgColor indexed="64"/>
      </patternFill>
    </fill>
    <fill>
      <patternFill patternType="solid">
        <fgColor theme="1" tint="0.499984740745262"/>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rgb="FF002E6E"/>
        <bgColor indexed="64"/>
      </patternFill>
    </fill>
    <fill>
      <patternFill patternType="solid">
        <fgColor theme="5" tint="0.59999389629810485"/>
        <bgColor indexed="64"/>
      </patternFill>
    </fill>
    <fill>
      <patternFill patternType="solid">
        <fgColor rgb="FFCCCCFF"/>
        <bgColor indexed="64"/>
      </patternFill>
    </fill>
    <fill>
      <patternFill patternType="solid">
        <fgColor rgb="FFCCECFF"/>
        <bgColor indexed="64"/>
      </patternFill>
    </fill>
    <fill>
      <patternFill patternType="solid">
        <fgColor rgb="FF99CCFF"/>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rgb="FFA0A0A0"/>
      </top>
      <bottom style="thin">
        <color rgb="FFA0A0A0"/>
      </bottom>
      <diagonal/>
    </border>
    <border>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right style="thin">
        <color rgb="FFA0A0A0"/>
      </right>
      <top style="thin">
        <color rgb="FFA0A0A0"/>
      </top>
      <bottom/>
      <diagonal/>
    </border>
    <border>
      <left style="thin">
        <color rgb="FFA0A0A0"/>
      </left>
      <right style="thin">
        <color rgb="FFA0A0A0"/>
      </right>
      <top style="thin">
        <color rgb="FFA0A0A0"/>
      </top>
      <bottom/>
      <diagonal/>
    </border>
    <border>
      <left style="thin">
        <color rgb="FFA0A0A0"/>
      </left>
      <right style="thin">
        <color rgb="FFA0A0A0"/>
      </right>
      <top/>
      <bottom/>
      <diagonal/>
    </border>
    <border>
      <left/>
      <right/>
      <top style="thin">
        <color rgb="FFA0A0A0"/>
      </top>
      <bottom/>
      <diagonal/>
    </border>
    <border>
      <left/>
      <right style="thin">
        <color rgb="FFA0A0A0"/>
      </right>
      <top/>
      <bottom/>
      <diagonal/>
    </border>
    <border>
      <left/>
      <right style="thin">
        <color rgb="FFA0A0A0"/>
      </right>
      <top/>
      <bottom style="thin">
        <color rgb="FFA0A0A0"/>
      </bottom>
      <diagonal/>
    </border>
    <border>
      <left style="thin">
        <color rgb="FFA0A0A0"/>
      </left>
      <right style="thin">
        <color rgb="FFA0A0A0"/>
      </right>
      <top/>
      <bottom style="thin">
        <color rgb="FFA0A0A0"/>
      </bottom>
      <diagonal/>
    </border>
    <border>
      <left/>
      <right/>
      <top/>
      <bottom style="thin">
        <color rgb="FFA0A0A0"/>
      </bottom>
      <diagonal/>
    </border>
    <border>
      <left style="thin">
        <color rgb="FFA0A0A0"/>
      </left>
      <right/>
      <top style="thin">
        <color rgb="FFA0A0A0"/>
      </top>
      <bottom/>
      <diagonal/>
    </border>
    <border>
      <left style="thin">
        <color rgb="FFA0A0A0"/>
      </left>
      <right/>
      <top/>
      <bottom/>
      <diagonal/>
    </border>
    <border>
      <left style="thin">
        <color rgb="FFA0A0A0"/>
      </left>
      <right/>
      <top/>
      <bottom style="thin">
        <color rgb="FFA0A0A0"/>
      </bottom>
      <diagonal/>
    </border>
    <border>
      <left/>
      <right style="thin">
        <color indexed="64"/>
      </right>
      <top style="thin">
        <color indexed="64"/>
      </top>
      <bottom style="thin">
        <color rgb="FFA0A0A0"/>
      </bottom>
      <diagonal/>
    </border>
    <border>
      <left style="thin">
        <color indexed="64"/>
      </left>
      <right style="thin">
        <color indexed="64"/>
      </right>
      <top style="thin">
        <color indexed="64"/>
      </top>
      <bottom style="thin">
        <color rgb="FFA0A0A0"/>
      </bottom>
      <diagonal/>
    </border>
    <border>
      <left style="thin">
        <color indexed="64"/>
      </left>
      <right style="thin">
        <color indexed="64"/>
      </right>
      <top/>
      <bottom style="thin">
        <color rgb="FFA0A0A0"/>
      </bottom>
      <diagonal/>
    </border>
    <border>
      <left style="thin">
        <color indexed="64"/>
      </left>
      <right/>
      <top/>
      <bottom style="thin">
        <color rgb="FFA0A0A0"/>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s>
  <cellStyleXfs count="19">
    <xf numFmtId="0" fontId="0" fillId="0" borderId="0"/>
    <xf numFmtId="9" fontId="1" fillId="0" borderId="0" applyFont="0" applyFill="0" applyBorder="0" applyAlignment="0" applyProtection="0"/>
    <xf numFmtId="165" fontId="1" fillId="0" borderId="0" applyFont="0" applyFill="0" applyBorder="0" applyAlignment="0" applyProtection="0"/>
    <xf numFmtId="0" fontId="13" fillId="0" borderId="0" applyNumberFormat="0" applyFill="0" applyBorder="0" applyAlignment="0" applyProtection="0"/>
    <xf numFmtId="0" fontId="20" fillId="0" borderId="0"/>
    <xf numFmtId="9" fontId="20" fillId="0" borderId="0" applyFont="0" applyFill="0" applyBorder="0" applyAlignment="0" applyProtection="0"/>
    <xf numFmtId="0" fontId="21" fillId="0" borderId="0"/>
    <xf numFmtId="0" fontId="30" fillId="0" borderId="0"/>
    <xf numFmtId="0" fontId="33" fillId="0" borderId="0" applyNumberFormat="0" applyFill="0" applyBorder="0" applyAlignment="0" applyProtection="0"/>
    <xf numFmtId="44" fontId="31" fillId="0" borderId="0" quotePrefix="1" applyFont="0" applyFill="0" applyBorder="0" applyAlignment="0">
      <protection locked="0"/>
    </xf>
    <xf numFmtId="0" fontId="32" fillId="0" borderId="0"/>
    <xf numFmtId="0" fontId="32" fillId="0" borderId="0"/>
    <xf numFmtId="0" fontId="31" fillId="0" borderId="0"/>
    <xf numFmtId="9" fontId="31" fillId="0" borderId="0" quotePrefix="1" applyFont="0" applyFill="0" applyBorder="0" applyAlignment="0">
      <protection locked="0"/>
    </xf>
    <xf numFmtId="43" fontId="31" fillId="0" borderId="0" quotePrefix="1" applyFont="0" applyFill="0" applyBorder="0" applyAlignment="0">
      <protection locked="0"/>
    </xf>
    <xf numFmtId="43" fontId="32" fillId="0" borderId="0" applyFont="0" applyFill="0" applyBorder="0" applyAlignment="0" applyProtection="0"/>
    <xf numFmtId="43" fontId="32" fillId="0" borderId="0" applyFont="0" applyFill="0" applyBorder="0" applyAlignment="0" applyProtection="0"/>
    <xf numFmtId="43" fontId="31" fillId="0" borderId="0" quotePrefix="1" applyFont="0" applyFill="0" applyBorder="0" applyAlignment="0">
      <protection locked="0"/>
    </xf>
    <xf numFmtId="43" fontId="1" fillId="0" borderId="0" applyFont="0" applyFill="0" applyBorder="0" applyAlignment="0" applyProtection="0"/>
  </cellStyleXfs>
  <cellXfs count="675">
    <xf numFmtId="0" fontId="0" fillId="0" borderId="0" xfId="0"/>
    <xf numFmtId="0" fontId="0" fillId="0" borderId="0" xfId="0" applyAlignment="1">
      <alignment vertical="top"/>
    </xf>
    <xf numFmtId="0" fontId="0" fillId="0" borderId="0" xfId="0" applyAlignment="1">
      <alignment vertical="center"/>
    </xf>
    <xf numFmtId="0" fontId="3" fillId="0" borderId="0" xfId="0" applyFont="1" applyAlignment="1">
      <alignment vertical="center"/>
    </xf>
    <xf numFmtId="0" fontId="0" fillId="0" borderId="0" xfId="0" applyAlignment="1">
      <alignment horizontal="center" vertical="center"/>
    </xf>
    <xf numFmtId="0" fontId="2" fillId="0" borderId="0" xfId="0" applyFont="1" applyAlignment="1">
      <alignment horizontal="right" vertical="center"/>
    </xf>
    <xf numFmtId="167" fontId="0" fillId="0" borderId="0" xfId="0" applyNumberFormat="1" applyAlignment="1">
      <alignment horizontal="left" vertical="center"/>
    </xf>
    <xf numFmtId="0" fontId="3" fillId="0" borderId="1" xfId="0" applyFont="1" applyBorder="1" applyAlignment="1">
      <alignment vertical="center"/>
    </xf>
    <xf numFmtId="0" fontId="0" fillId="0" borderId="1" xfId="0" applyBorder="1" applyAlignment="1">
      <alignment vertical="center"/>
    </xf>
    <xf numFmtId="0" fontId="0" fillId="2" borderId="1" xfId="0" applyFill="1" applyBorder="1" applyAlignment="1">
      <alignment horizontal="center" vertical="center" wrapText="1"/>
    </xf>
    <xf numFmtId="0" fontId="3" fillId="2" borderId="1" xfId="0" applyFont="1" applyFill="1" applyBorder="1" applyAlignment="1">
      <alignment vertical="center"/>
    </xf>
    <xf numFmtId="0" fontId="6" fillId="0" borderId="0" xfId="0" applyFont="1" applyAlignment="1">
      <alignment vertical="center"/>
    </xf>
    <xf numFmtId="0" fontId="3" fillId="2" borderId="3" xfId="0" applyFont="1" applyFill="1" applyBorder="1" applyAlignment="1">
      <alignment vertical="center"/>
    </xf>
    <xf numFmtId="0" fontId="0" fillId="2" borderId="4" xfId="0" applyFill="1" applyBorder="1" applyAlignment="1">
      <alignment vertical="center"/>
    </xf>
    <xf numFmtId="0" fontId="0" fillId="2" borderId="1" xfId="0" applyFill="1" applyBorder="1" applyAlignment="1">
      <alignment horizontal="center" vertical="center"/>
    </xf>
    <xf numFmtId="0" fontId="3" fillId="0" borderId="3" xfId="0" applyFont="1" applyBorder="1" applyAlignment="1">
      <alignment vertical="center"/>
    </xf>
    <xf numFmtId="0" fontId="0" fillId="0" borderId="1" xfId="0" applyBorder="1" applyAlignment="1">
      <alignment horizontal="center" vertical="center"/>
    </xf>
    <xf numFmtId="0" fontId="3" fillId="0" borderId="7" xfId="0" applyFont="1" applyBorder="1" applyAlignment="1">
      <alignment vertical="center"/>
    </xf>
    <xf numFmtId="0" fontId="3" fillId="0" borderId="8" xfId="0" applyFont="1" applyBorder="1" applyAlignment="1">
      <alignment vertical="center"/>
    </xf>
    <xf numFmtId="0" fontId="0" fillId="0" borderId="0" xfId="0" applyFill="1" applyBorder="1" applyAlignment="1">
      <alignment vertical="center"/>
    </xf>
    <xf numFmtId="0" fontId="0" fillId="0" borderId="0" xfId="0" applyFill="1" applyBorder="1" applyAlignment="1">
      <alignment horizontal="right" vertical="center"/>
    </xf>
    <xf numFmtId="0" fontId="0" fillId="0" borderId="0" xfId="0" applyFill="1" applyAlignment="1">
      <alignment vertical="center"/>
    </xf>
    <xf numFmtId="0" fontId="3" fillId="0" borderId="5" xfId="0" applyFont="1" applyBorder="1" applyAlignment="1">
      <alignment horizontal="center" vertical="center"/>
    </xf>
    <xf numFmtId="0" fontId="2" fillId="0" borderId="0" xfId="0" applyFont="1" applyAlignment="1">
      <alignment horizontal="right" vertical="top"/>
    </xf>
    <xf numFmtId="0" fontId="3" fillId="2" borderId="9" xfId="0" applyFont="1" applyFill="1" applyBorder="1" applyAlignment="1">
      <alignment vertical="center"/>
    </xf>
    <xf numFmtId="0" fontId="3" fillId="2" borderId="12" xfId="0" applyFont="1" applyFill="1" applyBorder="1" applyAlignment="1">
      <alignment vertical="center"/>
    </xf>
    <xf numFmtId="4" fontId="3" fillId="0" borderId="1" xfId="0" applyNumberFormat="1" applyFont="1" applyBorder="1" applyAlignment="1">
      <alignment vertical="center"/>
    </xf>
    <xf numFmtId="0" fontId="7" fillId="2" borderId="1" xfId="0" applyFont="1" applyFill="1" applyBorder="1" applyAlignment="1">
      <alignment horizontal="center" vertical="center"/>
    </xf>
    <xf numFmtId="0" fontId="7" fillId="0" borderId="0" xfId="0" applyFont="1" applyAlignment="1">
      <alignment vertical="center"/>
    </xf>
    <xf numFmtId="4" fontId="0" fillId="0" borderId="1" xfId="0" applyNumberFormat="1" applyBorder="1" applyAlignment="1">
      <alignment vertical="center"/>
    </xf>
    <xf numFmtId="0" fontId="7" fillId="2" borderId="1" xfId="0" applyFont="1" applyFill="1" applyBorder="1" applyAlignment="1">
      <alignment horizontal="center" vertical="center" wrapText="1"/>
    </xf>
    <xf numFmtId="2" fontId="3" fillId="0" borderId="1" xfId="0" applyNumberFormat="1" applyFont="1" applyBorder="1" applyAlignment="1">
      <alignment vertical="center"/>
    </xf>
    <xf numFmtId="2" fontId="3" fillId="0" borderId="1" xfId="0" applyNumberFormat="1" applyFont="1" applyBorder="1" applyAlignment="1">
      <alignment horizontal="center" vertical="center"/>
    </xf>
    <xf numFmtId="0" fontId="7" fillId="2" borderId="5" xfId="0" applyFont="1" applyFill="1" applyBorder="1" applyAlignment="1">
      <alignment horizontal="center" vertical="center"/>
    </xf>
    <xf numFmtId="0" fontId="0" fillId="2" borderId="6" xfId="0" applyFill="1" applyBorder="1" applyAlignment="1">
      <alignment horizontal="center" vertical="center"/>
    </xf>
    <xf numFmtId="170" fontId="0" fillId="0" borderId="1" xfId="0" applyNumberFormat="1" applyBorder="1" applyAlignment="1">
      <alignment vertical="center"/>
    </xf>
    <xf numFmtId="0" fontId="0" fillId="3" borderId="1" xfId="0" applyFill="1" applyBorder="1" applyAlignment="1">
      <alignment vertical="center"/>
    </xf>
    <xf numFmtId="2" fontId="0" fillId="0" borderId="1" xfId="0" applyNumberFormat="1" applyBorder="1" applyAlignment="1">
      <alignment vertical="center"/>
    </xf>
    <xf numFmtId="171" fontId="7" fillId="2" borderId="1" xfId="0" applyNumberFormat="1" applyFont="1" applyFill="1" applyBorder="1" applyAlignment="1">
      <alignment horizontal="center" vertical="center"/>
    </xf>
    <xf numFmtId="0" fontId="0" fillId="0" borderId="0" xfId="0" applyAlignment="1">
      <alignment horizontal="center"/>
    </xf>
    <xf numFmtId="2"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5" fillId="0" borderId="0" xfId="0" applyFont="1" applyBorder="1" applyAlignment="1">
      <alignment horizontal="center" vertical="center"/>
    </xf>
    <xf numFmtId="0" fontId="0" fillId="0" borderId="0" xfId="0" applyBorder="1" applyAlignment="1">
      <alignment horizontal="center" vertical="center"/>
    </xf>
    <xf numFmtId="170" fontId="3" fillId="0" borderId="1" xfId="0" applyNumberFormat="1" applyFont="1" applyBorder="1" applyAlignment="1">
      <alignment vertical="center"/>
    </xf>
    <xf numFmtId="169" fontId="3" fillId="0" borderId="1" xfId="0" applyNumberFormat="1" applyFont="1" applyBorder="1" applyAlignment="1">
      <alignment vertical="center"/>
    </xf>
    <xf numFmtId="166" fontId="3" fillId="0" borderId="1" xfId="0" applyNumberFormat="1" applyFont="1" applyBorder="1" applyAlignment="1">
      <alignment vertical="center"/>
    </xf>
    <xf numFmtId="166" fontId="3" fillId="2" borderId="1" xfId="0" applyNumberFormat="1" applyFont="1" applyFill="1" applyBorder="1" applyAlignment="1">
      <alignment vertical="center"/>
    </xf>
    <xf numFmtId="173" fontId="3" fillId="0" borderId="1" xfId="0" applyNumberFormat="1" applyFont="1" applyBorder="1" applyAlignment="1">
      <alignment vertical="center"/>
    </xf>
    <xf numFmtId="166" fontId="3" fillId="0" borderId="1" xfId="0" applyNumberFormat="1" applyFont="1" applyBorder="1" applyAlignment="1">
      <alignment horizontal="center" vertical="center"/>
    </xf>
    <xf numFmtId="174" fontId="3" fillId="0" borderId="1" xfId="1" applyNumberFormat="1" applyFont="1" applyBorder="1" applyAlignment="1">
      <alignment vertical="center"/>
    </xf>
    <xf numFmtId="0" fontId="0" fillId="0" borderId="0" xfId="0" applyAlignment="1">
      <alignment horizontal="right" vertical="center"/>
    </xf>
    <xf numFmtId="169" fontId="3" fillId="0" borderId="1" xfId="0" applyNumberFormat="1" applyFont="1" applyBorder="1" applyAlignment="1">
      <alignment horizontal="center" vertical="center"/>
    </xf>
    <xf numFmtId="0" fontId="0" fillId="0" borderId="0" xfId="0" applyAlignment="1">
      <alignment vertical="top" wrapText="1"/>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2" fontId="3" fillId="0" borderId="1" xfId="0" applyNumberFormat="1"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vertical="center"/>
    </xf>
    <xf numFmtId="0" fontId="3" fillId="0" borderId="4" xfId="0" applyFont="1" applyBorder="1" applyAlignment="1">
      <alignment vertical="center"/>
    </xf>
    <xf numFmtId="2" fontId="3" fillId="0" borderId="1" xfId="0" applyNumberFormat="1" applyFont="1" applyBorder="1" applyAlignment="1">
      <alignment horizontal="center" vertical="center"/>
    </xf>
    <xf numFmtId="0" fontId="3" fillId="0" borderId="1" xfId="0" applyFont="1" applyBorder="1" applyAlignment="1">
      <alignment horizontal="center" vertical="center"/>
    </xf>
    <xf numFmtId="4" fontId="3" fillId="0" borderId="6" xfId="0" applyNumberFormat="1" applyFont="1" applyBorder="1" applyAlignment="1">
      <alignment vertical="center"/>
    </xf>
    <xf numFmtId="0" fontId="3" fillId="0" borderId="0" xfId="0" applyFont="1" applyAlignment="1">
      <alignment horizontal="center" vertical="center"/>
    </xf>
    <xf numFmtId="0" fontId="3" fillId="2" borderId="1" xfId="0" applyFont="1" applyFill="1" applyBorder="1" applyAlignment="1">
      <alignment horizontal="center" vertical="center"/>
    </xf>
    <xf numFmtId="0" fontId="0" fillId="2" borderId="1" xfId="0" applyFill="1" applyBorder="1" applyAlignment="1">
      <alignment horizontal="left" vertical="center"/>
    </xf>
    <xf numFmtId="2" fontId="3" fillId="2" borderId="1" xfId="0" applyNumberFormat="1" applyFont="1" applyFill="1" applyBorder="1" applyAlignment="1">
      <alignment horizontal="center" vertical="center"/>
    </xf>
    <xf numFmtId="2" fontId="10" fillId="0" borderId="1" xfId="0" applyNumberFormat="1" applyFont="1" applyBorder="1" applyAlignment="1">
      <alignment horizontal="center" vertical="center"/>
    </xf>
    <xf numFmtId="0" fontId="8" fillId="0" borderId="0" xfId="0" applyFont="1" applyAlignment="1">
      <alignment vertical="center"/>
    </xf>
    <xf numFmtId="0" fontId="11" fillId="0" borderId="0" xfId="0" applyFont="1" applyAlignment="1">
      <alignment horizontal="right" vertical="center"/>
    </xf>
    <xf numFmtId="2" fontId="3" fillId="2" borderId="1" xfId="0" applyNumberFormat="1" applyFont="1" applyFill="1" applyBorder="1" applyAlignment="1">
      <alignment vertical="center"/>
    </xf>
    <xf numFmtId="0" fontId="3" fillId="0" borderId="1" xfId="0" applyFont="1" applyBorder="1" applyAlignment="1">
      <alignment vertical="center"/>
    </xf>
    <xf numFmtId="0" fontId="0" fillId="2" borderId="2" xfId="0" applyFont="1" applyFill="1" applyBorder="1" applyAlignment="1">
      <alignment horizontal="center" vertical="center"/>
    </xf>
    <xf numFmtId="0" fontId="0" fillId="2" borderId="3" xfId="0" applyFont="1" applyFill="1" applyBorder="1" applyAlignment="1">
      <alignment horizontal="center" vertical="center"/>
    </xf>
    <xf numFmtId="169" fontId="0" fillId="2" borderId="3" xfId="0" applyNumberFormat="1" applyFont="1" applyFill="1" applyBorder="1" applyAlignment="1">
      <alignment vertical="center"/>
    </xf>
    <xf numFmtId="170" fontId="0" fillId="2" borderId="3" xfId="0" applyNumberFormat="1" applyFont="1" applyFill="1" applyBorder="1" applyAlignment="1">
      <alignment vertical="center"/>
    </xf>
    <xf numFmtId="166" fontId="0" fillId="2" borderId="4" xfId="0" applyNumberFormat="1" applyFont="1" applyFill="1" applyBorder="1" applyAlignment="1">
      <alignment horizontal="right" vertical="center"/>
    </xf>
    <xf numFmtId="166" fontId="0" fillId="2" borderId="1" xfId="0" applyNumberFormat="1" applyFont="1" applyFill="1" applyBorder="1" applyAlignment="1">
      <alignment vertical="center"/>
    </xf>
    <xf numFmtId="166" fontId="3" fillId="2" borderId="6" xfId="0" applyNumberFormat="1" applyFont="1" applyFill="1" applyBorder="1" applyAlignment="1">
      <alignment vertical="center"/>
    </xf>
    <xf numFmtId="169" fontId="3" fillId="0" borderId="5" xfId="0" applyNumberFormat="1" applyFont="1" applyBorder="1" applyAlignment="1">
      <alignment vertical="center"/>
    </xf>
    <xf numFmtId="166" fontId="3" fillId="0" borderId="5" xfId="0" applyNumberFormat="1" applyFont="1" applyBorder="1" applyAlignment="1">
      <alignment vertical="center"/>
    </xf>
    <xf numFmtId="3" fontId="3" fillId="0" borderId="1" xfId="0" applyNumberFormat="1" applyFont="1" applyBorder="1" applyAlignment="1">
      <alignment vertical="center"/>
    </xf>
    <xf numFmtId="4" fontId="3" fillId="0" borderId="1" xfId="0" applyNumberFormat="1" applyFont="1" applyBorder="1" applyAlignment="1">
      <alignment horizontal="center" vertical="center"/>
    </xf>
    <xf numFmtId="164" fontId="3" fillId="0" borderId="1" xfId="0" applyNumberFormat="1" applyFont="1" applyBorder="1" applyAlignment="1">
      <alignment vertical="center"/>
    </xf>
    <xf numFmtId="0" fontId="0" fillId="0" borderId="0" xfId="0" applyFont="1" applyAlignment="1">
      <alignment vertical="center"/>
    </xf>
    <xf numFmtId="164" fontId="3" fillId="0" borderId="5" xfId="0" applyNumberFormat="1" applyFont="1" applyBorder="1" applyAlignment="1">
      <alignment vertical="center"/>
    </xf>
    <xf numFmtId="3" fontId="3" fillId="0" borderId="5" xfId="0" applyNumberFormat="1" applyFont="1" applyBorder="1" applyAlignment="1">
      <alignment vertical="center"/>
    </xf>
    <xf numFmtId="0" fontId="3" fillId="0" borderId="0" xfId="0" applyFont="1" applyAlignment="1">
      <alignment vertical="top"/>
    </xf>
    <xf numFmtId="166" fontId="3" fillId="0" borderId="5" xfId="0" applyNumberFormat="1" applyFont="1" applyBorder="1" applyAlignment="1">
      <alignment horizontal="center" vertical="center"/>
    </xf>
    <xf numFmtId="0" fontId="3" fillId="0" borderId="0" xfId="0" applyFont="1" applyAlignment="1">
      <alignment horizontal="left" vertical="top" indent="2"/>
    </xf>
    <xf numFmtId="1" fontId="3" fillId="0" borderId="1" xfId="0" applyNumberFormat="1" applyFont="1" applyBorder="1" applyAlignment="1">
      <alignment horizontal="center" vertical="center"/>
    </xf>
    <xf numFmtId="166" fontId="0" fillId="0" borderId="0" xfId="0" applyNumberFormat="1" applyAlignment="1">
      <alignment vertical="center"/>
    </xf>
    <xf numFmtId="166" fontId="3" fillId="0" borderId="6" xfId="0" applyNumberFormat="1" applyFont="1" applyBorder="1" applyAlignment="1">
      <alignment vertical="center"/>
    </xf>
    <xf numFmtId="174" fontId="3" fillId="0" borderId="5" xfId="1" applyNumberFormat="1" applyFont="1" applyBorder="1" applyAlignment="1">
      <alignment vertical="center"/>
    </xf>
    <xf numFmtId="0" fontId="3" fillId="2" borderId="6" xfId="0" applyFont="1" applyFill="1" applyBorder="1" applyAlignment="1">
      <alignment horizontal="center" vertical="center"/>
    </xf>
    <xf numFmtId="4" fontId="3" fillId="2" borderId="6" xfId="0" applyNumberFormat="1" applyFont="1" applyFill="1" applyBorder="1" applyAlignment="1">
      <alignment vertical="center"/>
    </xf>
    <xf numFmtId="176" fontId="0" fillId="0" borderId="0" xfId="0" applyNumberFormat="1" applyAlignment="1">
      <alignment vertical="top"/>
    </xf>
    <xf numFmtId="3" fontId="3" fillId="0" borderId="1" xfId="1" applyNumberFormat="1" applyFont="1" applyBorder="1" applyAlignment="1">
      <alignment horizontal="center" vertical="center"/>
    </xf>
    <xf numFmtId="165" fontId="3" fillId="0" borderId="1" xfId="0" applyNumberFormat="1" applyFont="1" applyBorder="1" applyAlignment="1">
      <alignment vertical="center"/>
    </xf>
    <xf numFmtId="3" fontId="3" fillId="0" borderId="5" xfId="0" applyNumberFormat="1" applyFont="1"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xf>
    <xf numFmtId="2"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171" fontId="7" fillId="0" borderId="0" xfId="0" applyNumberFormat="1" applyFont="1" applyFill="1" applyBorder="1" applyAlignment="1">
      <alignment horizontal="center" vertical="center"/>
    </xf>
    <xf numFmtId="0" fontId="0" fillId="2" borderId="1" xfId="0" applyFill="1" applyBorder="1" applyAlignment="1">
      <alignment horizontal="center" vertical="center"/>
    </xf>
    <xf numFmtId="0" fontId="3" fillId="0" borderId="2" xfId="0" applyFont="1" applyBorder="1" applyAlignment="1">
      <alignment vertical="center"/>
    </xf>
    <xf numFmtId="0" fontId="3" fillId="0" borderId="1" xfId="0" applyFont="1" applyBorder="1" applyAlignment="1">
      <alignment horizontal="center" vertical="center"/>
    </xf>
    <xf numFmtId="0" fontId="3" fillId="0" borderId="1" xfId="0" applyFont="1" applyFill="1" applyBorder="1" applyAlignment="1">
      <alignment horizontal="center" vertical="center"/>
    </xf>
    <xf numFmtId="0" fontId="3" fillId="0" borderId="5" xfId="0" applyFont="1" applyFill="1" applyBorder="1" applyAlignment="1">
      <alignment horizontal="center" vertical="center"/>
    </xf>
    <xf numFmtId="0" fontId="0" fillId="0" borderId="0" xfId="0" applyFill="1" applyAlignment="1">
      <alignment horizontal="left" vertical="center"/>
    </xf>
    <xf numFmtId="0" fontId="0" fillId="2" borderId="1" xfId="0" applyFill="1" applyBorder="1" applyAlignment="1">
      <alignment horizontal="center" vertical="center"/>
    </xf>
    <xf numFmtId="0" fontId="3" fillId="0" borderId="1" xfId="0" applyFont="1" applyBorder="1" applyAlignment="1">
      <alignment horizontal="center" vertical="center"/>
    </xf>
    <xf numFmtId="168" fontId="3" fillId="0" borderId="6" xfId="0" applyNumberFormat="1" applyFont="1" applyBorder="1" applyAlignment="1">
      <alignment vertical="center"/>
    </xf>
    <xf numFmtId="0" fontId="0" fillId="2" borderId="2" xfId="0" applyFill="1" applyBorder="1" applyAlignment="1">
      <alignment vertical="center"/>
    </xf>
    <xf numFmtId="0" fontId="0" fillId="2" borderId="3" xfId="0" applyFill="1" applyBorder="1" applyAlignment="1">
      <alignment vertical="center"/>
    </xf>
    <xf numFmtId="0" fontId="0" fillId="2" borderId="3" xfId="0" applyFill="1" applyBorder="1" applyAlignment="1">
      <alignment horizontal="right" vertical="center"/>
    </xf>
    <xf numFmtId="0" fontId="14" fillId="0" borderId="1" xfId="3" applyFont="1" applyBorder="1" applyAlignment="1">
      <alignment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vertical="center"/>
    </xf>
    <xf numFmtId="0" fontId="0" fillId="2" borderId="3" xfId="0" applyFont="1" applyFill="1" applyBorder="1" applyAlignment="1">
      <alignment vertical="center"/>
    </xf>
    <xf numFmtId="0" fontId="0" fillId="2" borderId="2" xfId="0" applyFont="1" applyFill="1" applyBorder="1" applyAlignment="1">
      <alignment vertical="center"/>
    </xf>
    <xf numFmtId="49" fontId="0" fillId="0" borderId="1" xfId="0" applyNumberFormat="1" applyBorder="1" applyAlignment="1">
      <alignment horizontal="center" vertical="center"/>
    </xf>
    <xf numFmtId="0" fontId="0" fillId="0" borderId="6" xfId="0" applyBorder="1" applyAlignment="1">
      <alignment horizontal="center" vertical="center"/>
    </xf>
    <xf numFmtId="4" fontId="0" fillId="0" borderId="6" xfId="0" applyNumberFormat="1" applyBorder="1" applyAlignment="1">
      <alignment vertical="center"/>
    </xf>
    <xf numFmtId="17" fontId="0" fillId="0" borderId="1" xfId="0" applyNumberFormat="1" applyBorder="1"/>
    <xf numFmtId="0" fontId="0" fillId="0" borderId="1" xfId="0" applyBorder="1"/>
    <xf numFmtId="174" fontId="0" fillId="0" borderId="1" xfId="1" applyNumberFormat="1" applyFont="1" applyBorder="1"/>
    <xf numFmtId="4" fontId="0" fillId="0" borderId="1" xfId="0" applyNumberFormat="1" applyBorder="1"/>
    <xf numFmtId="0" fontId="0" fillId="0" borderId="0" xfId="0" applyFill="1"/>
    <xf numFmtId="170" fontId="3" fillId="0" borderId="5" xfId="0" applyNumberFormat="1" applyFont="1" applyBorder="1" applyAlignment="1">
      <alignment vertical="center"/>
    </xf>
    <xf numFmtId="0" fontId="0" fillId="2" borderId="3" xfId="0" applyFont="1" applyFill="1" applyBorder="1" applyAlignment="1">
      <alignment horizontal="right" vertical="center"/>
    </xf>
    <xf numFmtId="2" fontId="3" fillId="0" borderId="5" xfId="0" applyNumberFormat="1" applyFont="1" applyBorder="1" applyAlignment="1">
      <alignment vertical="center"/>
    </xf>
    <xf numFmtId="173" fontId="3" fillId="0" borderId="5" xfId="0" applyNumberFormat="1" applyFont="1" applyBorder="1" applyAlignment="1">
      <alignment vertical="center"/>
    </xf>
    <xf numFmtId="0" fontId="0" fillId="2" borderId="4" xfId="0" applyFill="1" applyBorder="1" applyAlignment="1">
      <alignment horizontal="right" vertical="center"/>
    </xf>
    <xf numFmtId="166" fontId="0" fillId="2" borderId="1" xfId="0" applyNumberFormat="1" applyFill="1" applyBorder="1" applyAlignment="1">
      <alignment vertical="center"/>
    </xf>
    <xf numFmtId="174" fontId="0" fillId="2" borderId="1" xfId="1" applyNumberFormat="1" applyFont="1" applyFill="1" applyBorder="1" applyAlignment="1">
      <alignment vertical="center"/>
    </xf>
    <xf numFmtId="4" fontId="0" fillId="2" borderId="1" xfId="0" applyNumberFormat="1" applyFill="1" applyBorder="1" applyAlignment="1">
      <alignment vertical="center"/>
    </xf>
    <xf numFmtId="175" fontId="3" fillId="0" borderId="1" xfId="0" applyNumberFormat="1" applyFont="1" applyBorder="1" applyAlignment="1">
      <alignment horizontal="center" vertical="center"/>
    </xf>
    <xf numFmtId="175" fontId="3" fillId="0" borderId="1" xfId="0" applyNumberFormat="1" applyFont="1" applyBorder="1" applyAlignment="1">
      <alignment vertical="center"/>
    </xf>
    <xf numFmtId="166" fontId="3" fillId="0" borderId="1" xfId="0" applyNumberFormat="1" applyFont="1" applyFill="1" applyBorder="1" applyAlignment="1">
      <alignment horizontal="center" vertical="center"/>
    </xf>
    <xf numFmtId="166" fontId="3" fillId="0" borderId="1" xfId="0" applyNumberFormat="1" applyFont="1" applyFill="1" applyBorder="1" applyAlignment="1">
      <alignment vertical="center"/>
    </xf>
    <xf numFmtId="166" fontId="3" fillId="0" borderId="5" xfId="0" applyNumberFormat="1" applyFont="1" applyFill="1" applyBorder="1" applyAlignment="1">
      <alignment horizontal="center" vertical="center"/>
    </xf>
    <xf numFmtId="166" fontId="3" fillId="0" borderId="5" xfId="0" applyNumberFormat="1" applyFont="1" applyFill="1" applyBorder="1" applyAlignment="1">
      <alignment vertical="center"/>
    </xf>
    <xf numFmtId="0" fontId="3" fillId="0" borderId="9" xfId="0" applyFont="1" applyBorder="1" applyAlignment="1">
      <alignment vertical="center"/>
    </xf>
    <xf numFmtId="0" fontId="3" fillId="0" borderId="10" xfId="0" applyFont="1" applyBorder="1" applyAlignment="1">
      <alignment vertical="center"/>
    </xf>
    <xf numFmtId="3" fontId="3" fillId="0" borderId="6" xfId="0" applyNumberFormat="1" applyFont="1" applyBorder="1" applyAlignment="1">
      <alignment horizontal="center" vertical="center"/>
    </xf>
    <xf numFmtId="1" fontId="3" fillId="0" borderId="6" xfId="0" applyNumberFormat="1" applyFont="1" applyBorder="1" applyAlignment="1">
      <alignment horizontal="center" vertical="center"/>
    </xf>
    <xf numFmtId="1" fontId="3" fillId="0" borderId="5" xfId="0" applyNumberFormat="1" applyFont="1" applyBorder="1" applyAlignment="1">
      <alignment horizontal="center" vertical="center"/>
    </xf>
    <xf numFmtId="4" fontId="0" fillId="2" borderId="1" xfId="0" applyNumberFormat="1" applyFill="1" applyBorder="1" applyAlignment="1">
      <alignment vertical="center" wrapText="1"/>
    </xf>
    <xf numFmtId="4" fontId="3" fillId="2" borderId="1" xfId="0" applyNumberFormat="1" applyFont="1" applyFill="1" applyBorder="1" applyAlignment="1">
      <alignment vertical="center"/>
    </xf>
    <xf numFmtId="165" fontId="0" fillId="2" borderId="1" xfId="0" applyNumberFormat="1" applyFill="1" applyBorder="1" applyAlignment="1">
      <alignment vertical="center"/>
    </xf>
    <xf numFmtId="3" fontId="0" fillId="2" borderId="1" xfId="0" applyNumberFormat="1"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3" fillId="0" borderId="2" xfId="0" applyFont="1" applyBorder="1" applyAlignment="1">
      <alignment vertical="center"/>
    </xf>
    <xf numFmtId="0" fontId="3" fillId="0" borderId="4" xfId="0" applyFont="1" applyBorder="1" applyAlignment="1">
      <alignment vertical="center"/>
    </xf>
    <xf numFmtId="0" fontId="3" fillId="2" borderId="2" xfId="0" applyFont="1" applyFill="1" applyBorder="1" applyAlignment="1">
      <alignment vertical="center"/>
    </xf>
    <xf numFmtId="0" fontId="4" fillId="0" borderId="0" xfId="0" applyFont="1" applyFill="1" applyBorder="1" applyAlignment="1">
      <alignment vertical="center"/>
    </xf>
    <xf numFmtId="0" fontId="15" fillId="0" borderId="0" xfId="0" applyFont="1" applyAlignment="1">
      <alignment vertical="center"/>
    </xf>
    <xf numFmtId="9" fontId="3" fillId="0" borderId="1" xfId="1" applyFont="1" applyBorder="1" applyAlignment="1">
      <alignment vertical="center"/>
    </xf>
    <xf numFmtId="9" fontId="3" fillId="2" borderId="1" xfId="1" applyFont="1" applyFill="1" applyBorder="1" applyAlignment="1">
      <alignment vertical="center"/>
    </xf>
    <xf numFmtId="9" fontId="0" fillId="2" borderId="1" xfId="1" applyFont="1" applyFill="1" applyBorder="1" applyAlignment="1">
      <alignment vertical="center"/>
    </xf>
    <xf numFmtId="2" fontId="0" fillId="2" borderId="1" xfId="0" applyNumberFormat="1" applyFill="1" applyBorder="1" applyAlignment="1">
      <alignment vertical="center"/>
    </xf>
    <xf numFmtId="0" fontId="0" fillId="2" borderId="1" xfId="0" applyFill="1" applyBorder="1" applyAlignment="1">
      <alignment vertical="center"/>
    </xf>
    <xf numFmtId="0" fontId="0" fillId="2" borderId="1" xfId="0" applyFont="1" applyFill="1" applyBorder="1" applyAlignment="1">
      <alignment vertical="center"/>
    </xf>
    <xf numFmtId="0" fontId="0" fillId="0" borderId="2" xfId="0" applyBorder="1" applyAlignment="1">
      <alignment vertical="center"/>
    </xf>
    <xf numFmtId="0" fontId="0" fillId="0" borderId="3" xfId="0" applyBorder="1" applyAlignment="1">
      <alignment horizontal="right" vertical="center"/>
    </xf>
    <xf numFmtId="172" fontId="0" fillId="0" borderId="1" xfId="1" applyNumberFormat="1" applyFont="1" applyBorder="1" applyAlignment="1">
      <alignment vertical="center"/>
    </xf>
    <xf numFmtId="177" fontId="0" fillId="0" borderId="1" xfId="0" applyNumberFormat="1" applyBorder="1" applyAlignment="1">
      <alignment vertical="center"/>
    </xf>
    <xf numFmtId="0" fontId="0" fillId="0" borderId="2" xfId="0" applyBorder="1" applyAlignment="1">
      <alignment horizontal="right" vertical="center" wrapText="1"/>
    </xf>
    <xf numFmtId="0" fontId="0" fillId="0" borderId="3" xfId="0" applyBorder="1" applyAlignment="1">
      <alignment horizontal="right" vertical="center" wrapText="1"/>
    </xf>
    <xf numFmtId="165" fontId="0" fillId="0" borderId="1" xfId="2" applyFont="1" applyBorder="1" applyAlignment="1">
      <alignment vertical="top"/>
    </xf>
    <xf numFmtId="0" fontId="0" fillId="0" borderId="4" xfId="0" applyBorder="1" applyAlignment="1">
      <alignment horizontal="right" vertical="center"/>
    </xf>
    <xf numFmtId="4" fontId="3" fillId="0" borderId="6" xfId="0" applyNumberFormat="1" applyFont="1" applyFill="1" applyBorder="1" applyAlignment="1">
      <alignment vertical="center"/>
    </xf>
    <xf numFmtId="4" fontId="3" fillId="0" borderId="1" xfId="0" applyNumberFormat="1" applyFont="1" applyFill="1" applyBorder="1" applyAlignment="1">
      <alignment vertical="center"/>
    </xf>
    <xf numFmtId="166" fontId="3" fillId="0" borderId="1" xfId="0" applyNumberFormat="1" applyFont="1" applyFill="1" applyBorder="1" applyAlignment="1">
      <alignment horizontal="center" vertical="top"/>
    </xf>
    <xf numFmtId="166" fontId="3" fillId="0" borderId="1" xfId="0" applyNumberFormat="1" applyFont="1" applyFill="1" applyBorder="1" applyAlignment="1">
      <alignment vertical="top"/>
    </xf>
    <xf numFmtId="166" fontId="3" fillId="0" borderId="1" xfId="0" applyNumberFormat="1" applyFont="1" applyBorder="1" applyAlignment="1">
      <alignment vertical="top"/>
    </xf>
    <xf numFmtId="174" fontId="3" fillId="0" borderId="1" xfId="1" applyNumberFormat="1" applyFont="1" applyBorder="1" applyAlignment="1">
      <alignment vertical="top"/>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2" fontId="3" fillId="0" borderId="1" xfId="0" applyNumberFormat="1" applyFont="1" applyBorder="1" applyAlignment="1">
      <alignment horizontal="center" vertical="center"/>
    </xf>
    <xf numFmtId="0" fontId="0" fillId="0" borderId="1" xfId="0" applyBorder="1" applyAlignment="1">
      <alignment horizontal="center" vertical="center"/>
    </xf>
    <xf numFmtId="0" fontId="3" fillId="0" borderId="11" xfId="0" applyFont="1" applyBorder="1" applyAlignment="1">
      <alignment horizontal="center" vertical="center"/>
    </xf>
    <xf numFmtId="2" fontId="3" fillId="0" borderId="1" xfId="0" applyNumberFormat="1" applyFont="1" applyBorder="1" applyAlignment="1">
      <alignment horizontal="center" vertical="center"/>
    </xf>
    <xf numFmtId="10" fontId="3" fillId="0" borderId="6" xfId="1" applyNumberFormat="1" applyFont="1" applyBorder="1" applyAlignment="1">
      <alignment vertical="center"/>
    </xf>
    <xf numFmtId="14" fontId="0" fillId="0" borderId="0" xfId="0" applyNumberFormat="1"/>
    <xf numFmtId="0" fontId="0" fillId="0" borderId="1" xfId="0" applyFill="1" applyBorder="1" applyAlignment="1">
      <alignment horizontal="center" vertical="center"/>
    </xf>
    <xf numFmtId="169" fontId="0" fillId="0" borderId="1" xfId="0" applyNumberFormat="1" applyFill="1" applyBorder="1" applyAlignment="1">
      <alignment vertical="center"/>
    </xf>
    <xf numFmtId="0" fontId="16" fillId="0" borderId="0" xfId="0" applyFont="1" applyAlignment="1"/>
    <xf numFmtId="49" fontId="0" fillId="2" borderId="1" xfId="0" applyNumberFormat="1" applyFont="1" applyFill="1" applyBorder="1" applyAlignment="1">
      <alignment vertical="center" wrapText="1"/>
    </xf>
    <xf numFmtId="0" fontId="0" fillId="2" borderId="1" xfId="0" applyFont="1" applyFill="1" applyBorder="1" applyAlignment="1">
      <alignment horizontal="center" vertical="center" wrapText="1"/>
    </xf>
    <xf numFmtId="0" fontId="0" fillId="2" borderId="1" xfId="0" applyFont="1" applyFill="1" applyBorder="1" applyAlignment="1">
      <alignment vertical="center" wrapText="1"/>
    </xf>
    <xf numFmtId="0" fontId="0" fillId="2" borderId="6" xfId="0" applyFont="1" applyFill="1" applyBorder="1" applyAlignment="1">
      <alignment vertical="center" wrapText="1"/>
    </xf>
    <xf numFmtId="49" fontId="2" fillId="0" borderId="1" xfId="0" applyNumberFormat="1" applyFont="1" applyBorder="1" applyAlignment="1">
      <alignment vertical="center"/>
    </xf>
    <xf numFmtId="49" fontId="2" fillId="0" borderId="1" xfId="0" applyNumberFormat="1" applyFont="1" applyBorder="1" applyAlignment="1">
      <alignment horizontal="center" vertical="center"/>
    </xf>
    <xf numFmtId="0" fontId="2" fillId="0" borderId="1" xfId="0" applyFont="1" applyFill="1" applyBorder="1" applyAlignment="1">
      <alignment vertical="center"/>
    </xf>
    <xf numFmtId="0" fontId="2" fillId="0" borderId="6" xfId="0" applyFont="1" applyBorder="1" applyAlignment="1">
      <alignment horizontal="center" vertical="center"/>
    </xf>
    <xf numFmtId="4" fontId="2" fillId="0" borderId="6" xfId="0" applyNumberFormat="1" applyFont="1" applyBorder="1" applyAlignment="1">
      <alignment vertical="center"/>
    </xf>
    <xf numFmtId="17" fontId="2" fillId="0" borderId="1" xfId="0" applyNumberFormat="1" applyFont="1" applyBorder="1"/>
    <xf numFmtId="0" fontId="2" fillId="0" borderId="1" xfId="0" applyFont="1" applyBorder="1"/>
    <xf numFmtId="174" fontId="2" fillId="0" borderId="1" xfId="1" applyNumberFormat="1" applyFont="1" applyBorder="1"/>
    <xf numFmtId="4" fontId="2" fillId="0" borderId="1" xfId="0" applyNumberFormat="1" applyFont="1" applyBorder="1"/>
    <xf numFmtId="49" fontId="0" fillId="0" borderId="1" xfId="0" applyNumberFormat="1" applyFill="1" applyBorder="1" applyAlignment="1">
      <alignment vertical="center"/>
    </xf>
    <xf numFmtId="49" fontId="2" fillId="0" borderId="1" xfId="0" applyNumberFormat="1" applyFont="1" applyFill="1" applyBorder="1" applyAlignment="1">
      <alignment vertical="center"/>
    </xf>
    <xf numFmtId="0" fontId="0" fillId="0" borderId="6" xfId="0" applyFill="1" applyBorder="1" applyAlignment="1">
      <alignment horizontal="center" vertical="center"/>
    </xf>
    <xf numFmtId="4" fontId="0" fillId="0" borderId="6" xfId="0" applyNumberFormat="1" applyFill="1" applyBorder="1" applyAlignment="1">
      <alignment vertical="center"/>
    </xf>
    <xf numFmtId="17" fontId="0" fillId="0" borderId="1" xfId="0" applyNumberFormat="1" applyFill="1" applyBorder="1"/>
    <xf numFmtId="174" fontId="0" fillId="0" borderId="1" xfId="1" applyNumberFormat="1" applyFont="1" applyFill="1" applyBorder="1"/>
    <xf numFmtId="4" fontId="0" fillId="0" borderId="1" xfId="0" applyNumberFormat="1" applyFill="1" applyBorder="1"/>
    <xf numFmtId="49" fontId="0" fillId="0" borderId="1" xfId="0" applyNumberFormat="1" applyFill="1" applyBorder="1" applyAlignment="1">
      <alignment horizontal="center" vertical="center"/>
    </xf>
    <xf numFmtId="4" fontId="0" fillId="0" borderId="6" xfId="0" applyNumberFormat="1" applyFont="1" applyBorder="1" applyAlignment="1">
      <alignment vertical="center"/>
    </xf>
    <xf numFmtId="4" fontId="0" fillId="0" borderId="1" xfId="0" applyNumberFormat="1" applyFont="1" applyBorder="1" applyAlignment="1">
      <alignment vertical="center"/>
    </xf>
    <xf numFmtId="0" fontId="3" fillId="0" borderId="1" xfId="0" applyFont="1" applyBorder="1" applyAlignment="1">
      <alignment vertical="center"/>
    </xf>
    <xf numFmtId="0" fontId="0" fillId="2" borderId="1" xfId="0" applyFill="1" applyBorder="1" applyAlignment="1">
      <alignment horizontal="center" vertical="center" wrapText="1"/>
    </xf>
    <xf numFmtId="0" fontId="3" fillId="0" borderId="2" xfId="0" applyFont="1" applyBorder="1" applyAlignment="1">
      <alignment vertical="center"/>
    </xf>
    <xf numFmtId="0" fontId="3" fillId="0" borderId="4" xfId="0" applyFont="1" applyBorder="1" applyAlignment="1">
      <alignment vertical="center"/>
    </xf>
    <xf numFmtId="2" fontId="3" fillId="0" borderId="1" xfId="0" applyNumberFormat="1" applyFont="1" applyBorder="1" applyAlignment="1">
      <alignment horizontal="center" vertical="center"/>
    </xf>
    <xf numFmtId="0" fontId="3" fillId="0" borderId="1" xfId="0" applyFont="1" applyBorder="1" applyAlignment="1">
      <alignment horizontal="center" vertical="center"/>
    </xf>
    <xf numFmtId="2" fontId="3" fillId="0" borderId="1" xfId="0" applyNumberFormat="1" applyFont="1" applyFill="1" applyBorder="1" applyAlignment="1">
      <alignment vertical="center"/>
    </xf>
    <xf numFmtId="166" fontId="3" fillId="0" borderId="6" xfId="0" applyNumberFormat="1" applyFont="1" applyFill="1" applyBorder="1" applyAlignment="1">
      <alignment horizontal="center" vertical="center"/>
    </xf>
    <xf numFmtId="166" fontId="3" fillId="0" borderId="6" xfId="0" applyNumberFormat="1" applyFont="1" applyFill="1" applyBorder="1" applyAlignment="1">
      <alignment vertical="center"/>
    </xf>
    <xf numFmtId="174" fontId="3" fillId="0" borderId="6" xfId="1" applyNumberFormat="1" applyFont="1" applyFill="1" applyBorder="1" applyAlignment="1">
      <alignment vertical="center"/>
    </xf>
    <xf numFmtId="0" fontId="3" fillId="2" borderId="3" xfId="0" applyFont="1" applyFill="1" applyBorder="1" applyAlignment="1">
      <alignment vertical="top"/>
    </xf>
    <xf numFmtId="0" fontId="3" fillId="2" borderId="2" xfId="0" applyFont="1" applyFill="1" applyBorder="1" applyAlignment="1">
      <alignment horizontal="center" vertical="center"/>
    </xf>
    <xf numFmtId="0" fontId="0" fillId="2" borderId="3" xfId="0" applyFont="1" applyFill="1" applyBorder="1" applyAlignment="1">
      <alignment horizontal="right" vertical="top"/>
    </xf>
    <xf numFmtId="0" fontId="3" fillId="2" borderId="2" xfId="0" applyFont="1" applyFill="1" applyBorder="1" applyAlignment="1">
      <alignment vertical="center"/>
    </xf>
    <xf numFmtId="0" fontId="3" fillId="0" borderId="1" xfId="0" applyFont="1" applyFill="1" applyBorder="1" applyAlignment="1">
      <alignment vertical="center"/>
    </xf>
    <xf numFmtId="0" fontId="10" fillId="0" borderId="1" xfId="0" applyFont="1" applyFill="1" applyBorder="1" applyAlignment="1">
      <alignment vertical="center"/>
    </xf>
    <xf numFmtId="165" fontId="3" fillId="2" borderId="1" xfId="0" applyNumberFormat="1" applyFont="1" applyFill="1" applyBorder="1" applyAlignment="1">
      <alignment vertical="center"/>
    </xf>
    <xf numFmtId="3" fontId="3" fillId="2" borderId="1" xfId="1" applyNumberFormat="1" applyFont="1" applyFill="1" applyBorder="1" applyAlignment="1">
      <alignment horizontal="center" vertical="center"/>
    </xf>
    <xf numFmtId="169" fontId="17" fillId="0" borderId="1" xfId="0" applyNumberFormat="1" applyFont="1" applyFill="1" applyBorder="1" applyAlignment="1">
      <alignment vertical="center"/>
    </xf>
    <xf numFmtId="2" fontId="0" fillId="0" borderId="0" xfId="0" applyNumberFormat="1" applyAlignment="1">
      <alignment vertical="center"/>
    </xf>
    <xf numFmtId="2" fontId="0" fillId="0" borderId="0" xfId="0" applyNumberFormat="1" applyAlignment="1">
      <alignment vertical="top"/>
    </xf>
    <xf numFmtId="4" fontId="0" fillId="2" borderId="3" xfId="0" applyNumberFormat="1" applyFill="1" applyBorder="1" applyAlignment="1">
      <alignment vertical="center"/>
    </xf>
    <xf numFmtId="0" fontId="3" fillId="0" borderId="0" xfId="0" applyFont="1" applyFill="1" applyAlignment="1">
      <alignment vertical="top"/>
    </xf>
    <xf numFmtId="0" fontId="3" fillId="0" borderId="0" xfId="0" applyFont="1" applyFill="1" applyAlignment="1">
      <alignment horizontal="left" vertical="top" indent="2"/>
    </xf>
    <xf numFmtId="4" fontId="0" fillId="0" borderId="0" xfId="0" applyNumberFormat="1" applyFill="1"/>
    <xf numFmtId="0" fontId="3" fillId="2" borderId="2" xfId="0" applyFont="1" applyFill="1" applyBorder="1" applyAlignment="1">
      <alignment vertical="center"/>
    </xf>
    <xf numFmtId="169" fontId="3" fillId="0" borderId="1" xfId="0" applyNumberFormat="1" applyFont="1" applyFill="1" applyBorder="1" applyAlignment="1">
      <alignment vertical="center"/>
    </xf>
    <xf numFmtId="170" fontId="3" fillId="0" borderId="1" xfId="0" applyNumberFormat="1" applyFont="1" applyFill="1" applyBorder="1" applyAlignment="1">
      <alignment vertical="center"/>
    </xf>
    <xf numFmtId="0" fontId="0" fillId="2" borderId="1" xfId="0" applyFill="1" applyBorder="1" applyAlignment="1">
      <alignment horizontal="center" vertical="center" wrapText="1"/>
    </xf>
    <xf numFmtId="0" fontId="0" fillId="0" borderId="0" xfId="0" applyAlignment="1">
      <alignment vertical="center" wrapText="1"/>
    </xf>
    <xf numFmtId="0" fontId="3" fillId="0" borderId="1" xfId="0" applyFont="1" applyBorder="1"/>
    <xf numFmtId="0" fontId="0" fillId="4" borderId="1" xfId="0" applyNumberFormat="1" applyFill="1" applyBorder="1" applyAlignment="1">
      <alignment vertical="center"/>
    </xf>
    <xf numFmtId="0" fontId="0" fillId="4" borderId="1" xfId="0" applyNumberFormat="1" applyFill="1" applyBorder="1" applyAlignment="1">
      <alignment vertical="top"/>
    </xf>
    <xf numFmtId="49" fontId="0" fillId="4" borderId="1" xfId="0" applyNumberFormat="1" applyFill="1" applyBorder="1" applyAlignment="1">
      <alignment vertical="center"/>
    </xf>
    <xf numFmtId="49" fontId="0" fillId="4" borderId="1" xfId="0" applyNumberFormat="1" applyFill="1" applyBorder="1" applyAlignment="1">
      <alignment vertical="top"/>
    </xf>
    <xf numFmtId="0" fontId="0" fillId="4" borderId="1" xfId="0" applyFill="1" applyBorder="1" applyAlignment="1">
      <alignment vertical="center"/>
    </xf>
    <xf numFmtId="2" fontId="0" fillId="4" borderId="1" xfId="0" applyNumberFormat="1" applyFill="1" applyBorder="1" applyAlignment="1">
      <alignment vertical="center"/>
    </xf>
    <xf numFmtId="0" fontId="0" fillId="4" borderId="1" xfId="0" applyFill="1" applyBorder="1"/>
    <xf numFmtId="0" fontId="0" fillId="4" borderId="1" xfId="0" applyFont="1" applyFill="1" applyBorder="1" applyAlignment="1">
      <alignment vertical="center"/>
    </xf>
    <xf numFmtId="49" fontId="0" fillId="4" borderId="1" xfId="0" applyNumberFormat="1" applyFont="1" applyFill="1" applyBorder="1" applyAlignment="1">
      <alignment vertical="center"/>
    </xf>
    <xf numFmtId="0" fontId="0" fillId="4" borderId="1" xfId="0" applyFont="1" applyFill="1" applyBorder="1"/>
    <xf numFmtId="17" fontId="7" fillId="0" borderId="0" xfId="0" applyNumberFormat="1" applyFont="1" applyAlignment="1">
      <alignment vertical="center"/>
    </xf>
    <xf numFmtId="0" fontId="0" fillId="2" borderId="1" xfId="0" applyFill="1" applyBorder="1" applyAlignment="1">
      <alignment horizontal="center" vertical="center" wrapText="1"/>
    </xf>
    <xf numFmtId="0" fontId="0" fillId="4" borderId="0" xfId="0" applyFill="1" applyAlignment="1">
      <alignment horizontal="center"/>
    </xf>
    <xf numFmtId="0" fontId="0" fillId="4" borderId="0" xfId="0" applyFill="1"/>
    <xf numFmtId="0" fontId="0" fillId="5" borderId="0" xfId="0" applyFill="1" applyAlignment="1">
      <alignment vertical="top"/>
    </xf>
    <xf numFmtId="167" fontId="0" fillId="5" borderId="0" xfId="0" applyNumberFormat="1" applyFill="1" applyAlignment="1">
      <alignment horizontal="left" vertical="center"/>
    </xf>
    <xf numFmtId="0" fontId="0" fillId="5" borderId="0" xfId="0" applyFill="1" applyAlignment="1">
      <alignment vertical="center"/>
    </xf>
    <xf numFmtId="0" fontId="0" fillId="5" borderId="1" xfId="0" applyFill="1" applyBorder="1" applyAlignment="1">
      <alignment vertical="center"/>
    </xf>
    <xf numFmtId="174" fontId="3" fillId="0" borderId="1" xfId="1" applyNumberFormat="1" applyFont="1" applyBorder="1" applyAlignment="1">
      <alignment horizontal="center" vertical="center"/>
    </xf>
    <xf numFmtId="10" fontId="0" fillId="2" borderId="1" xfId="1" applyNumberFormat="1" applyFont="1" applyFill="1" applyBorder="1" applyAlignment="1">
      <alignment horizontal="center" vertical="center"/>
    </xf>
    <xf numFmtId="10" fontId="3" fillId="2" borderId="1" xfId="1" applyNumberFormat="1" applyFont="1" applyFill="1" applyBorder="1" applyAlignment="1">
      <alignment horizontal="center" vertical="center"/>
    </xf>
    <xf numFmtId="0" fontId="7" fillId="2" borderId="1" xfId="0" applyFont="1" applyFill="1" applyBorder="1" applyAlignment="1">
      <alignment horizontal="center" vertical="center"/>
    </xf>
    <xf numFmtId="0" fontId="0" fillId="5" borderId="1" xfId="0" applyFill="1" applyBorder="1" applyAlignment="1">
      <alignment horizontal="center" vertical="center"/>
    </xf>
    <xf numFmtId="4" fontId="0" fillId="0" borderId="0" xfId="0" applyNumberFormat="1" applyAlignment="1">
      <alignment vertical="center"/>
    </xf>
    <xf numFmtId="165" fontId="0" fillId="0" borderId="0" xfId="2" applyFont="1" applyAlignment="1">
      <alignment vertical="center"/>
    </xf>
    <xf numFmtId="165" fontId="3" fillId="7" borderId="1" xfId="0" applyNumberFormat="1" applyFont="1" applyFill="1" applyBorder="1" applyAlignment="1">
      <alignment vertical="center"/>
    </xf>
    <xf numFmtId="3" fontId="3" fillId="7" borderId="1" xfId="1" applyNumberFormat="1" applyFont="1" applyFill="1" applyBorder="1" applyAlignment="1">
      <alignment horizontal="center" vertical="center"/>
    </xf>
    <xf numFmtId="0" fontId="0" fillId="5" borderId="0" xfId="0" applyFill="1" applyBorder="1" applyAlignment="1">
      <alignment vertical="center"/>
    </xf>
    <xf numFmtId="0" fontId="0" fillId="5" borderId="0" xfId="0" applyFill="1" applyBorder="1" applyAlignment="1">
      <alignment horizontal="center" vertical="center"/>
    </xf>
    <xf numFmtId="10" fontId="3" fillId="2" borderId="1" xfId="0" applyNumberFormat="1" applyFont="1" applyFill="1" applyBorder="1" applyAlignment="1">
      <alignment horizontal="center" vertical="center"/>
    </xf>
    <xf numFmtId="10" fontId="3" fillId="2" borderId="1" xfId="1" applyNumberFormat="1" applyFont="1" applyFill="1" applyBorder="1" applyAlignment="1">
      <alignment vertical="center"/>
    </xf>
    <xf numFmtId="10" fontId="3" fillId="0" borderId="1" xfId="1" applyNumberFormat="1" applyFont="1" applyBorder="1" applyAlignment="1">
      <alignment vertical="center"/>
    </xf>
    <xf numFmtId="10" fontId="3" fillId="7" borderId="1" xfId="1" applyNumberFormat="1" applyFont="1" applyFill="1" applyBorder="1" applyAlignment="1">
      <alignment vertical="center"/>
    </xf>
    <xf numFmtId="10" fontId="0" fillId="2" borderId="1" xfId="0" applyNumberFormat="1" applyFill="1" applyBorder="1" applyAlignment="1">
      <alignment vertical="center"/>
    </xf>
    <xf numFmtId="165" fontId="0" fillId="0" borderId="1" xfId="0" applyNumberFormat="1" applyBorder="1" applyAlignment="1">
      <alignment vertical="center"/>
    </xf>
    <xf numFmtId="0" fontId="0" fillId="0" borderId="1" xfId="0" applyFill="1" applyBorder="1" applyAlignment="1">
      <alignment vertical="center"/>
    </xf>
    <xf numFmtId="0" fontId="0" fillId="2" borderId="3" xfId="0" applyFont="1" applyFill="1" applyBorder="1" applyAlignment="1">
      <alignment vertical="center"/>
    </xf>
    <xf numFmtId="0" fontId="0" fillId="2" borderId="2" xfId="0" applyFont="1" applyFill="1" applyBorder="1" applyAlignment="1">
      <alignment vertical="center"/>
    </xf>
    <xf numFmtId="0" fontId="0" fillId="0" borderId="1" xfId="0" applyBorder="1" applyAlignment="1">
      <alignment horizontal="center" vertical="center"/>
    </xf>
    <xf numFmtId="0" fontId="0" fillId="0" borderId="1" xfId="0" applyBorder="1" applyAlignment="1">
      <alignment vertical="center"/>
    </xf>
    <xf numFmtId="0" fontId="3" fillId="0" borderId="1" xfId="0" applyFont="1" applyBorder="1" applyAlignment="1">
      <alignment horizontal="center" vertical="center"/>
    </xf>
    <xf numFmtId="166" fontId="3" fillId="0" borderId="0" xfId="0" applyNumberFormat="1" applyFont="1" applyAlignment="1">
      <alignment vertical="top"/>
    </xf>
    <xf numFmtId="0" fontId="0" fillId="4" borderId="1" xfId="0" applyFill="1" applyBorder="1" applyAlignment="1">
      <alignment horizontal="center" vertical="center"/>
    </xf>
    <xf numFmtId="0" fontId="18" fillId="4" borderId="1" xfId="0" applyFont="1" applyFill="1" applyBorder="1" applyAlignment="1">
      <alignment vertical="center" wrapText="1"/>
    </xf>
    <xf numFmtId="4" fontId="18" fillId="4" borderId="2" xfId="0" applyNumberFormat="1" applyFont="1" applyFill="1" applyBorder="1" applyAlignment="1">
      <alignment horizontal="right" vertical="center" wrapText="1"/>
    </xf>
    <xf numFmtId="2"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0" fillId="2" borderId="1" xfId="0" applyFill="1" applyBorder="1" applyAlignment="1">
      <alignment horizontal="center" vertical="center"/>
    </xf>
    <xf numFmtId="2" fontId="3" fillId="0" borderId="1" xfId="0" applyNumberFormat="1" applyFont="1" applyBorder="1" applyAlignment="1">
      <alignment horizontal="center" vertical="center"/>
    </xf>
    <xf numFmtId="0" fontId="3" fillId="0" borderId="6" xfId="0" applyFont="1" applyFill="1" applyBorder="1" applyAlignment="1">
      <alignment horizontal="center" vertical="center"/>
    </xf>
    <xf numFmtId="0" fontId="3" fillId="0" borderId="1" xfId="0" applyFont="1" applyBorder="1" applyAlignment="1">
      <alignment vertical="center"/>
    </xf>
    <xf numFmtId="0" fontId="3" fillId="0" borderId="2" xfId="0" applyFont="1" applyBorder="1" applyAlignment="1">
      <alignment vertical="center"/>
    </xf>
    <xf numFmtId="0" fontId="3" fillId="0" borderId="4" xfId="0" applyFont="1" applyBorder="1" applyAlignment="1">
      <alignment vertical="center"/>
    </xf>
    <xf numFmtId="0" fontId="3" fillId="2" borderId="2" xfId="0" applyFont="1" applyFill="1" applyBorder="1" applyAlignment="1">
      <alignment vertical="center"/>
    </xf>
    <xf numFmtId="0" fontId="3" fillId="2" borderId="4" xfId="0" applyFont="1" applyFill="1" applyBorder="1" applyAlignment="1">
      <alignment vertical="center"/>
    </xf>
    <xf numFmtId="175" fontId="0" fillId="0" borderId="0" xfId="0" applyNumberFormat="1" applyAlignment="1">
      <alignment vertical="center"/>
    </xf>
    <xf numFmtId="0" fontId="8" fillId="0" borderId="0" xfId="0" applyFont="1" applyAlignment="1">
      <alignment horizontal="center" vertical="center"/>
    </xf>
    <xf numFmtId="0" fontId="8" fillId="0" borderId="0" xfId="0" applyFont="1" applyFill="1" applyAlignment="1">
      <alignment horizontal="center" vertical="center"/>
    </xf>
    <xf numFmtId="0" fontId="0" fillId="2" borderId="1" xfId="0" applyFill="1" applyBorder="1" applyAlignment="1">
      <alignment horizontal="center" vertical="center"/>
    </xf>
    <xf numFmtId="2" fontId="3" fillId="0" borderId="1" xfId="0" applyNumberFormat="1" applyFont="1" applyBorder="1" applyAlignment="1">
      <alignment horizontal="center" vertical="center"/>
    </xf>
    <xf numFmtId="165" fontId="0" fillId="0" borderId="0" xfId="0" applyNumberFormat="1" applyAlignment="1">
      <alignment vertical="center"/>
    </xf>
    <xf numFmtId="9" fontId="0" fillId="0" borderId="0" xfId="1" applyFont="1" applyAlignment="1">
      <alignment vertical="center"/>
    </xf>
    <xf numFmtId="0" fontId="6" fillId="0" borderId="0" xfId="0" applyFont="1" applyAlignment="1">
      <alignment horizontal="center" vertical="center"/>
    </xf>
    <xf numFmtId="0" fontId="0" fillId="0" borderId="0" xfId="0" applyAlignment="1">
      <alignment vertical="center" wrapText="1"/>
    </xf>
    <xf numFmtId="10" fontId="2" fillId="0" borderId="1" xfId="0" applyNumberFormat="1" applyFont="1" applyBorder="1" applyAlignment="1">
      <alignment vertical="center"/>
    </xf>
    <xf numFmtId="2" fontId="0" fillId="0" borderId="0" xfId="0" applyNumberFormat="1" applyAlignment="1">
      <alignment horizontal="left" vertical="center"/>
    </xf>
    <xf numFmtId="0" fontId="0" fillId="5" borderId="0" xfId="0" applyFill="1" applyAlignment="1">
      <alignment horizontal="left" vertical="center"/>
    </xf>
    <xf numFmtId="2"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2" borderId="2" xfId="0" applyFont="1" applyFill="1" applyBorder="1" applyAlignment="1">
      <alignment vertical="center"/>
    </xf>
    <xf numFmtId="2" fontId="0" fillId="0" borderId="0" xfId="0" applyNumberFormat="1" applyAlignment="1">
      <alignment horizontal="left" vertical="top"/>
    </xf>
    <xf numFmtId="0" fontId="0" fillId="5" borderId="0" xfId="0" applyFill="1" applyAlignment="1">
      <alignment horizontal="left" vertical="top"/>
    </xf>
    <xf numFmtId="178" fontId="0" fillId="0" borderId="0" xfId="0" applyNumberFormat="1" applyAlignment="1">
      <alignment vertical="center"/>
    </xf>
    <xf numFmtId="43" fontId="0" fillId="0" borderId="0" xfId="0" applyNumberFormat="1" applyAlignment="1">
      <alignment vertical="center"/>
    </xf>
    <xf numFmtId="0" fontId="5" fillId="0" borderId="0" xfId="0" applyFont="1" applyAlignment="1">
      <alignment horizontal="center" vertical="center"/>
    </xf>
    <xf numFmtId="0" fontId="9" fillId="0" borderId="0" xfId="0" applyFont="1" applyAlignment="1">
      <alignment vertical="center"/>
    </xf>
    <xf numFmtId="0" fontId="5" fillId="0" borderId="0" xfId="0" applyFont="1" applyAlignment="1">
      <alignment vertical="center"/>
    </xf>
    <xf numFmtId="0" fontId="5" fillId="4" borderId="0" xfId="0" applyFont="1" applyFill="1" applyAlignment="1">
      <alignment vertical="center"/>
    </xf>
    <xf numFmtId="0" fontId="7" fillId="4" borderId="0" xfId="0" applyFont="1" applyFill="1" applyAlignment="1">
      <alignment vertical="center"/>
    </xf>
    <xf numFmtId="0" fontId="0" fillId="0" borderId="0" xfId="0" applyFont="1" applyAlignment="1">
      <alignment horizontal="center" vertical="center"/>
    </xf>
    <xf numFmtId="0" fontId="2" fillId="0" borderId="0" xfId="0" applyFont="1" applyAlignment="1">
      <alignment horizontal="center" vertical="center"/>
    </xf>
    <xf numFmtId="165" fontId="2" fillId="0" borderId="0" xfId="0" applyNumberFormat="1" applyFont="1" applyAlignment="1">
      <alignment vertical="center"/>
    </xf>
    <xf numFmtId="0" fontId="2" fillId="0" borderId="0" xfId="0" applyFont="1" applyAlignment="1">
      <alignment vertical="center"/>
    </xf>
    <xf numFmtId="0" fontId="0" fillId="4" borderId="0" xfId="0" applyFont="1" applyFill="1" applyAlignment="1">
      <alignment vertical="center"/>
    </xf>
    <xf numFmtId="0" fontId="0" fillId="0" borderId="0" xfId="0" applyFont="1" applyAlignment="1">
      <alignment horizontal="right" vertical="center"/>
    </xf>
    <xf numFmtId="0" fontId="0" fillId="0" borderId="0" xfId="0" quotePrefix="1" applyFont="1" applyAlignment="1">
      <alignment horizontal="center" vertical="center"/>
    </xf>
    <xf numFmtId="49" fontId="0" fillId="0" borderId="0" xfId="0" applyNumberFormat="1" applyFont="1" applyAlignment="1">
      <alignment vertical="center"/>
    </xf>
    <xf numFmtId="172" fontId="0" fillId="0" borderId="0" xfId="1" applyNumberFormat="1" applyFont="1" applyAlignment="1">
      <alignment vertical="center"/>
    </xf>
    <xf numFmtId="171" fontId="0" fillId="0" borderId="0" xfId="0" applyNumberFormat="1" applyFont="1" applyAlignment="1">
      <alignment vertical="center"/>
    </xf>
    <xf numFmtId="165" fontId="0" fillId="0" borderId="0" xfId="0" applyNumberFormat="1" applyFont="1" applyAlignment="1">
      <alignment vertical="center"/>
    </xf>
    <xf numFmtId="1" fontId="0" fillId="0" borderId="0" xfId="0" applyNumberFormat="1" applyAlignment="1">
      <alignment vertical="center"/>
    </xf>
    <xf numFmtId="10" fontId="0" fillId="0" borderId="0" xfId="1" applyNumberFormat="1" applyFont="1" applyAlignment="1">
      <alignment vertical="center"/>
    </xf>
    <xf numFmtId="0" fontId="0" fillId="4" borderId="0" xfId="0" applyFill="1" applyAlignment="1">
      <alignment vertical="center"/>
    </xf>
    <xf numFmtId="0" fontId="19" fillId="0" borderId="0" xfId="0" applyFont="1" applyAlignment="1">
      <alignment vertical="center"/>
    </xf>
    <xf numFmtId="165" fontId="2" fillId="0" borderId="0" xfId="2" applyFont="1" applyAlignment="1">
      <alignment vertical="center"/>
    </xf>
    <xf numFmtId="176" fontId="0" fillId="0" borderId="0" xfId="0" applyNumberFormat="1" applyAlignment="1">
      <alignment vertical="center"/>
    </xf>
    <xf numFmtId="14" fontId="0" fillId="0" borderId="0" xfId="0" applyNumberFormat="1" applyAlignment="1">
      <alignment vertical="center"/>
    </xf>
    <xf numFmtId="0" fontId="0" fillId="0" borderId="0" xfId="0" applyNumberFormat="1" applyAlignment="1">
      <alignment vertical="center"/>
    </xf>
    <xf numFmtId="170" fontId="0" fillId="0" borderId="0" xfId="0" applyNumberFormat="1" applyAlignment="1">
      <alignment vertical="center"/>
    </xf>
    <xf numFmtId="2" fontId="0" fillId="6" borderId="0" xfId="0" applyNumberFormat="1" applyFill="1" applyAlignment="1">
      <alignment vertical="center"/>
    </xf>
    <xf numFmtId="9" fontId="0" fillId="0" borderId="0" xfId="0" applyNumberFormat="1" applyAlignment="1">
      <alignment vertical="center"/>
    </xf>
    <xf numFmtId="166" fontId="0" fillId="0" borderId="0" xfId="2" applyNumberFormat="1" applyFont="1" applyAlignment="1">
      <alignment vertical="center"/>
    </xf>
    <xf numFmtId="0" fontId="0" fillId="0" borderId="0" xfId="0" quotePrefix="1" applyAlignment="1">
      <alignment horizontal="center" vertical="center"/>
    </xf>
    <xf numFmtId="0" fontId="0" fillId="0" borderId="0" xfId="0" applyAlignment="1">
      <alignment horizontal="left" vertical="center"/>
    </xf>
    <xf numFmtId="165" fontId="1" fillId="0" borderId="0" xfId="2" applyFont="1" applyAlignment="1">
      <alignment vertical="center"/>
    </xf>
    <xf numFmtId="0" fontId="12" fillId="0" borderId="0" xfId="0" applyFont="1" applyAlignment="1">
      <alignment horizontal="center" vertical="center"/>
    </xf>
    <xf numFmtId="0" fontId="0" fillId="6" borderId="0" xfId="0" applyFont="1" applyFill="1" applyAlignment="1">
      <alignment vertical="center"/>
    </xf>
    <xf numFmtId="171" fontId="0" fillId="0" borderId="0" xfId="0" applyNumberFormat="1" applyAlignment="1">
      <alignment vertical="center"/>
    </xf>
    <xf numFmtId="172" fontId="0" fillId="0" borderId="0" xfId="0" applyNumberFormat="1" applyAlignment="1">
      <alignment vertical="center"/>
    </xf>
    <xf numFmtId="0" fontId="23" fillId="0" borderId="0" xfId="0" applyFont="1" applyAlignment="1">
      <alignment horizontal="left" vertical="top"/>
    </xf>
    <xf numFmtId="0" fontId="0" fillId="2" borderId="1" xfId="0" applyFill="1" applyBorder="1" applyAlignment="1">
      <alignment horizontal="center" vertical="center" wrapText="1"/>
    </xf>
    <xf numFmtId="0" fontId="6" fillId="0" borderId="0" xfId="0" applyFont="1" applyAlignment="1">
      <alignment horizontal="center" vertical="center"/>
    </xf>
    <xf numFmtId="0" fontId="0" fillId="0" borderId="0" xfId="0" applyAlignment="1">
      <alignment vertical="top" wrapText="1"/>
    </xf>
    <xf numFmtId="0" fontId="0" fillId="0" borderId="0" xfId="0" applyAlignment="1">
      <alignment vertical="center" wrapText="1"/>
    </xf>
    <xf numFmtId="0" fontId="0" fillId="2" borderId="1" xfId="0" applyFill="1" applyBorder="1" applyAlignment="1">
      <alignment horizontal="center" vertical="center" wrapText="1"/>
    </xf>
    <xf numFmtId="0" fontId="0" fillId="2" borderId="3" xfId="0" applyFont="1" applyFill="1" applyBorder="1" applyAlignment="1">
      <alignment vertical="center"/>
    </xf>
    <xf numFmtId="0" fontId="3" fillId="0" borderId="0" xfId="0" applyFont="1" applyAlignment="1">
      <alignment horizontal="left" vertical="center" wrapText="1"/>
    </xf>
    <xf numFmtId="2" fontId="0" fillId="0" borderId="0" xfId="0" applyNumberFormat="1" applyAlignment="1">
      <alignment horizontal="right" vertical="top"/>
    </xf>
    <xf numFmtId="10" fontId="3" fillId="0" borderId="1" xfId="1" applyNumberFormat="1" applyFont="1" applyFill="1" applyBorder="1" applyAlignment="1">
      <alignment horizontal="center" vertical="center"/>
    </xf>
    <xf numFmtId="0" fontId="3" fillId="6" borderId="1" xfId="0" applyFont="1" applyFill="1" applyBorder="1" applyAlignment="1">
      <alignment horizontal="center" vertical="center"/>
    </xf>
    <xf numFmtId="0" fontId="3" fillId="6" borderId="2" xfId="0" applyFont="1" applyFill="1" applyBorder="1" applyAlignment="1">
      <alignment vertical="center"/>
    </xf>
    <xf numFmtId="169" fontId="3" fillId="6" borderId="1" xfId="0" applyNumberFormat="1" applyFont="1" applyFill="1" applyBorder="1" applyAlignment="1">
      <alignment vertical="center"/>
    </xf>
    <xf numFmtId="170" fontId="3" fillId="6" borderId="1" xfId="0" applyNumberFormat="1" applyFont="1" applyFill="1" applyBorder="1" applyAlignment="1">
      <alignment vertical="center"/>
    </xf>
    <xf numFmtId="166" fontId="3" fillId="6" borderId="1" xfId="0" applyNumberFormat="1" applyFont="1" applyFill="1" applyBorder="1" applyAlignment="1">
      <alignment vertical="center"/>
    </xf>
    <xf numFmtId="10" fontId="3" fillId="6" borderId="1" xfId="1" applyNumberFormat="1" applyFont="1" applyFill="1" applyBorder="1" applyAlignment="1">
      <alignment horizontal="center" vertical="center"/>
    </xf>
    <xf numFmtId="4" fontId="18" fillId="4" borderId="2" xfId="4" applyNumberFormat="1" applyFont="1" applyFill="1" applyBorder="1" applyAlignment="1">
      <alignment horizontal="right" vertical="center" wrapText="1"/>
    </xf>
    <xf numFmtId="17" fontId="0" fillId="0" borderId="0" xfId="0" applyNumberFormat="1" applyAlignment="1">
      <alignment vertical="center"/>
    </xf>
    <xf numFmtId="2" fontId="3" fillId="0" borderId="1" xfId="0" applyNumberFormat="1" applyFont="1" applyBorder="1" applyAlignment="1">
      <alignment horizontal="center" vertical="center"/>
    </xf>
    <xf numFmtId="0" fontId="24" fillId="0" borderId="0" xfId="0" applyFont="1" applyAlignment="1">
      <alignment horizontal="left" vertical="center"/>
    </xf>
    <xf numFmtId="0" fontId="25" fillId="0" borderId="0" xfId="0" applyFont="1" applyAlignment="1">
      <alignment horizontal="left"/>
    </xf>
    <xf numFmtId="0" fontId="27" fillId="0" borderId="18" xfId="0" applyFont="1" applyBorder="1" applyAlignment="1">
      <alignment horizontal="center" vertical="center"/>
    </xf>
    <xf numFmtId="0" fontId="27" fillId="0" borderId="15" xfId="0" applyFont="1" applyBorder="1" applyAlignment="1">
      <alignment horizontal="center" vertical="center"/>
    </xf>
    <xf numFmtId="0" fontId="25" fillId="0" borderId="19" xfId="0" applyFont="1" applyBorder="1" applyAlignment="1">
      <alignment vertical="center"/>
    </xf>
    <xf numFmtId="0" fontId="25" fillId="0" borderId="20" xfId="0" applyFont="1" applyBorder="1" applyAlignment="1">
      <alignment horizontal="center" vertical="center"/>
    </xf>
    <xf numFmtId="2" fontId="25" fillId="0" borderId="21" xfId="0" applyNumberFormat="1" applyFont="1" applyBorder="1" applyAlignment="1">
      <alignment horizontal="center" vertical="center"/>
    </xf>
    <xf numFmtId="2" fontId="25" fillId="0" borderId="22" xfId="0" applyNumberFormat="1" applyFont="1" applyBorder="1" applyAlignment="1">
      <alignment horizontal="center" vertical="center"/>
    </xf>
    <xf numFmtId="0" fontId="25" fillId="0" borderId="23" xfId="0" applyFont="1" applyBorder="1" applyAlignment="1">
      <alignment vertical="center"/>
    </xf>
    <xf numFmtId="179" fontId="25" fillId="0" borderId="21" xfId="0" applyNumberFormat="1" applyFont="1" applyBorder="1" applyAlignment="1">
      <alignment horizontal="center" vertical="center"/>
    </xf>
    <xf numFmtId="2" fontId="25" fillId="0" borderId="0" xfId="0" applyNumberFormat="1" applyFont="1" applyAlignment="1">
      <alignment horizontal="center" vertical="center"/>
    </xf>
    <xf numFmtId="0" fontId="25" fillId="0" borderId="21" xfId="0" applyFont="1" applyBorder="1" applyAlignment="1">
      <alignment horizontal="center" vertical="center"/>
    </xf>
    <xf numFmtId="0" fontId="25" fillId="0" borderId="24" xfId="0" applyFont="1" applyBorder="1" applyAlignment="1">
      <alignment vertical="center"/>
    </xf>
    <xf numFmtId="0" fontId="24" fillId="0" borderId="25" xfId="0" applyFont="1" applyBorder="1" applyAlignment="1">
      <alignment horizontal="right" vertical="center"/>
    </xf>
    <xf numFmtId="2" fontId="24" fillId="0" borderId="21" xfId="0" applyNumberFormat="1" applyFont="1" applyBorder="1" applyAlignment="1">
      <alignment horizontal="center" vertical="center"/>
    </xf>
    <xf numFmtId="2" fontId="24" fillId="0" borderId="26" xfId="0" applyNumberFormat="1" applyFont="1" applyBorder="1" applyAlignment="1">
      <alignment horizontal="center" vertical="center"/>
    </xf>
    <xf numFmtId="0" fontId="25" fillId="0" borderId="22" xfId="0" applyFont="1" applyBorder="1" applyAlignment="1">
      <alignment vertical="center"/>
    </xf>
    <xf numFmtId="0" fontId="25" fillId="0" borderId="26" xfId="0" applyFont="1" applyBorder="1" applyAlignment="1">
      <alignment vertical="center"/>
    </xf>
    <xf numFmtId="0" fontId="27" fillId="0" borderId="0" xfId="0" applyFont="1" applyAlignment="1">
      <alignment horizontal="center" vertical="center"/>
    </xf>
    <xf numFmtId="0" fontId="25" fillId="0" borderId="27" xfId="0" applyFont="1" applyBorder="1" applyAlignment="1">
      <alignment horizontal="center" vertical="center"/>
    </xf>
    <xf numFmtId="0" fontId="25" fillId="0" borderId="0" xfId="0" applyFont="1" applyAlignment="1">
      <alignment vertical="center"/>
    </xf>
    <xf numFmtId="0" fontId="25" fillId="0" borderId="28" xfId="0" applyFont="1" applyBorder="1" applyAlignment="1">
      <alignment horizontal="center" vertical="center"/>
    </xf>
    <xf numFmtId="0" fontId="24" fillId="0" borderId="29" xfId="0" applyFont="1" applyBorder="1" applyAlignment="1">
      <alignment horizontal="right" vertical="center"/>
    </xf>
    <xf numFmtId="2" fontId="24" fillId="0" borderId="0" xfId="0" applyNumberFormat="1" applyFont="1" applyAlignment="1">
      <alignment horizontal="center" vertical="center"/>
    </xf>
    <xf numFmtId="2" fontId="26" fillId="9" borderId="25" xfId="0" applyNumberFormat="1" applyFont="1" applyFill="1" applyBorder="1" applyAlignment="1">
      <alignment horizontal="center" vertical="center"/>
    </xf>
    <xf numFmtId="2" fontId="26" fillId="9" borderId="15" xfId="0" applyNumberFormat="1" applyFont="1" applyFill="1" applyBorder="1" applyAlignment="1">
      <alignment horizontal="center" vertical="center"/>
    </xf>
    <xf numFmtId="4" fontId="28" fillId="0" borderId="2" xfId="4" applyNumberFormat="1" applyFont="1" applyFill="1" applyBorder="1" applyAlignment="1">
      <alignment horizontal="right" vertical="center" wrapText="1"/>
    </xf>
    <xf numFmtId="4" fontId="29" fillId="0" borderId="1" xfId="0" applyNumberFormat="1" applyFont="1" applyFill="1" applyBorder="1" applyAlignment="1">
      <alignment horizontal="right" vertical="center" wrapText="1"/>
    </xf>
    <xf numFmtId="2" fontId="0" fillId="0" borderId="1" xfId="1" applyNumberFormat="1" applyFont="1" applyBorder="1" applyAlignment="1">
      <alignment vertical="center"/>
    </xf>
    <xf numFmtId="2" fontId="2" fillId="8" borderId="1" xfId="0" applyNumberFormat="1" applyFont="1" applyFill="1" applyBorder="1" applyAlignment="1">
      <alignment vertical="center"/>
    </xf>
    <xf numFmtId="0" fontId="0" fillId="2" borderId="1" xfId="0" applyFill="1" applyBorder="1" applyAlignment="1">
      <alignment horizontal="center" vertical="center" wrapText="1"/>
    </xf>
    <xf numFmtId="0" fontId="0" fillId="0" borderId="0" xfId="0" applyAlignment="1">
      <alignment vertical="top" wrapText="1"/>
    </xf>
    <xf numFmtId="0" fontId="3" fillId="0" borderId="1" xfId="0" applyFont="1" applyBorder="1" applyAlignment="1">
      <alignment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2" xfId="0" applyFill="1" applyBorder="1" applyAlignment="1">
      <alignment horizontal="center" vertical="center" wrapText="1"/>
    </xf>
    <xf numFmtId="0" fontId="0" fillId="2" borderId="4" xfId="0" applyFill="1" applyBorder="1" applyAlignment="1">
      <alignment horizontal="center" vertical="center" wrapText="1"/>
    </xf>
    <xf numFmtId="0" fontId="3" fillId="0" borderId="2" xfId="0" applyFont="1" applyBorder="1" applyAlignment="1">
      <alignment vertical="center"/>
    </xf>
    <xf numFmtId="0" fontId="3" fillId="0" borderId="4" xfId="0" applyFont="1" applyBorder="1" applyAlignment="1">
      <alignment vertical="center"/>
    </xf>
    <xf numFmtId="2"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2" borderId="2" xfId="0" applyFont="1" applyFill="1" applyBorder="1" applyAlignment="1">
      <alignment vertical="center"/>
    </xf>
    <xf numFmtId="0" fontId="3" fillId="2" borderId="4" xfId="0" applyFont="1" applyFill="1" applyBorder="1" applyAlignment="1">
      <alignment vertical="center"/>
    </xf>
    <xf numFmtId="0" fontId="0" fillId="0" borderId="1" xfId="0" applyBorder="1" applyAlignment="1">
      <alignment vertical="center"/>
    </xf>
    <xf numFmtId="0" fontId="3" fillId="0" borderId="2" xfId="0" applyFont="1" applyBorder="1" applyAlignment="1">
      <alignment vertical="center"/>
    </xf>
    <xf numFmtId="0" fontId="3" fillId="0" borderId="4" xfId="0" applyFont="1" applyBorder="1" applyAlignment="1">
      <alignment vertical="center"/>
    </xf>
    <xf numFmtId="0" fontId="3" fillId="2" borderId="2" xfId="0" applyFont="1" applyFill="1" applyBorder="1" applyAlignment="1">
      <alignment horizontal="left" vertical="center" wrapText="1"/>
    </xf>
    <xf numFmtId="0" fontId="3" fillId="0" borderId="1" xfId="0" applyFont="1" applyBorder="1" applyAlignment="1">
      <alignment vertical="center" wrapText="1"/>
    </xf>
    <xf numFmtId="0" fontId="3" fillId="10" borderId="1" xfId="0" applyFont="1" applyFill="1" applyBorder="1" applyAlignment="1">
      <alignment horizontal="center" vertical="center"/>
    </xf>
    <xf numFmtId="0" fontId="3" fillId="10" borderId="2" xfId="0" applyFont="1" applyFill="1" applyBorder="1" applyAlignment="1">
      <alignment vertical="center"/>
    </xf>
    <xf numFmtId="0" fontId="3" fillId="10" borderId="4" xfId="0" applyFont="1" applyFill="1" applyBorder="1" applyAlignment="1">
      <alignment vertical="center"/>
    </xf>
    <xf numFmtId="4" fontId="3" fillId="10" borderId="1" xfId="0" applyNumberFormat="1" applyFont="1" applyFill="1" applyBorder="1" applyAlignment="1">
      <alignment vertical="center"/>
    </xf>
    <xf numFmtId="174" fontId="3" fillId="10" borderId="1" xfId="1" applyNumberFormat="1" applyFont="1" applyFill="1" applyBorder="1" applyAlignment="1">
      <alignment horizontal="center" vertical="center"/>
    </xf>
    <xf numFmtId="0" fontId="6" fillId="0" borderId="0" xfId="0" applyFont="1" applyAlignment="1">
      <alignment horizontal="center" vertical="center"/>
    </xf>
    <xf numFmtId="0" fontId="3" fillId="0" borderId="1" xfId="0" applyFont="1" applyBorder="1" applyAlignment="1">
      <alignment vertical="center"/>
    </xf>
    <xf numFmtId="0" fontId="2" fillId="2" borderId="1" xfId="0" applyFont="1" applyFill="1" applyBorder="1" applyAlignment="1">
      <alignment horizontal="center" vertical="center"/>
    </xf>
    <xf numFmtId="2"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2" borderId="2" xfId="0" applyFont="1" applyFill="1" applyBorder="1" applyAlignment="1">
      <alignment vertical="center"/>
    </xf>
    <xf numFmtId="0" fontId="0" fillId="0" borderId="1" xfId="0" applyBorder="1" applyAlignment="1">
      <alignment horizontal="center" vertical="center"/>
    </xf>
    <xf numFmtId="0" fontId="0" fillId="0" borderId="1" xfId="0" applyBorder="1" applyAlignment="1">
      <alignment vertical="center"/>
    </xf>
    <xf numFmtId="0" fontId="3" fillId="0" borderId="1" xfId="0" applyFont="1" applyBorder="1" applyAlignment="1">
      <alignment horizontal="center" vertical="center"/>
    </xf>
    <xf numFmtId="0" fontId="3" fillId="2" borderId="2" xfId="0" applyFont="1" applyFill="1" applyBorder="1" applyAlignment="1">
      <alignment vertical="center"/>
    </xf>
    <xf numFmtId="0" fontId="7" fillId="0" borderId="0" xfId="0" applyFont="1"/>
    <xf numFmtId="0" fontId="0" fillId="0" borderId="0" xfId="0" applyAlignment="1">
      <alignment horizontal="right"/>
    </xf>
    <xf numFmtId="2" fontId="0" fillId="0" borderId="0" xfId="0" applyNumberFormat="1"/>
    <xf numFmtId="0" fontId="0" fillId="0" borderId="0" xfId="0" applyFill="1" applyAlignment="1">
      <alignment horizontal="center"/>
    </xf>
    <xf numFmtId="44" fontId="0" fillId="0" borderId="0" xfId="0" applyNumberFormat="1"/>
    <xf numFmtId="0" fontId="2" fillId="0" borderId="0" xfId="0" applyFont="1"/>
    <xf numFmtId="44" fontId="2" fillId="0" borderId="0" xfId="0" applyNumberFormat="1" applyFont="1"/>
    <xf numFmtId="0" fontId="2" fillId="0" borderId="0" xfId="0" applyFont="1" applyAlignment="1">
      <alignment horizontal="center"/>
    </xf>
    <xf numFmtId="0" fontId="0" fillId="0" borderId="0" xfId="0" applyAlignment="1"/>
    <xf numFmtId="1" fontId="0" fillId="0" borderId="0" xfId="0" applyNumberFormat="1"/>
    <xf numFmtId="9" fontId="0" fillId="0" borderId="0" xfId="1" applyFont="1"/>
    <xf numFmtId="171" fontId="0" fillId="0" borderId="0" xfId="0" applyNumberFormat="1"/>
    <xf numFmtId="172" fontId="0" fillId="0" borderId="0" xfId="1" applyNumberFormat="1" applyFont="1"/>
    <xf numFmtId="0" fontId="7" fillId="4" borderId="0" xfId="0" applyFont="1" applyFill="1"/>
    <xf numFmtId="43" fontId="0" fillId="0" borderId="0" xfId="18" applyFont="1"/>
    <xf numFmtId="2" fontId="0" fillId="0" borderId="0" xfId="0" applyNumberFormat="1" applyFill="1"/>
    <xf numFmtId="0" fontId="0" fillId="0" borderId="0" xfId="0" quotePrefix="1" applyFill="1" applyAlignment="1">
      <alignment horizontal="center"/>
    </xf>
    <xf numFmtId="9" fontId="0" fillId="0" borderId="0" xfId="1" applyFont="1" applyFill="1"/>
    <xf numFmtId="1" fontId="0" fillId="0" borderId="0" xfId="1" applyNumberFormat="1" applyFont="1" applyFill="1"/>
    <xf numFmtId="0" fontId="0" fillId="0" borderId="0" xfId="0" applyFill="1" applyAlignment="1">
      <alignment horizontal="right"/>
    </xf>
    <xf numFmtId="0" fontId="0" fillId="0" borderId="0" xfId="0" applyFont="1" applyAlignment="1">
      <alignment horizontal="center"/>
    </xf>
    <xf numFmtId="43" fontId="0" fillId="0" borderId="0" xfId="0" applyNumberFormat="1"/>
    <xf numFmtId="44" fontId="0" fillId="0" borderId="0" xfId="0" applyNumberFormat="1" applyFont="1"/>
    <xf numFmtId="0" fontId="0" fillId="0" borderId="0" xfId="0" applyNumberFormat="1"/>
    <xf numFmtId="170" fontId="0" fillId="0" borderId="0" xfId="0" applyNumberFormat="1"/>
    <xf numFmtId="43" fontId="3" fillId="2" borderId="1" xfId="0" applyNumberFormat="1" applyFont="1" applyFill="1" applyBorder="1" applyAlignment="1">
      <alignment vertical="center"/>
    </xf>
    <xf numFmtId="43" fontId="3" fillId="0" borderId="1" xfId="0" applyNumberFormat="1" applyFont="1" applyBorder="1" applyAlignment="1">
      <alignment vertical="center"/>
    </xf>
    <xf numFmtId="0" fontId="3" fillId="2" borderId="3" xfId="0" applyFont="1" applyFill="1" applyBorder="1" applyAlignment="1">
      <alignment horizontal="center" vertical="center"/>
    </xf>
    <xf numFmtId="170" fontId="3" fillId="2" borderId="3" xfId="0" applyNumberFormat="1" applyFont="1" applyFill="1" applyBorder="1" applyAlignment="1">
      <alignment vertical="center"/>
    </xf>
    <xf numFmtId="166" fontId="3" fillId="2" borderId="3" xfId="0" applyNumberFormat="1" applyFont="1" applyFill="1" applyBorder="1" applyAlignment="1">
      <alignment vertical="center"/>
    </xf>
    <xf numFmtId="17" fontId="7" fillId="2" borderId="1" xfId="0" applyNumberFormat="1" applyFont="1" applyFill="1" applyBorder="1" applyAlignment="1">
      <alignment horizontal="center" vertical="center"/>
    </xf>
    <xf numFmtId="0" fontId="34" fillId="0" borderId="0" xfId="0" applyFont="1" applyFill="1" applyAlignment="1">
      <alignment vertical="center"/>
    </xf>
    <xf numFmtId="0" fontId="36" fillId="0" borderId="0" xfId="0" applyFont="1" applyFill="1" applyAlignment="1">
      <alignment vertical="center"/>
    </xf>
    <xf numFmtId="0" fontId="36" fillId="0" borderId="12" xfId="0" applyFont="1" applyFill="1" applyBorder="1" applyAlignment="1">
      <alignment horizontal="right" vertical="center"/>
    </xf>
    <xf numFmtId="0" fontId="34" fillId="0" borderId="12" xfId="0" applyFont="1" applyFill="1" applyBorder="1" applyAlignment="1">
      <alignment horizontal="left" vertical="center"/>
    </xf>
    <xf numFmtId="0" fontId="34" fillId="0" borderId="12" xfId="0" applyFont="1" applyFill="1" applyBorder="1" applyAlignment="1">
      <alignment vertical="center"/>
    </xf>
    <xf numFmtId="3" fontId="38" fillId="0" borderId="12" xfId="0" applyNumberFormat="1" applyFont="1" applyFill="1" applyBorder="1" applyAlignment="1">
      <alignment horizontal="right" vertical="center" wrapText="1"/>
    </xf>
    <xf numFmtId="180" fontId="38" fillId="0" borderId="12" xfId="0" applyNumberFormat="1" applyFont="1" applyFill="1" applyBorder="1" applyAlignment="1">
      <alignment horizontal="left" vertical="center" wrapText="1"/>
    </xf>
    <xf numFmtId="0" fontId="39" fillId="0" borderId="1" xfId="0" applyFont="1" applyFill="1" applyBorder="1" applyAlignment="1">
      <alignment horizontal="center" vertical="center" wrapText="1"/>
    </xf>
    <xf numFmtId="0" fontId="39" fillId="0" borderId="5" xfId="0" applyFont="1" applyFill="1" applyBorder="1" applyAlignment="1">
      <alignment horizontal="center" vertical="center" wrapText="1"/>
    </xf>
    <xf numFmtId="4" fontId="34" fillId="0" borderId="34" xfId="0" applyNumberFormat="1" applyFont="1" applyFill="1" applyBorder="1" applyAlignment="1">
      <alignment horizontal="center" vertical="center" wrapText="1"/>
    </xf>
    <xf numFmtId="4" fontId="41" fillId="0" borderId="35" xfId="0" applyNumberFormat="1" applyFont="1" applyBorder="1" applyAlignment="1">
      <alignment horizontal="center" vertical="center" wrapText="1"/>
    </xf>
    <xf numFmtId="4" fontId="41" fillId="0" borderId="35" xfId="0" applyNumberFormat="1" applyFont="1" applyFill="1" applyBorder="1" applyAlignment="1">
      <alignment horizontal="center" vertical="center" wrapText="1"/>
    </xf>
    <xf numFmtId="4" fontId="34" fillId="0" borderId="0" xfId="0" applyNumberFormat="1" applyFont="1" applyFill="1" applyAlignment="1">
      <alignment vertical="center"/>
    </xf>
    <xf numFmtId="4" fontId="34" fillId="0" borderId="0" xfId="0" applyNumberFormat="1" applyFont="1" applyFill="1" applyBorder="1" applyAlignment="1">
      <alignment horizontal="center" vertical="center" wrapText="1"/>
    </xf>
    <xf numFmtId="9" fontId="34" fillId="0" borderId="0" xfId="0" applyNumberFormat="1" applyFont="1" applyFill="1" applyAlignment="1">
      <alignment vertical="center"/>
    </xf>
    <xf numFmtId="43" fontId="34" fillId="0" borderId="0" xfId="18" applyFont="1" applyFill="1" applyAlignment="1">
      <alignment horizontal="center" vertical="center"/>
    </xf>
    <xf numFmtId="181" fontId="34" fillId="0" borderId="0" xfId="1" applyNumberFormat="1" applyFont="1" applyFill="1" applyAlignment="1">
      <alignment vertical="center"/>
    </xf>
    <xf numFmtId="10" fontId="34" fillId="0" borderId="0" xfId="0" applyNumberFormat="1" applyFont="1" applyFill="1" applyAlignment="1">
      <alignment vertical="center"/>
    </xf>
    <xf numFmtId="0" fontId="30" fillId="0" borderId="0" xfId="7" applyAlignment="1">
      <alignment vertical="center"/>
    </xf>
    <xf numFmtId="0" fontId="44" fillId="0" borderId="0" xfId="7" applyFont="1" applyAlignment="1">
      <alignment vertical="center"/>
    </xf>
    <xf numFmtId="0" fontId="45" fillId="0" borderId="2" xfId="7" applyFont="1" applyBorder="1" applyAlignment="1">
      <alignment vertical="center"/>
    </xf>
    <xf numFmtId="0" fontId="46" fillId="0" borderId="3" xfId="7" applyFont="1" applyBorder="1" applyAlignment="1">
      <alignment vertical="center"/>
    </xf>
    <xf numFmtId="0" fontId="46" fillId="0" borderId="3" xfId="7" applyFont="1" applyBorder="1" applyAlignment="1">
      <alignment horizontal="right" vertical="center"/>
    </xf>
    <xf numFmtId="17" fontId="46" fillId="0" borderId="4" xfId="7" applyNumberFormat="1" applyFont="1" applyBorder="1" applyAlignment="1">
      <alignment horizontal="center" vertical="center"/>
    </xf>
    <xf numFmtId="0" fontId="47" fillId="11" borderId="1" xfId="7" applyFont="1" applyFill="1" applyBorder="1" applyAlignment="1">
      <alignment horizontal="center" vertical="center"/>
    </xf>
    <xf numFmtId="0" fontId="46" fillId="0" borderId="1" xfId="7" applyFont="1" applyBorder="1" applyAlignment="1">
      <alignment horizontal="left" vertical="center" indent="1"/>
    </xf>
    <xf numFmtId="4" fontId="46" fillId="0" borderId="1" xfId="7" applyNumberFormat="1" applyFont="1" applyBorder="1" applyAlignment="1">
      <alignment horizontal="center" vertical="center"/>
    </xf>
    <xf numFmtId="0" fontId="46" fillId="0" borderId="1" xfId="7" applyNumberFormat="1" applyFont="1" applyBorder="1" applyAlignment="1">
      <alignment horizontal="center" vertical="center"/>
    </xf>
    <xf numFmtId="3" fontId="46" fillId="0" borderId="1" xfId="7" applyNumberFormat="1" applyFont="1" applyBorder="1" applyAlignment="1">
      <alignment horizontal="center" vertical="center"/>
    </xf>
    <xf numFmtId="0" fontId="46" fillId="0" borderId="2" xfId="7" applyFont="1" applyFill="1" applyBorder="1" applyAlignment="1">
      <alignment vertical="center"/>
    </xf>
    <xf numFmtId="3" fontId="46" fillId="0" borderId="4" xfId="7" applyNumberFormat="1" applyFont="1" applyBorder="1" applyAlignment="1">
      <alignment vertical="center"/>
    </xf>
    <xf numFmtId="3" fontId="46" fillId="0" borderId="1" xfId="7" applyNumberFormat="1" applyFont="1" applyFill="1" applyBorder="1" applyAlignment="1">
      <alignment horizontal="center" vertical="center"/>
    </xf>
    <xf numFmtId="0" fontId="44" fillId="0" borderId="4" xfId="7" applyFont="1" applyBorder="1" applyAlignment="1">
      <alignment vertical="center"/>
    </xf>
    <xf numFmtId="9" fontId="46" fillId="0" borderId="1" xfId="7" applyNumberFormat="1" applyFont="1" applyFill="1" applyBorder="1" applyAlignment="1">
      <alignment horizontal="center" vertical="center"/>
    </xf>
    <xf numFmtId="4" fontId="46" fillId="0" borderId="2" xfId="7" applyNumberFormat="1" applyFont="1" applyBorder="1" applyAlignment="1">
      <alignment horizontal="center" vertical="center"/>
    </xf>
    <xf numFmtId="0" fontId="46" fillId="0" borderId="4" xfId="7" applyFont="1" applyBorder="1" applyAlignment="1">
      <alignment vertical="center"/>
    </xf>
    <xf numFmtId="4" fontId="46" fillId="0" borderId="5" xfId="7" applyNumberFormat="1" applyFont="1" applyBorder="1" applyAlignment="1">
      <alignment horizontal="center" vertical="center"/>
    </xf>
    <xf numFmtId="0" fontId="46" fillId="0" borderId="1" xfId="7" applyFont="1" applyBorder="1" applyAlignment="1">
      <alignment horizontal="center" vertical="center"/>
    </xf>
    <xf numFmtId="0" fontId="46" fillId="0" borderId="2" xfId="7" applyFont="1" applyBorder="1" applyAlignment="1">
      <alignment vertical="center"/>
    </xf>
    <xf numFmtId="9" fontId="46" fillId="0" borderId="1" xfId="7" applyNumberFormat="1" applyFont="1" applyBorder="1" applyAlignment="1">
      <alignment horizontal="center" vertical="center"/>
    </xf>
    <xf numFmtId="4" fontId="46" fillId="0" borderId="4" xfId="7" applyNumberFormat="1" applyFont="1" applyBorder="1" applyAlignment="1">
      <alignment vertical="center"/>
    </xf>
    <xf numFmtId="0" fontId="27" fillId="0" borderId="0" xfId="7" applyFont="1" applyAlignment="1">
      <alignment vertical="center"/>
    </xf>
    <xf numFmtId="0" fontId="46" fillId="0" borderId="4" xfId="7" applyFont="1" applyBorder="1" applyAlignment="1">
      <alignment horizontal="center" vertical="center"/>
    </xf>
    <xf numFmtId="0" fontId="31" fillId="0" borderId="0" xfId="7" applyFont="1" applyAlignment="1">
      <alignment vertical="center"/>
    </xf>
    <xf numFmtId="0" fontId="47" fillId="0" borderId="1" xfId="7" applyFont="1" applyBorder="1" applyAlignment="1">
      <alignment horizontal="left" vertical="center" indent="1"/>
    </xf>
    <xf numFmtId="4" fontId="47" fillId="0" borderId="1" xfId="7" applyNumberFormat="1" applyFont="1" applyBorder="1" applyAlignment="1">
      <alignment horizontal="center" vertical="center"/>
    </xf>
    <xf numFmtId="0" fontId="47" fillId="0" borderId="2" xfId="7" applyFont="1" applyBorder="1" applyAlignment="1">
      <alignment vertical="center"/>
    </xf>
    <xf numFmtId="0" fontId="30" fillId="0" borderId="12" xfId="7" applyBorder="1" applyAlignment="1">
      <alignment vertical="center"/>
    </xf>
    <xf numFmtId="2" fontId="30" fillId="0" borderId="12" xfId="7" applyNumberFormat="1" applyBorder="1" applyAlignment="1">
      <alignment vertical="center"/>
    </xf>
    <xf numFmtId="0" fontId="31" fillId="0" borderId="0" xfId="7" applyFont="1" applyAlignment="1">
      <alignment horizontal="left" vertical="center" indent="1"/>
    </xf>
    <xf numFmtId="171" fontId="0" fillId="0" borderId="0" xfId="0" applyNumberFormat="1" applyAlignment="1">
      <alignment horizontal="left"/>
    </xf>
    <xf numFmtId="182" fontId="0" fillId="0" borderId="0" xfId="0" applyNumberFormat="1"/>
    <xf numFmtId="43" fontId="3" fillId="2" borderId="6" xfId="0" applyNumberFormat="1" applyFont="1" applyFill="1" applyBorder="1" applyAlignment="1">
      <alignment vertical="center"/>
    </xf>
    <xf numFmtId="166" fontId="3" fillId="2" borderId="3" xfId="0" applyNumberFormat="1" applyFont="1" applyFill="1" applyBorder="1" applyAlignment="1">
      <alignment horizontal="center" vertical="center"/>
    </xf>
    <xf numFmtId="0" fontId="3" fillId="2" borderId="13" xfId="0" applyFont="1" applyFill="1" applyBorder="1" applyAlignment="1">
      <alignment vertical="center"/>
    </xf>
    <xf numFmtId="0" fontId="3" fillId="2" borderId="13" xfId="0" applyFont="1" applyFill="1" applyBorder="1" applyAlignment="1">
      <alignment horizontal="center" vertical="center"/>
    </xf>
    <xf numFmtId="166" fontId="3" fillId="2" borderId="13" xfId="0" applyNumberFormat="1" applyFont="1" applyFill="1" applyBorder="1" applyAlignment="1">
      <alignment horizontal="center" vertical="center"/>
    </xf>
    <xf numFmtId="166" fontId="3" fillId="2" borderId="13" xfId="0" applyNumberFormat="1" applyFont="1" applyFill="1" applyBorder="1" applyAlignment="1">
      <alignment vertical="center"/>
    </xf>
    <xf numFmtId="166" fontId="3" fillId="2" borderId="5" xfId="0" applyNumberFormat="1" applyFont="1" applyFill="1" applyBorder="1" applyAlignment="1">
      <alignment vertical="center"/>
    </xf>
    <xf numFmtId="2" fontId="3" fillId="2" borderId="13" xfId="0" applyNumberFormat="1" applyFont="1" applyFill="1" applyBorder="1" applyAlignment="1">
      <alignment vertical="center"/>
    </xf>
    <xf numFmtId="170" fontId="3" fillId="2" borderId="13" xfId="0" applyNumberFormat="1" applyFont="1" applyFill="1" applyBorder="1" applyAlignment="1">
      <alignment vertical="center"/>
    </xf>
    <xf numFmtId="173" fontId="3" fillId="2" borderId="13" xfId="0" applyNumberFormat="1" applyFont="1" applyFill="1" applyBorder="1" applyAlignment="1">
      <alignment vertical="center"/>
    </xf>
    <xf numFmtId="0" fontId="3" fillId="0" borderId="2" xfId="0" applyFont="1" applyBorder="1" applyAlignment="1">
      <alignment vertical="center"/>
    </xf>
    <xf numFmtId="0" fontId="3" fillId="0" borderId="4" xfId="0" applyFont="1" applyBorder="1" applyAlignment="1">
      <alignment vertical="center"/>
    </xf>
    <xf numFmtId="0" fontId="3" fillId="0" borderId="2" xfId="0" applyFont="1" applyFill="1" applyBorder="1" applyAlignment="1">
      <alignment vertical="center"/>
    </xf>
    <xf numFmtId="0" fontId="3" fillId="0" borderId="4" xfId="0" applyFont="1" applyFill="1" applyBorder="1" applyAlignment="1">
      <alignment vertical="center"/>
    </xf>
    <xf numFmtId="0" fontId="3" fillId="0" borderId="2" xfId="0" applyFont="1" applyFill="1" applyBorder="1" applyAlignment="1">
      <alignment vertical="center"/>
    </xf>
    <xf numFmtId="0" fontId="3" fillId="0" borderId="4" xfId="0" applyFont="1" applyFill="1" applyBorder="1" applyAlignment="1">
      <alignment vertical="center"/>
    </xf>
    <xf numFmtId="174" fontId="3" fillId="0" borderId="1" xfId="1" applyNumberFormat="1" applyFont="1" applyFill="1" applyBorder="1" applyAlignment="1">
      <alignment horizontal="center" vertical="center"/>
    </xf>
    <xf numFmtId="0" fontId="3" fillId="0" borderId="3" xfId="0" applyFont="1" applyFill="1" applyBorder="1" applyAlignment="1">
      <alignment vertical="center"/>
    </xf>
    <xf numFmtId="43" fontId="3" fillId="0" borderId="1" xfId="0" applyNumberFormat="1" applyFont="1" applyFill="1" applyBorder="1" applyAlignment="1">
      <alignment vertical="center"/>
    </xf>
    <xf numFmtId="169" fontId="3" fillId="0" borderId="5" xfId="0" applyNumberFormat="1" applyFont="1" applyFill="1" applyBorder="1" applyAlignment="1">
      <alignment vertical="center"/>
    </xf>
    <xf numFmtId="170" fontId="3" fillId="0" borderId="5" xfId="0" applyNumberFormat="1" applyFont="1" applyFill="1" applyBorder="1" applyAlignment="1">
      <alignment vertical="center"/>
    </xf>
    <xf numFmtId="0" fontId="3" fillId="0" borderId="2" xfId="0" applyFont="1" applyFill="1" applyBorder="1" applyAlignment="1">
      <alignment horizontal="center" vertical="center"/>
    </xf>
    <xf numFmtId="0" fontId="6" fillId="0" borderId="0" xfId="0" applyFont="1" applyAlignment="1">
      <alignment horizontal="center" vertical="center"/>
    </xf>
    <xf numFmtId="0" fontId="0" fillId="0" borderId="0" xfId="0" applyAlignment="1">
      <alignment vertical="top" wrapText="1"/>
    </xf>
    <xf numFmtId="0" fontId="0" fillId="0" borderId="0" xfId="0" applyAlignment="1">
      <alignment vertical="center" wrapText="1"/>
    </xf>
    <xf numFmtId="0" fontId="3" fillId="0" borderId="1" xfId="0" applyFont="1" applyBorder="1" applyAlignment="1">
      <alignment vertical="center"/>
    </xf>
    <xf numFmtId="0" fontId="0" fillId="2" borderId="7" xfId="0" applyFill="1" applyBorder="1" applyAlignment="1">
      <alignment horizontal="center" vertical="center"/>
    </xf>
    <xf numFmtId="0" fontId="0" fillId="2" borderId="13"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2" xfId="0" applyFill="1" applyBorder="1" applyAlignment="1">
      <alignment horizontal="center" vertical="center"/>
    </xf>
    <xf numFmtId="0" fontId="0" fillId="2" borderId="10" xfId="0" applyFill="1" applyBorder="1" applyAlignment="1">
      <alignment horizontal="center" vertical="center"/>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4" xfId="0" applyFill="1" applyBorder="1" applyAlignment="1">
      <alignment horizontal="center" vertical="center"/>
    </xf>
    <xf numFmtId="10" fontId="0" fillId="5" borderId="0" xfId="1" applyNumberFormat="1" applyFont="1" applyFill="1" applyAlignment="1">
      <alignment horizontal="left" vertical="top"/>
    </xf>
    <xf numFmtId="0" fontId="0" fillId="0" borderId="0" xfId="0" applyAlignment="1">
      <alignment horizontal="justify" vertical="center" wrapText="1"/>
    </xf>
    <xf numFmtId="0" fontId="0" fillId="2" borderId="2" xfId="0" applyFill="1" applyBorder="1" applyAlignment="1">
      <alignment vertical="center" wrapText="1"/>
    </xf>
    <xf numFmtId="0" fontId="0" fillId="2" borderId="4" xfId="0" applyFill="1" applyBorder="1" applyAlignment="1">
      <alignment vertical="center" wrapText="1"/>
    </xf>
    <xf numFmtId="0" fontId="0" fillId="0" borderId="0" xfId="0" applyAlignment="1">
      <alignment horizontal="left" vertical="top" wrapText="1"/>
    </xf>
    <xf numFmtId="0" fontId="3" fillId="0" borderId="7" xfId="0" applyFont="1" applyFill="1" applyBorder="1" applyAlignment="1">
      <alignment vertical="center" wrapText="1"/>
    </xf>
    <xf numFmtId="0" fontId="3" fillId="0" borderId="8" xfId="0" applyFont="1" applyFill="1" applyBorder="1" applyAlignment="1">
      <alignment vertical="center" wrapText="1"/>
    </xf>
    <xf numFmtId="0" fontId="3" fillId="0" borderId="2" xfId="0" applyFont="1" applyFill="1" applyBorder="1" applyAlignment="1">
      <alignment vertical="center" wrapText="1"/>
    </xf>
    <xf numFmtId="0" fontId="3" fillId="0" borderId="4" xfId="0" applyFont="1" applyFill="1" applyBorder="1" applyAlignment="1">
      <alignment vertical="center" wrapText="1"/>
    </xf>
    <xf numFmtId="0" fontId="3" fillId="0" borderId="2" xfId="0" applyFont="1" applyFill="1" applyBorder="1" applyAlignment="1">
      <alignment vertical="top" wrapText="1"/>
    </xf>
    <xf numFmtId="0" fontId="3" fillId="0" borderId="4" xfId="0" applyFont="1" applyFill="1" applyBorder="1" applyAlignment="1">
      <alignment vertical="top" wrapText="1"/>
    </xf>
    <xf numFmtId="0" fontId="3" fillId="0" borderId="9" xfId="0" applyFont="1" applyFill="1" applyBorder="1" applyAlignment="1">
      <alignment vertical="center" wrapText="1"/>
    </xf>
    <xf numFmtId="0" fontId="3" fillId="0" borderId="10" xfId="0" applyFont="1" applyFill="1" applyBorder="1" applyAlignment="1">
      <alignment vertical="center" wrapText="1"/>
    </xf>
    <xf numFmtId="0" fontId="0" fillId="2" borderId="2" xfId="0" applyFill="1" applyBorder="1" applyAlignment="1">
      <alignment horizontal="center" vertical="center" wrapText="1"/>
    </xf>
    <xf numFmtId="0" fontId="0" fillId="2" borderId="4" xfId="0" applyFill="1" applyBorder="1" applyAlignment="1">
      <alignment horizontal="center" vertical="center" wrapText="1"/>
    </xf>
    <xf numFmtId="0" fontId="3" fillId="0" borderId="2" xfId="0" applyFont="1" applyFill="1" applyBorder="1" applyAlignment="1">
      <alignment vertical="center"/>
    </xf>
    <xf numFmtId="0" fontId="3" fillId="0" borderId="4" xfId="0" applyFont="1" applyFill="1" applyBorder="1" applyAlignment="1">
      <alignment vertical="center"/>
    </xf>
    <xf numFmtId="0" fontId="3" fillId="0" borderId="0" xfId="0" applyFont="1" applyAlignment="1">
      <alignment horizontal="left" vertical="center" wrapText="1"/>
    </xf>
    <xf numFmtId="0" fontId="0" fillId="2" borderId="3" xfId="0" applyFont="1" applyFill="1" applyBorder="1" applyAlignment="1">
      <alignment vertical="center"/>
    </xf>
    <xf numFmtId="0" fontId="3" fillId="0" borderId="7" xfId="0" applyFont="1" applyFill="1" applyBorder="1" applyAlignment="1">
      <alignment vertical="center"/>
    </xf>
    <xf numFmtId="0" fontId="3" fillId="0" borderId="8" xfId="0" applyFont="1" applyFill="1" applyBorder="1" applyAlignment="1">
      <alignment vertical="center"/>
    </xf>
    <xf numFmtId="0" fontId="3" fillId="0" borderId="2" xfId="0" applyFont="1" applyFill="1" applyBorder="1" applyAlignment="1">
      <alignment horizontal="left" vertical="center"/>
    </xf>
    <xf numFmtId="0" fontId="3" fillId="0" borderId="4" xfId="0" applyFont="1" applyFill="1" applyBorder="1" applyAlignment="1">
      <alignment horizontal="left" vertical="center"/>
    </xf>
    <xf numFmtId="0" fontId="3" fillId="0" borderId="2" xfId="0" applyFont="1" applyBorder="1" applyAlignment="1">
      <alignment vertical="center"/>
    </xf>
    <xf numFmtId="0" fontId="3" fillId="0" borderId="4" xfId="0" applyFont="1" applyBorder="1" applyAlignment="1">
      <alignment vertical="center"/>
    </xf>
    <xf numFmtId="0" fontId="3" fillId="0" borderId="0" xfId="0" applyFont="1" applyAlignment="1">
      <alignment horizontal="justify" vertical="top" wrapText="1"/>
    </xf>
    <xf numFmtId="0" fontId="3" fillId="0" borderId="7" xfId="0" applyFont="1" applyBorder="1" applyAlignment="1">
      <alignment vertical="center"/>
    </xf>
    <xf numFmtId="0" fontId="3" fillId="0" borderId="8" xfId="0" applyFont="1" applyBorder="1" applyAlignment="1">
      <alignment vertical="center"/>
    </xf>
    <xf numFmtId="4" fontId="3" fillId="0" borderId="2" xfId="0" applyNumberFormat="1" applyFont="1" applyBorder="1" applyAlignment="1">
      <alignment vertical="center"/>
    </xf>
    <xf numFmtId="4" fontId="3" fillId="0" borderId="4" xfId="0" applyNumberFormat="1" applyFont="1" applyBorder="1" applyAlignment="1">
      <alignment vertical="center"/>
    </xf>
    <xf numFmtId="0" fontId="6" fillId="8" borderId="2" xfId="0" applyFont="1" applyFill="1" applyBorder="1" applyAlignment="1">
      <alignment horizontal="center" vertical="center"/>
    </xf>
    <xf numFmtId="0" fontId="6" fillId="8" borderId="3" xfId="0" applyFont="1" applyFill="1" applyBorder="1" applyAlignment="1">
      <alignment horizontal="center" vertical="center"/>
    </xf>
    <xf numFmtId="0" fontId="6" fillId="8" borderId="4" xfId="0" applyFont="1" applyFill="1" applyBorder="1" applyAlignment="1">
      <alignment horizontal="center" vertical="center"/>
    </xf>
    <xf numFmtId="0" fontId="0" fillId="0" borderId="0" xfId="0" applyAlignment="1">
      <alignment horizontal="left"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8" borderId="2" xfId="0" applyFont="1" applyFill="1" applyBorder="1" applyAlignment="1">
      <alignment horizontal="right" vertical="center"/>
    </xf>
    <xf numFmtId="0" fontId="2" fillId="8" borderId="4" xfId="0" applyFont="1" applyFill="1" applyBorder="1" applyAlignment="1">
      <alignment horizontal="right" vertical="center"/>
    </xf>
    <xf numFmtId="0" fontId="22" fillId="0" borderId="0" xfId="0" applyFont="1" applyAlignment="1">
      <alignment horizontal="justify" vertical="center" wrapText="1"/>
    </xf>
    <xf numFmtId="9" fontId="3" fillId="0" borderId="1" xfId="1" applyFont="1" applyBorder="1" applyAlignment="1">
      <alignment vertical="center"/>
    </xf>
    <xf numFmtId="9" fontId="0" fillId="2" borderId="1" xfId="1" applyFont="1" applyFill="1" applyBorder="1" applyAlignment="1">
      <alignment vertical="center"/>
    </xf>
    <xf numFmtId="2" fontId="3" fillId="0" borderId="1" xfId="0" applyNumberFormat="1" applyFont="1" applyBorder="1" applyAlignment="1">
      <alignment horizontal="center" vertical="center"/>
    </xf>
    <xf numFmtId="2" fontId="0" fillId="2" borderId="1" xfId="0" applyNumberFormat="1" applyFill="1" applyBorder="1" applyAlignment="1">
      <alignment horizontal="center" vertical="center"/>
    </xf>
    <xf numFmtId="0" fontId="3" fillId="0" borderId="1" xfId="0" applyFont="1" applyBorder="1" applyAlignment="1">
      <alignment horizontal="center" vertical="center"/>
    </xf>
    <xf numFmtId="0" fontId="3" fillId="2" borderId="2" xfId="0" applyFont="1" applyFill="1" applyBorder="1" applyAlignment="1">
      <alignment vertical="center"/>
    </xf>
    <xf numFmtId="0" fontId="3" fillId="2" borderId="4" xfId="0" applyFont="1" applyFill="1" applyBorder="1" applyAlignment="1">
      <alignment vertical="center"/>
    </xf>
    <xf numFmtId="0" fontId="10" fillId="0" borderId="2" xfId="0" applyFont="1" applyBorder="1" applyAlignment="1">
      <alignment horizontal="left" vertical="center" indent="2"/>
    </xf>
    <xf numFmtId="0" fontId="10" fillId="0" borderId="4" xfId="0" applyFont="1" applyBorder="1" applyAlignment="1">
      <alignment horizontal="left" vertical="center" indent="2"/>
    </xf>
    <xf numFmtId="0" fontId="0" fillId="2" borderId="2" xfId="0" applyFont="1" applyFill="1" applyBorder="1" applyAlignment="1">
      <alignment vertical="center"/>
    </xf>
    <xf numFmtId="0" fontId="0" fillId="2" borderId="4" xfId="0" applyFont="1" applyFill="1" applyBorder="1" applyAlignment="1">
      <alignment vertical="center"/>
    </xf>
    <xf numFmtId="0" fontId="0" fillId="2" borderId="3" xfId="0" applyFill="1" applyBorder="1" applyAlignment="1">
      <alignment horizontal="center" vertical="center"/>
    </xf>
    <xf numFmtId="0" fontId="3" fillId="0" borderId="0" xfId="0" applyFont="1" applyAlignment="1">
      <alignment vertical="top" wrapText="1"/>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0" fillId="0" borderId="1" xfId="0" applyBorder="1" applyAlignment="1">
      <alignment vertical="center"/>
    </xf>
    <xf numFmtId="0" fontId="5" fillId="0" borderId="12" xfId="0" applyFont="1" applyBorder="1" applyAlignment="1">
      <alignment horizontal="center" vertical="center"/>
    </xf>
    <xf numFmtId="0" fontId="5" fillId="0" borderId="0" xfId="0" applyFont="1" applyAlignment="1">
      <alignment horizontal="center" vertical="center"/>
    </xf>
    <xf numFmtId="0" fontId="0" fillId="0" borderId="1" xfId="0" applyBorder="1" applyAlignment="1">
      <alignment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0" fillId="0" borderId="2" xfId="0" applyBorder="1" applyAlignment="1">
      <alignment horizontal="right" vertical="center" wrapText="1"/>
    </xf>
    <xf numFmtId="0" fontId="0" fillId="0" borderId="3" xfId="0" applyBorder="1" applyAlignment="1">
      <alignment horizontal="right" vertical="center" wrapText="1"/>
    </xf>
    <xf numFmtId="0" fontId="7" fillId="2" borderId="1" xfId="0" applyFont="1" applyFill="1" applyBorder="1" applyAlignment="1">
      <alignment horizontal="center" vertical="center"/>
    </xf>
    <xf numFmtId="0" fontId="0" fillId="0" borderId="1" xfId="0" applyBorder="1" applyAlignment="1">
      <alignment horizontal="center" vertical="center"/>
    </xf>
    <xf numFmtId="0" fontId="13" fillId="0" borderId="0" xfId="3" applyAlignment="1">
      <alignment horizontal="center" wrapText="1"/>
    </xf>
    <xf numFmtId="0" fontId="25" fillId="0" borderId="30" xfId="4" applyFont="1" applyBorder="1" applyAlignment="1">
      <alignment horizontal="left" vertical="center" wrapText="1"/>
    </xf>
    <xf numFmtId="0" fontId="25" fillId="0" borderId="31" xfId="4" applyFont="1" applyBorder="1" applyAlignment="1">
      <alignment horizontal="left" vertical="center" wrapText="1"/>
    </xf>
    <xf numFmtId="0" fontId="25" fillId="0" borderId="32" xfId="4" applyFont="1" applyBorder="1" applyAlignment="1">
      <alignment horizontal="left" vertical="center" wrapText="1"/>
    </xf>
    <xf numFmtId="0" fontId="25" fillId="0" borderId="33" xfId="4" applyFont="1" applyBorder="1" applyAlignment="1">
      <alignment horizontal="left" vertical="center" wrapText="1"/>
    </xf>
    <xf numFmtId="0" fontId="26" fillId="9" borderId="15" xfId="0" applyFont="1" applyFill="1" applyBorder="1" applyAlignment="1">
      <alignment horizontal="center" vertical="center"/>
    </xf>
    <xf numFmtId="0" fontId="26" fillId="9" borderId="16" xfId="0" applyFont="1" applyFill="1" applyBorder="1" applyAlignment="1">
      <alignment horizontal="center" vertical="center"/>
    </xf>
    <xf numFmtId="0" fontId="26" fillId="9" borderId="17" xfId="0" applyFont="1" applyFill="1" applyBorder="1" applyAlignment="1">
      <alignment horizontal="center" vertical="center"/>
    </xf>
    <xf numFmtId="0" fontId="27" fillId="0" borderId="16" xfId="0" applyFont="1" applyBorder="1" applyAlignment="1">
      <alignment horizontal="center" vertical="center"/>
    </xf>
    <xf numFmtId="0" fontId="27" fillId="0" borderId="18" xfId="0" applyFont="1" applyBorder="1" applyAlignment="1">
      <alignment horizontal="center" vertical="center"/>
    </xf>
    <xf numFmtId="0" fontId="27" fillId="0" borderId="19" xfId="0" applyFont="1" applyBorder="1" applyAlignment="1">
      <alignment horizontal="center" vertical="center"/>
    </xf>
    <xf numFmtId="0" fontId="27" fillId="0" borderId="27" xfId="0" applyFont="1" applyBorder="1" applyAlignment="1">
      <alignment horizontal="center" vertical="center"/>
    </xf>
    <xf numFmtId="0" fontId="26" fillId="9" borderId="12" xfId="0" applyFont="1" applyFill="1" applyBorder="1" applyAlignment="1">
      <alignment horizontal="right" vertical="center"/>
    </xf>
    <xf numFmtId="9" fontId="0" fillId="2" borderId="7" xfId="1" applyFont="1" applyFill="1" applyBorder="1" applyAlignment="1">
      <alignment horizontal="center" vertical="center"/>
    </xf>
    <xf numFmtId="9" fontId="0" fillId="2" borderId="14" xfId="1" applyFont="1" applyFill="1" applyBorder="1" applyAlignment="1">
      <alignment horizontal="center" vertical="center"/>
    </xf>
    <xf numFmtId="0" fontId="35" fillId="0" borderId="0" xfId="0" applyFont="1" applyFill="1" applyBorder="1" applyAlignment="1">
      <alignment horizontal="center" vertical="center"/>
    </xf>
    <xf numFmtId="0" fontId="37" fillId="0" borderId="0" xfId="0" applyFont="1" applyFill="1" applyBorder="1" applyAlignment="1">
      <alignment horizontal="center" vertical="center"/>
    </xf>
    <xf numFmtId="4" fontId="36" fillId="0" borderId="5" xfId="0" applyNumberFormat="1" applyFont="1" applyBorder="1" applyAlignment="1">
      <alignment horizontal="center" vertical="center" wrapText="1"/>
    </xf>
    <xf numFmtId="4" fontId="36" fillId="0" borderId="11" xfId="0" applyNumberFormat="1" applyFont="1" applyBorder="1" applyAlignment="1">
      <alignment horizontal="center" vertical="center" wrapText="1"/>
    </xf>
    <xf numFmtId="4" fontId="36" fillId="0" borderId="6" xfId="0" applyNumberFormat="1" applyFont="1" applyBorder="1" applyAlignment="1">
      <alignment horizontal="center" vertical="center" wrapText="1"/>
    </xf>
    <xf numFmtId="0" fontId="39" fillId="0" borderId="2" xfId="0" applyFont="1" applyFill="1" applyBorder="1" applyAlignment="1">
      <alignment horizontal="center" vertical="center" wrapText="1"/>
    </xf>
    <xf numFmtId="0" fontId="39" fillId="0" borderId="3" xfId="0" applyFont="1" applyFill="1" applyBorder="1" applyAlignment="1">
      <alignment horizontal="center" vertical="center" wrapText="1"/>
    </xf>
    <xf numFmtId="0" fontId="39" fillId="0" borderId="4" xfId="0" applyFont="1" applyFill="1" applyBorder="1" applyAlignment="1">
      <alignment horizontal="center" vertical="center" wrapText="1"/>
    </xf>
    <xf numFmtId="0" fontId="39" fillId="0" borderId="5" xfId="0" applyFont="1" applyFill="1" applyBorder="1" applyAlignment="1">
      <alignment horizontal="center" vertical="center" wrapText="1"/>
    </xf>
    <xf numFmtId="0" fontId="39" fillId="0" borderId="6" xfId="0" applyFont="1" applyFill="1" applyBorder="1" applyAlignment="1">
      <alignment horizontal="center" vertical="center" wrapText="1"/>
    </xf>
    <xf numFmtId="4" fontId="39" fillId="0" borderId="5" xfId="0" applyNumberFormat="1" applyFont="1" applyFill="1" applyBorder="1" applyAlignment="1">
      <alignment horizontal="center" vertical="center" wrapText="1"/>
    </xf>
    <xf numFmtId="4" fontId="39" fillId="0" borderId="11" xfId="0" applyNumberFormat="1" applyFont="1" applyFill="1" applyBorder="1" applyAlignment="1">
      <alignment horizontal="center" vertical="center" wrapText="1"/>
    </xf>
    <xf numFmtId="4" fontId="39" fillId="0" borderId="6" xfId="0" applyNumberFormat="1" applyFont="1" applyFill="1" applyBorder="1" applyAlignment="1">
      <alignment horizontal="center" vertical="center" wrapText="1"/>
    </xf>
    <xf numFmtId="0" fontId="34" fillId="0" borderId="5" xfId="0" applyFont="1" applyBorder="1" applyAlignment="1">
      <alignment horizontal="center" vertical="center" wrapText="1"/>
    </xf>
    <xf numFmtId="0" fontId="34" fillId="0" borderId="6" xfId="0" applyFont="1" applyBorder="1" applyAlignment="1">
      <alignment horizontal="center" vertical="center" wrapText="1"/>
    </xf>
    <xf numFmtId="4" fontId="40" fillId="0" borderId="5" xfId="0" applyNumberFormat="1" applyFont="1" applyFill="1" applyBorder="1" applyAlignment="1">
      <alignment horizontal="center" vertical="center" wrapText="1"/>
    </xf>
    <xf numFmtId="4" fontId="40" fillId="0" borderId="6" xfId="0" applyNumberFormat="1" applyFont="1" applyFill="1" applyBorder="1" applyAlignment="1">
      <alignment horizontal="center" vertical="center" wrapText="1"/>
    </xf>
    <xf numFmtId="0" fontId="34" fillId="0" borderId="11" xfId="0" applyFont="1" applyBorder="1" applyAlignment="1">
      <alignment horizontal="center" vertical="center" wrapText="1"/>
    </xf>
    <xf numFmtId="0" fontId="34" fillId="0" borderId="5" xfId="0" applyFont="1" applyFill="1" applyBorder="1" applyAlignment="1">
      <alignment horizontal="center" vertical="center" wrapText="1"/>
    </xf>
    <xf numFmtId="0" fontId="34" fillId="0" borderId="6" xfId="0" applyFont="1" applyFill="1" applyBorder="1" applyAlignment="1">
      <alignment horizontal="center" vertical="center" wrapText="1"/>
    </xf>
    <xf numFmtId="0" fontId="45" fillId="12" borderId="1" xfId="7" applyFont="1" applyFill="1" applyBorder="1" applyAlignment="1">
      <alignment horizontal="center" vertical="center"/>
    </xf>
    <xf numFmtId="0" fontId="45" fillId="13" borderId="1" xfId="7" applyFont="1" applyFill="1" applyBorder="1" applyAlignment="1">
      <alignment horizontal="center" vertical="center"/>
    </xf>
    <xf numFmtId="0" fontId="43" fillId="0" borderId="0" xfId="7" applyFont="1" applyAlignment="1">
      <alignment horizontal="center" vertical="center"/>
    </xf>
    <xf numFmtId="0" fontId="35" fillId="0" borderId="0" xfId="7" applyFont="1" applyAlignment="1">
      <alignment horizontal="center" vertical="center"/>
    </xf>
    <xf numFmtId="0" fontId="47" fillId="11" borderId="2" xfId="7" applyFont="1" applyFill="1" applyBorder="1" applyAlignment="1">
      <alignment horizontal="center" vertical="center"/>
    </xf>
    <xf numFmtId="0" fontId="47" fillId="11" borderId="4" xfId="7" applyFont="1" applyFill="1" applyBorder="1" applyAlignment="1">
      <alignment horizontal="center" vertical="center"/>
    </xf>
    <xf numFmtId="3" fontId="46" fillId="0" borderId="2" xfId="7" applyNumberFormat="1" applyFont="1" applyFill="1" applyBorder="1" applyAlignment="1">
      <alignment horizontal="left" vertical="center" wrapText="1"/>
    </xf>
    <xf numFmtId="3" fontId="46" fillId="0" borderId="4" xfId="7" applyNumberFormat="1" applyFont="1" applyFill="1" applyBorder="1" applyAlignment="1">
      <alignment horizontal="left" vertical="center" wrapText="1"/>
    </xf>
  </cellXfs>
  <cellStyles count="19">
    <cellStyle name="Hiperlink" xfId="3" builtinId="8"/>
    <cellStyle name="Hiperlink 2" xfId="8"/>
    <cellStyle name="Moeda" xfId="2" builtinId="4"/>
    <cellStyle name="Moeda 2" xfId="9"/>
    <cellStyle name="Normal" xfId="0" builtinId="0"/>
    <cellStyle name="Normal 2" xfId="6"/>
    <cellStyle name="Normal 2 2" xfId="11"/>
    <cellStyle name="Normal 2 3" xfId="10"/>
    <cellStyle name="Normal 3" xfId="4"/>
    <cellStyle name="Normal 3 2" xfId="12"/>
    <cellStyle name="Normal 4" xfId="7"/>
    <cellStyle name="Porcentagem" xfId="1" builtinId="5"/>
    <cellStyle name="Porcentagem 2" xfId="5"/>
    <cellStyle name="Porcentagem 3" xfId="13"/>
    <cellStyle name="Vírgula" xfId="18" builtinId="3"/>
    <cellStyle name="Vírgula 2" xfId="15"/>
    <cellStyle name="Vírgula 2 2" xfId="16"/>
    <cellStyle name="Vírgula 3" xfId="17"/>
    <cellStyle name="Vírgula 4" xfId="14"/>
  </cellStyles>
  <dxfs count="5">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1" tint="0.499984740745262"/>
        </patternFill>
      </fill>
      <border>
        <top style="thin">
          <color theme="0"/>
        </top>
        <bottom style="thin">
          <color theme="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2.xml"/><Relationship Id="rId18" Type="http://schemas.openxmlformats.org/officeDocument/2006/relationships/worksheet" Target="worksheets/sheet17.xml"/><Relationship Id="rId26" Type="http://schemas.openxmlformats.org/officeDocument/2006/relationships/worksheet" Target="worksheets/sheet25.xml"/><Relationship Id="rId21" Type="http://schemas.openxmlformats.org/officeDocument/2006/relationships/worksheet" Target="worksheets/sheet20.xml"/><Relationship Id="rId34" Type="http://schemas.openxmlformats.org/officeDocument/2006/relationships/theme" Target="theme/theme1.xml"/><Relationship Id="rId7" Type="http://schemas.openxmlformats.org/officeDocument/2006/relationships/worksheet" Target="worksheets/sheet6.xml"/><Relationship Id="rId12" Type="http://schemas.openxmlformats.org/officeDocument/2006/relationships/worksheet" Target="worksheets/sheet11.xml"/><Relationship Id="rId17" Type="http://schemas.openxmlformats.org/officeDocument/2006/relationships/worksheet" Target="worksheets/sheet16.xml"/><Relationship Id="rId25" Type="http://schemas.openxmlformats.org/officeDocument/2006/relationships/worksheet" Target="worksheets/sheet24.xml"/><Relationship Id="rId33"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5.xml"/><Relationship Id="rId20" Type="http://schemas.openxmlformats.org/officeDocument/2006/relationships/worksheet" Target="worksheets/sheet19.xml"/><Relationship Id="rId29" Type="http://schemas.openxmlformats.org/officeDocument/2006/relationships/worksheet" Target="worksheets/sheet28.xml"/><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worksheet" Target="worksheets/sheet10.xml"/><Relationship Id="rId24" Type="http://schemas.openxmlformats.org/officeDocument/2006/relationships/worksheet" Target="worksheets/sheet23.xml"/><Relationship Id="rId32" Type="http://schemas.openxmlformats.org/officeDocument/2006/relationships/externalLink" Target="externalLinks/externalLink1.xml"/><Relationship Id="rId37" Type="http://schemas.openxmlformats.org/officeDocument/2006/relationships/calcChain" Target="calcChain.xml"/><Relationship Id="rId5" Type="http://schemas.openxmlformats.org/officeDocument/2006/relationships/worksheet" Target="worksheets/sheet4.xml"/><Relationship Id="rId15" Type="http://schemas.openxmlformats.org/officeDocument/2006/relationships/worksheet" Target="worksheets/sheet14.xml"/><Relationship Id="rId23" Type="http://schemas.openxmlformats.org/officeDocument/2006/relationships/worksheet" Target="worksheets/sheet22.xml"/><Relationship Id="rId28" Type="http://schemas.openxmlformats.org/officeDocument/2006/relationships/worksheet" Target="worksheets/sheet27.xml"/><Relationship Id="rId36" Type="http://schemas.openxmlformats.org/officeDocument/2006/relationships/sharedStrings" Target="sharedStrings.xml"/><Relationship Id="rId10" Type="http://schemas.openxmlformats.org/officeDocument/2006/relationships/worksheet" Target="worksheets/sheet9.xml"/><Relationship Id="rId19" Type="http://schemas.openxmlformats.org/officeDocument/2006/relationships/worksheet" Target="worksheets/sheet18.xml"/><Relationship Id="rId31" Type="http://schemas.openxmlformats.org/officeDocument/2006/relationships/worksheet" Target="worksheets/sheet30.xml"/><Relationship Id="rId4" Type="http://schemas.openxmlformats.org/officeDocument/2006/relationships/chartsheet" Target="chartsheets/sheet1.xml"/><Relationship Id="rId9" Type="http://schemas.openxmlformats.org/officeDocument/2006/relationships/worksheet" Target="worksheets/sheet8.xml"/><Relationship Id="rId14" Type="http://schemas.openxmlformats.org/officeDocument/2006/relationships/worksheet" Target="worksheets/sheet13.xml"/><Relationship Id="rId22" Type="http://schemas.openxmlformats.org/officeDocument/2006/relationships/worksheet" Target="worksheets/sheet21.xml"/><Relationship Id="rId27" Type="http://schemas.openxmlformats.org/officeDocument/2006/relationships/worksheet" Target="worksheets/sheet26.xml"/><Relationship Id="rId30" Type="http://schemas.openxmlformats.org/officeDocument/2006/relationships/worksheet" Target="worksheets/sheet29.xml"/><Relationship Id="rId35" Type="http://schemas.openxmlformats.org/officeDocument/2006/relationships/styles" Target="styles.xml"/><Relationship Id="rId8" Type="http://schemas.openxmlformats.org/officeDocument/2006/relationships/worksheet" Target="worksheets/sheet7.xml"/><Relationship Id="rId3" Type="http://schemas.openxmlformats.org/officeDocument/2006/relationships/worksheet" Target="worksheets/sheet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pt-BR" sz="1400" b="1" i="0" u="none" strike="noStrike" baseline="0">
                <a:effectLst/>
              </a:rPr>
              <a:t>Projeto Executivo de Engenharia para Implantação do Aeródromo no município de Nova Andradina/MS - Cronograma Físico</a:t>
            </a:r>
            <a:endParaRPr lang="pt-BR" sz="1400">
              <a:solidFill>
                <a:sysClr val="windowText" lastClr="000000"/>
              </a:solidFill>
            </a:endParaRPr>
          </a:p>
        </c:rich>
      </c:tx>
      <c:layout>
        <c:manualLayout>
          <c:xMode val="edge"/>
          <c:yMode val="edge"/>
          <c:x val="0.25661938573467791"/>
          <c:y val="1.062636845105799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pt-BR"/>
        </a:p>
      </c:txPr>
    </c:title>
    <c:autoTitleDeleted val="0"/>
    <c:plotArea>
      <c:layout>
        <c:manualLayout>
          <c:layoutTarget val="inner"/>
          <c:xMode val="edge"/>
          <c:yMode val="edge"/>
          <c:x val="0.27981537044711519"/>
          <c:y val="6.6000501248991303E-2"/>
          <c:w val="0.70625692211008839"/>
          <c:h val="0.91926965950347417"/>
        </c:manualLayout>
      </c:layout>
      <c:barChart>
        <c:barDir val="bar"/>
        <c:grouping val="stacked"/>
        <c:varyColors val="0"/>
        <c:ser>
          <c:idx val="1"/>
          <c:order val="0"/>
          <c:spPr>
            <a:noFill/>
            <a:ln>
              <a:noFill/>
            </a:ln>
            <a:effectLst/>
          </c:spPr>
          <c:invertIfNegative val="0"/>
          <c:cat>
            <c:strRef>
              <c:f>'Crono fisico'!$C$13:$C$74</c:f>
              <c:strCache>
                <c:ptCount val="62"/>
                <c:pt idx="0">
                  <c:v>PROJETO EXECUTIVO</c:v>
                </c:pt>
                <c:pt idx="1">
                  <c:v>FASE PRELIMINAR</c:v>
                </c:pt>
                <c:pt idx="2">
                  <c:v>Coleta e análise dos dados existentes</c:v>
                </c:pt>
                <c:pt idx="3">
                  <c:v>Componente Ambiental do Projeto - Fase Preliminar</c:v>
                </c:pt>
                <c:pt idx="4">
                  <c:v>Componente Ambiental do Projeto - Fase Preliminar: investigação de campo</c:v>
                </c:pt>
                <c:pt idx="5">
                  <c:v>Componente Ambiental do Projeto - Fase Preliminar: trabalho de escritório (análises e formulações)</c:v>
                </c:pt>
                <c:pt idx="6">
                  <c:v>Estudos Geológicos</c:v>
                </c:pt>
                <c:pt idx="7">
                  <c:v>Estudos Hidrológicos</c:v>
                </c:pt>
                <c:pt idx="8">
                  <c:v>Estudos de Traçado</c:v>
                </c:pt>
                <c:pt idx="9">
                  <c:v>Estudos Topográficos</c:v>
                </c:pt>
                <c:pt idx="10">
                  <c:v>Estudos Topográficos: serviços de campo</c:v>
                </c:pt>
                <c:pt idx="11">
                  <c:v>Estudos Topográficos: trabalho de escritório</c:v>
                </c:pt>
                <c:pt idx="12">
                  <c:v>Entrega do Relatório da Fase Preliminar</c:v>
                </c:pt>
                <c:pt idx="13">
                  <c:v>Análise do Relatório da Fase Preliminar</c:v>
                </c:pt>
                <c:pt idx="14">
                  <c:v>Correções do Relatório da Fase Preliminar</c:v>
                </c:pt>
                <c:pt idx="15">
                  <c:v>Aprovação do Relatório da Fase Preliminar</c:v>
                </c:pt>
                <c:pt idx="16">
                  <c:v>FASE DE PROJETO BÁSICO</c:v>
                </c:pt>
                <c:pt idx="17">
                  <c:v>Estudos Geotécnicos - Fase de Projeto Básico</c:v>
                </c:pt>
                <c:pt idx="18">
                  <c:v>Estudos Geotécnicos: sondagens de subleito, cortes, caixas de empréstimo e jazidas de solo</c:v>
                </c:pt>
                <c:pt idx="19">
                  <c:v>Estudos Geotécnicos: ensaios de laboratório</c:v>
                </c:pt>
                <c:pt idx="20">
                  <c:v>Estudos Geotécnicos - Fase de Projeto Básico: trabalho de escritório (análises e formulações)</c:v>
                </c:pt>
                <c:pt idx="21">
                  <c:v>Componente Ambiental do Projeto - Fase de Projeto Básico</c:v>
                </c:pt>
                <c:pt idx="22">
                  <c:v>Projeto Geométrico Básico</c:v>
                </c:pt>
                <c:pt idx="23">
                  <c:v>Projeto Básico de Terraplenagem</c:v>
                </c:pt>
                <c:pt idx="24">
                  <c:v>Projeto Básico de Drenagem e Obras de Arte Correntes</c:v>
                </c:pt>
                <c:pt idx="25">
                  <c:v>Projeto Básico de Pavimentação</c:v>
                </c:pt>
                <c:pt idx="26">
                  <c:v>Projeto Básico de Sinalização</c:v>
                </c:pt>
                <c:pt idx="27">
                  <c:v>Projeto Básico de Obras Complementares</c:v>
                </c:pt>
                <c:pt idx="28">
                  <c:v>Projeto Básico do Canteiro de Obras e Acampamento do Pessoal</c:v>
                </c:pt>
                <c:pt idx="29">
                  <c:v>Projeto Básico de Regularização de Jazidas</c:v>
                </c:pt>
                <c:pt idx="30">
                  <c:v>Orçamento Básico da Obra</c:v>
                </c:pt>
                <c:pt idx="31">
                  <c:v>Entrega do Relatório da Fase de Projeto Básico</c:v>
                </c:pt>
                <c:pt idx="32">
                  <c:v>Análise do Relatório da Fase de Projeto Básico</c:v>
                </c:pt>
                <c:pt idx="33">
                  <c:v>Correções do Relatório da Fase de Projeto Básico</c:v>
                </c:pt>
                <c:pt idx="34">
                  <c:v>Aprovação do Relatório da Fase de Projeto Básico</c:v>
                </c:pt>
                <c:pt idx="35">
                  <c:v>FASE DE PROJETO EXECUTIVO</c:v>
                </c:pt>
                <c:pt idx="36">
                  <c:v>Estudos Geotécnicos - Fase de Projeto Executivo</c:v>
                </c:pt>
                <c:pt idx="37">
                  <c:v>Componente Ambiental do Projeto - Fase de Projeto Executivo</c:v>
                </c:pt>
                <c:pt idx="38">
                  <c:v>Projeto Geométrico</c:v>
                </c:pt>
                <c:pt idx="39">
                  <c:v>Projeto de Terraplenagem</c:v>
                </c:pt>
                <c:pt idx="40">
                  <c:v>Projeto de Drenagem e Obras de Arte Correntes</c:v>
                </c:pt>
                <c:pt idx="41">
                  <c:v>Projeto de Pavimentação</c:v>
                </c:pt>
                <c:pt idx="42">
                  <c:v>Projeto de Sinalização</c:v>
                </c:pt>
                <c:pt idx="43">
                  <c:v>Projeto de Obras Complementares</c:v>
                </c:pt>
                <c:pt idx="44">
                  <c:v>Projeto do Canteiro de Obras e Acampamento do Pessoal</c:v>
                </c:pt>
                <c:pt idx="45">
                  <c:v>Projeto de Regularização de Jazidas</c:v>
                </c:pt>
                <c:pt idx="46">
                  <c:v>Orçamento da Obra</c:v>
                </c:pt>
                <c:pt idx="47">
                  <c:v>Plano de Execução da Obra</c:v>
                </c:pt>
                <c:pt idx="48">
                  <c:v>Entrega do Relatório da Fase de Projeto Executivo</c:v>
                </c:pt>
                <c:pt idx="49">
                  <c:v>Análise do Relatório da Fase de Projeto Executivo</c:v>
                </c:pt>
                <c:pt idx="50">
                  <c:v>Correções do Relatório da Fase de Projeto Executivo</c:v>
                </c:pt>
                <c:pt idx="51">
                  <c:v>Aprovação do Relatório da Fase de Projeto Executivo</c:v>
                </c:pt>
                <c:pt idx="52">
                  <c:v>LICENCIAMENTO AMBIENTAL</c:v>
                </c:pt>
                <c:pt idx="53">
                  <c:v>Proposta Técnica Ambiental (PTA)</c:v>
                </c:pt>
                <c:pt idx="54">
                  <c:v>Estudo de Sondagem do Solo (ESS)</c:v>
                </c:pt>
                <c:pt idx="55">
                  <c:v>Plano Básico Ambiental (PBA)</c:v>
                </c:pt>
                <c:pt idx="56">
                  <c:v>Formulário de Atividades de Infraestrutura (IMASUL)</c:v>
                </c:pt>
                <c:pt idx="57">
                  <c:v>RELATÓRIO FINAL DO PBZPA</c:v>
                </c:pt>
                <c:pt idx="58">
                  <c:v>Plano Básico de Zona de Proteção de Aeródromo</c:v>
                </c:pt>
                <c:pt idx="59">
                  <c:v>Entrega do PBZPA</c:v>
                </c:pt>
                <c:pt idx="60">
                  <c:v>Correções do PBZPA</c:v>
                </c:pt>
                <c:pt idx="61">
                  <c:v>Aprovação do PBZPA</c:v>
                </c:pt>
              </c:strCache>
            </c:strRef>
          </c:cat>
          <c:val>
            <c:numRef>
              <c:f>'Crono fisico'!$E$13:$E$74</c:f>
              <c:numCache>
                <c:formatCode>0.00</c:formatCode>
                <c:ptCount val="62"/>
                <c:pt idx="0">
                  <c:v>1</c:v>
                </c:pt>
                <c:pt idx="1">
                  <c:v>1</c:v>
                </c:pt>
                <c:pt idx="2">
                  <c:v>1</c:v>
                </c:pt>
                <c:pt idx="3">
                  <c:v>3</c:v>
                </c:pt>
                <c:pt idx="4">
                  <c:v>3</c:v>
                </c:pt>
                <c:pt idx="5">
                  <c:v>6</c:v>
                </c:pt>
                <c:pt idx="6">
                  <c:v>3</c:v>
                </c:pt>
                <c:pt idx="7">
                  <c:v>5</c:v>
                </c:pt>
                <c:pt idx="8">
                  <c:v>7</c:v>
                </c:pt>
                <c:pt idx="9">
                  <c:v>3</c:v>
                </c:pt>
                <c:pt idx="10">
                  <c:v>3</c:v>
                </c:pt>
                <c:pt idx="11">
                  <c:v>7</c:v>
                </c:pt>
                <c:pt idx="12">
                  <c:v>10</c:v>
                </c:pt>
                <c:pt idx="13">
                  <c:v>20</c:v>
                </c:pt>
                <c:pt idx="14">
                  <c:v>35</c:v>
                </c:pt>
                <c:pt idx="15">
                  <c:v>48</c:v>
                </c:pt>
                <c:pt idx="16">
                  <c:v>3</c:v>
                </c:pt>
                <c:pt idx="17">
                  <c:v>3</c:v>
                </c:pt>
                <c:pt idx="18">
                  <c:v>3</c:v>
                </c:pt>
                <c:pt idx="19">
                  <c:v>8.8333333333333339</c:v>
                </c:pt>
                <c:pt idx="20">
                  <c:v>58</c:v>
                </c:pt>
                <c:pt idx="21">
                  <c:v>61</c:v>
                </c:pt>
                <c:pt idx="22">
                  <c:v>61</c:v>
                </c:pt>
                <c:pt idx="23">
                  <c:v>63</c:v>
                </c:pt>
                <c:pt idx="24">
                  <c:v>68</c:v>
                </c:pt>
                <c:pt idx="25">
                  <c:v>73</c:v>
                </c:pt>
                <c:pt idx="26">
                  <c:v>76</c:v>
                </c:pt>
                <c:pt idx="27">
                  <c:v>68</c:v>
                </c:pt>
                <c:pt idx="28">
                  <c:v>71</c:v>
                </c:pt>
                <c:pt idx="29">
                  <c:v>72</c:v>
                </c:pt>
                <c:pt idx="30">
                  <c:v>72</c:v>
                </c:pt>
                <c:pt idx="31">
                  <c:v>74</c:v>
                </c:pt>
                <c:pt idx="32">
                  <c:v>75</c:v>
                </c:pt>
                <c:pt idx="33">
                  <c:v>95</c:v>
                </c:pt>
                <c:pt idx="34">
                  <c:v>110</c:v>
                </c:pt>
                <c:pt idx="35">
                  <c:v>117</c:v>
                </c:pt>
                <c:pt idx="36">
                  <c:v>117</c:v>
                </c:pt>
                <c:pt idx="37">
                  <c:v>118</c:v>
                </c:pt>
                <c:pt idx="38">
                  <c:v>118</c:v>
                </c:pt>
                <c:pt idx="39">
                  <c:v>120</c:v>
                </c:pt>
                <c:pt idx="40">
                  <c:v>122</c:v>
                </c:pt>
                <c:pt idx="41">
                  <c:v>124</c:v>
                </c:pt>
                <c:pt idx="42">
                  <c:v>125</c:v>
                </c:pt>
                <c:pt idx="43">
                  <c:v>124</c:v>
                </c:pt>
                <c:pt idx="44">
                  <c:v>125</c:v>
                </c:pt>
                <c:pt idx="45">
                  <c:v>125</c:v>
                </c:pt>
                <c:pt idx="46">
                  <c:v>125</c:v>
                </c:pt>
                <c:pt idx="47">
                  <c:v>125</c:v>
                </c:pt>
                <c:pt idx="48">
                  <c:v>130</c:v>
                </c:pt>
                <c:pt idx="49">
                  <c:v>149</c:v>
                </c:pt>
                <c:pt idx="50">
                  <c:v>163</c:v>
                </c:pt>
                <c:pt idx="51">
                  <c:v>182</c:v>
                </c:pt>
                <c:pt idx="52">
                  <c:v>195</c:v>
                </c:pt>
                <c:pt idx="53">
                  <c:v>195</c:v>
                </c:pt>
                <c:pt idx="54">
                  <c:v>195</c:v>
                </c:pt>
                <c:pt idx="55">
                  <c:v>195</c:v>
                </c:pt>
                <c:pt idx="56">
                  <c:v>201</c:v>
                </c:pt>
                <c:pt idx="57">
                  <c:v>117</c:v>
                </c:pt>
                <c:pt idx="58">
                  <c:v>117</c:v>
                </c:pt>
                <c:pt idx="59">
                  <c:v>162</c:v>
                </c:pt>
                <c:pt idx="60">
                  <c:v>181</c:v>
                </c:pt>
                <c:pt idx="61">
                  <c:v>195</c:v>
                </c:pt>
              </c:numCache>
            </c:numRef>
          </c:val>
          <c:extLst>
            <c:ext xmlns:c16="http://schemas.microsoft.com/office/drawing/2014/chart" uri="{C3380CC4-5D6E-409C-BE32-E72D297353CC}">
              <c16:uniqueId val="{00000001-C95A-4090-8177-77BA49AB960F}"/>
            </c:ext>
          </c:extLst>
        </c:ser>
        <c:ser>
          <c:idx val="3"/>
          <c:order val="1"/>
          <c:tx>
            <c:strRef>
              <c:f>'Crono fisico'!$G$12</c:f>
              <c:strCache>
                <c:ptCount val="1"/>
                <c:pt idx="0">
                  <c:v>DURAÇÃO (DIAS)</c:v>
                </c:pt>
              </c:strCache>
            </c:strRef>
          </c:tx>
          <c:spPr>
            <a:solidFill>
              <a:schemeClr val="accent5"/>
            </a:solidFill>
            <a:ln>
              <a:noFill/>
            </a:ln>
            <a:effectLst/>
          </c:spPr>
          <c:invertIfNegative val="0"/>
          <c:cat>
            <c:strRef>
              <c:f>'Crono fisico'!$C$13:$C$74</c:f>
              <c:strCache>
                <c:ptCount val="62"/>
                <c:pt idx="0">
                  <c:v>PROJETO EXECUTIVO</c:v>
                </c:pt>
                <c:pt idx="1">
                  <c:v>FASE PRELIMINAR</c:v>
                </c:pt>
                <c:pt idx="2">
                  <c:v>Coleta e análise dos dados existentes</c:v>
                </c:pt>
                <c:pt idx="3">
                  <c:v>Componente Ambiental do Projeto - Fase Preliminar</c:v>
                </c:pt>
                <c:pt idx="4">
                  <c:v>Componente Ambiental do Projeto - Fase Preliminar: investigação de campo</c:v>
                </c:pt>
                <c:pt idx="5">
                  <c:v>Componente Ambiental do Projeto - Fase Preliminar: trabalho de escritório (análises e formulações)</c:v>
                </c:pt>
                <c:pt idx="6">
                  <c:v>Estudos Geológicos</c:v>
                </c:pt>
                <c:pt idx="7">
                  <c:v>Estudos Hidrológicos</c:v>
                </c:pt>
                <c:pt idx="8">
                  <c:v>Estudos de Traçado</c:v>
                </c:pt>
                <c:pt idx="9">
                  <c:v>Estudos Topográficos</c:v>
                </c:pt>
                <c:pt idx="10">
                  <c:v>Estudos Topográficos: serviços de campo</c:v>
                </c:pt>
                <c:pt idx="11">
                  <c:v>Estudos Topográficos: trabalho de escritório</c:v>
                </c:pt>
                <c:pt idx="12">
                  <c:v>Entrega do Relatório da Fase Preliminar</c:v>
                </c:pt>
                <c:pt idx="13">
                  <c:v>Análise do Relatório da Fase Preliminar</c:v>
                </c:pt>
                <c:pt idx="14">
                  <c:v>Correções do Relatório da Fase Preliminar</c:v>
                </c:pt>
                <c:pt idx="15">
                  <c:v>Aprovação do Relatório da Fase Preliminar</c:v>
                </c:pt>
                <c:pt idx="16">
                  <c:v>FASE DE PROJETO BÁSICO</c:v>
                </c:pt>
                <c:pt idx="17">
                  <c:v>Estudos Geotécnicos - Fase de Projeto Básico</c:v>
                </c:pt>
                <c:pt idx="18">
                  <c:v>Estudos Geotécnicos: sondagens de subleito, cortes, caixas de empréstimo e jazidas de solo</c:v>
                </c:pt>
                <c:pt idx="19">
                  <c:v>Estudos Geotécnicos: ensaios de laboratório</c:v>
                </c:pt>
                <c:pt idx="20">
                  <c:v>Estudos Geotécnicos - Fase de Projeto Básico: trabalho de escritório (análises e formulações)</c:v>
                </c:pt>
                <c:pt idx="21">
                  <c:v>Componente Ambiental do Projeto - Fase de Projeto Básico</c:v>
                </c:pt>
                <c:pt idx="22">
                  <c:v>Projeto Geométrico Básico</c:v>
                </c:pt>
                <c:pt idx="23">
                  <c:v>Projeto Básico de Terraplenagem</c:v>
                </c:pt>
                <c:pt idx="24">
                  <c:v>Projeto Básico de Drenagem e Obras de Arte Correntes</c:v>
                </c:pt>
                <c:pt idx="25">
                  <c:v>Projeto Básico de Pavimentação</c:v>
                </c:pt>
                <c:pt idx="26">
                  <c:v>Projeto Básico de Sinalização</c:v>
                </c:pt>
                <c:pt idx="27">
                  <c:v>Projeto Básico de Obras Complementares</c:v>
                </c:pt>
                <c:pt idx="28">
                  <c:v>Projeto Básico do Canteiro de Obras e Acampamento do Pessoal</c:v>
                </c:pt>
                <c:pt idx="29">
                  <c:v>Projeto Básico de Regularização de Jazidas</c:v>
                </c:pt>
                <c:pt idx="30">
                  <c:v>Orçamento Básico da Obra</c:v>
                </c:pt>
                <c:pt idx="31">
                  <c:v>Entrega do Relatório da Fase de Projeto Básico</c:v>
                </c:pt>
                <c:pt idx="32">
                  <c:v>Análise do Relatório da Fase de Projeto Básico</c:v>
                </c:pt>
                <c:pt idx="33">
                  <c:v>Correções do Relatório da Fase de Projeto Básico</c:v>
                </c:pt>
                <c:pt idx="34">
                  <c:v>Aprovação do Relatório da Fase de Projeto Básico</c:v>
                </c:pt>
                <c:pt idx="35">
                  <c:v>FASE DE PROJETO EXECUTIVO</c:v>
                </c:pt>
                <c:pt idx="36">
                  <c:v>Estudos Geotécnicos - Fase de Projeto Executivo</c:v>
                </c:pt>
                <c:pt idx="37">
                  <c:v>Componente Ambiental do Projeto - Fase de Projeto Executivo</c:v>
                </c:pt>
                <c:pt idx="38">
                  <c:v>Projeto Geométrico</c:v>
                </c:pt>
                <c:pt idx="39">
                  <c:v>Projeto de Terraplenagem</c:v>
                </c:pt>
                <c:pt idx="40">
                  <c:v>Projeto de Drenagem e Obras de Arte Correntes</c:v>
                </c:pt>
                <c:pt idx="41">
                  <c:v>Projeto de Pavimentação</c:v>
                </c:pt>
                <c:pt idx="42">
                  <c:v>Projeto de Sinalização</c:v>
                </c:pt>
                <c:pt idx="43">
                  <c:v>Projeto de Obras Complementares</c:v>
                </c:pt>
                <c:pt idx="44">
                  <c:v>Projeto do Canteiro de Obras e Acampamento do Pessoal</c:v>
                </c:pt>
                <c:pt idx="45">
                  <c:v>Projeto de Regularização de Jazidas</c:v>
                </c:pt>
                <c:pt idx="46">
                  <c:v>Orçamento da Obra</c:v>
                </c:pt>
                <c:pt idx="47">
                  <c:v>Plano de Execução da Obra</c:v>
                </c:pt>
                <c:pt idx="48">
                  <c:v>Entrega do Relatório da Fase de Projeto Executivo</c:v>
                </c:pt>
                <c:pt idx="49">
                  <c:v>Análise do Relatório da Fase de Projeto Executivo</c:v>
                </c:pt>
                <c:pt idx="50">
                  <c:v>Correções do Relatório da Fase de Projeto Executivo</c:v>
                </c:pt>
                <c:pt idx="51">
                  <c:v>Aprovação do Relatório da Fase de Projeto Executivo</c:v>
                </c:pt>
                <c:pt idx="52">
                  <c:v>LICENCIAMENTO AMBIENTAL</c:v>
                </c:pt>
                <c:pt idx="53">
                  <c:v>Proposta Técnica Ambiental (PTA)</c:v>
                </c:pt>
                <c:pt idx="54">
                  <c:v>Estudo de Sondagem do Solo (ESS)</c:v>
                </c:pt>
                <c:pt idx="55">
                  <c:v>Plano Básico Ambiental (PBA)</c:v>
                </c:pt>
                <c:pt idx="56">
                  <c:v>Formulário de Atividades de Infraestrutura (IMASUL)</c:v>
                </c:pt>
                <c:pt idx="57">
                  <c:v>RELATÓRIO FINAL DO PBZPA</c:v>
                </c:pt>
                <c:pt idx="58">
                  <c:v>Plano Básico de Zona de Proteção de Aeródromo</c:v>
                </c:pt>
                <c:pt idx="59">
                  <c:v>Entrega do PBZPA</c:v>
                </c:pt>
                <c:pt idx="60">
                  <c:v>Correções do PBZPA</c:v>
                </c:pt>
                <c:pt idx="61">
                  <c:v>Aprovação do PBZPA</c:v>
                </c:pt>
              </c:strCache>
            </c:strRef>
          </c:cat>
          <c:val>
            <c:numRef>
              <c:f>'Crono fisico'!$G$13:$G$74</c:f>
              <c:numCache>
                <c:formatCode>0.00</c:formatCode>
                <c:ptCount val="62"/>
                <c:pt idx="0">
                  <c:v>365</c:v>
                </c:pt>
                <c:pt idx="1">
                  <c:v>57</c:v>
                </c:pt>
                <c:pt idx="2">
                  <c:v>2</c:v>
                </c:pt>
                <c:pt idx="3">
                  <c:v>6</c:v>
                </c:pt>
                <c:pt idx="4">
                  <c:v>3</c:v>
                </c:pt>
                <c:pt idx="5">
                  <c:v>3</c:v>
                </c:pt>
                <c:pt idx="6">
                  <c:v>2</c:v>
                </c:pt>
                <c:pt idx="7">
                  <c:v>2</c:v>
                </c:pt>
                <c:pt idx="8">
                  <c:v>2</c:v>
                </c:pt>
                <c:pt idx="9">
                  <c:v>7</c:v>
                </c:pt>
                <c:pt idx="10">
                  <c:v>4</c:v>
                </c:pt>
                <c:pt idx="11">
                  <c:v>3</c:v>
                </c:pt>
                <c:pt idx="12">
                  <c:v>10</c:v>
                </c:pt>
                <c:pt idx="13">
                  <c:v>15</c:v>
                </c:pt>
                <c:pt idx="14">
                  <c:v>13</c:v>
                </c:pt>
                <c:pt idx="15">
                  <c:v>10</c:v>
                </c:pt>
                <c:pt idx="16">
                  <c:v>114</c:v>
                </c:pt>
                <c:pt idx="17">
                  <c:v>59</c:v>
                </c:pt>
                <c:pt idx="18">
                  <c:v>5.8333333333333339</c:v>
                </c:pt>
                <c:pt idx="19">
                  <c:v>9</c:v>
                </c:pt>
                <c:pt idx="20">
                  <c:v>4</c:v>
                </c:pt>
                <c:pt idx="21">
                  <c:v>1</c:v>
                </c:pt>
                <c:pt idx="22">
                  <c:v>3</c:v>
                </c:pt>
                <c:pt idx="23">
                  <c:v>6</c:v>
                </c:pt>
                <c:pt idx="24">
                  <c:v>6</c:v>
                </c:pt>
                <c:pt idx="25">
                  <c:v>4</c:v>
                </c:pt>
                <c:pt idx="26">
                  <c:v>1</c:v>
                </c:pt>
                <c:pt idx="27">
                  <c:v>4</c:v>
                </c:pt>
                <c:pt idx="28">
                  <c:v>2</c:v>
                </c:pt>
                <c:pt idx="29">
                  <c:v>1</c:v>
                </c:pt>
                <c:pt idx="30">
                  <c:v>3</c:v>
                </c:pt>
                <c:pt idx="31">
                  <c:v>1</c:v>
                </c:pt>
                <c:pt idx="32">
                  <c:v>20</c:v>
                </c:pt>
                <c:pt idx="33">
                  <c:v>15</c:v>
                </c:pt>
                <c:pt idx="34">
                  <c:v>7</c:v>
                </c:pt>
                <c:pt idx="35">
                  <c:v>79</c:v>
                </c:pt>
                <c:pt idx="36">
                  <c:v>2</c:v>
                </c:pt>
                <c:pt idx="37">
                  <c:v>1</c:v>
                </c:pt>
                <c:pt idx="38">
                  <c:v>3</c:v>
                </c:pt>
                <c:pt idx="39">
                  <c:v>3</c:v>
                </c:pt>
                <c:pt idx="40">
                  <c:v>3</c:v>
                </c:pt>
                <c:pt idx="41">
                  <c:v>2</c:v>
                </c:pt>
                <c:pt idx="42">
                  <c:v>4</c:v>
                </c:pt>
                <c:pt idx="43">
                  <c:v>2</c:v>
                </c:pt>
                <c:pt idx="44">
                  <c:v>1</c:v>
                </c:pt>
                <c:pt idx="45">
                  <c:v>1</c:v>
                </c:pt>
                <c:pt idx="46">
                  <c:v>1</c:v>
                </c:pt>
                <c:pt idx="47">
                  <c:v>6</c:v>
                </c:pt>
                <c:pt idx="48">
                  <c:v>20</c:v>
                </c:pt>
                <c:pt idx="49">
                  <c:v>15</c:v>
                </c:pt>
                <c:pt idx="50">
                  <c:v>20</c:v>
                </c:pt>
                <c:pt idx="51">
                  <c:v>14</c:v>
                </c:pt>
                <c:pt idx="52">
                  <c:v>8</c:v>
                </c:pt>
                <c:pt idx="53">
                  <c:v>3</c:v>
                </c:pt>
                <c:pt idx="54">
                  <c:v>1</c:v>
                </c:pt>
                <c:pt idx="55">
                  <c:v>7</c:v>
                </c:pt>
                <c:pt idx="56">
                  <c:v>2</c:v>
                </c:pt>
                <c:pt idx="57">
                  <c:v>249</c:v>
                </c:pt>
                <c:pt idx="58">
                  <c:v>46</c:v>
                </c:pt>
                <c:pt idx="59">
                  <c:v>20</c:v>
                </c:pt>
                <c:pt idx="60">
                  <c:v>15</c:v>
                </c:pt>
                <c:pt idx="61">
                  <c:v>171</c:v>
                </c:pt>
              </c:numCache>
            </c:numRef>
          </c:val>
          <c:extLst>
            <c:ext xmlns:c16="http://schemas.microsoft.com/office/drawing/2014/chart" uri="{C3380CC4-5D6E-409C-BE32-E72D297353CC}">
              <c16:uniqueId val="{00000003-C95A-4090-8177-77BA49AB960F}"/>
            </c:ext>
          </c:extLst>
        </c:ser>
        <c:dLbls>
          <c:showLegendKey val="0"/>
          <c:showVal val="0"/>
          <c:showCatName val="0"/>
          <c:showSerName val="0"/>
          <c:showPercent val="0"/>
          <c:showBubbleSize val="0"/>
        </c:dLbls>
        <c:gapWidth val="150"/>
        <c:overlap val="100"/>
        <c:axId val="663899768"/>
        <c:axId val="663897472"/>
      </c:barChart>
      <c:catAx>
        <c:axId val="663899768"/>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pt-BR"/>
          </a:p>
        </c:txPr>
        <c:crossAx val="663897472"/>
        <c:crossesAt val="0"/>
        <c:auto val="1"/>
        <c:lblAlgn val="ctr"/>
        <c:lblOffset val="100"/>
        <c:noMultiLvlLbl val="0"/>
      </c:catAx>
      <c:valAx>
        <c:axId val="663897472"/>
        <c:scaling>
          <c:orientation val="minMax"/>
          <c:max val="365"/>
          <c:min val="0"/>
        </c:scaling>
        <c:delete val="0"/>
        <c:axPos val="t"/>
        <c:majorGridlines>
          <c:spPr>
            <a:ln w="9525" cap="flat" cmpd="sng" algn="ctr">
              <a:solidFill>
                <a:schemeClr val="tx1"/>
              </a:solidFill>
              <a:round/>
            </a:ln>
            <a:effectLst/>
          </c:spPr>
        </c:majorGridlines>
        <c:minorGridlines>
          <c:spPr>
            <a:ln w="9525" cap="flat" cmpd="sng" algn="ctr">
              <a:solidFill>
                <a:schemeClr val="bg1">
                  <a:lumMod val="85000"/>
                </a:schemeClr>
              </a:solidFill>
              <a:round/>
            </a:ln>
            <a:effectLst/>
          </c:spPr>
        </c:minorGridlines>
        <c:numFmt formatCode="0" sourceLinked="0"/>
        <c:majorTickMark val="out"/>
        <c:minorTickMark val="none"/>
        <c:tickLblPos val="nextTo"/>
        <c:spPr>
          <a:noFill/>
          <a:ln>
            <a:solidFill>
              <a:schemeClr val="tx1"/>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pt-BR"/>
          </a:p>
        </c:txPr>
        <c:crossAx val="663899768"/>
        <c:crosses val="autoZero"/>
        <c:crossBetween val="between"/>
        <c:majorUnit val="30"/>
        <c:minorUnit val="5"/>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chartsheets/sheet1.xml><?xml version="1.0" encoding="utf-8"?>
<chartsheet xmlns="http://schemas.openxmlformats.org/spreadsheetml/2006/main" xmlns:r="http://schemas.openxmlformats.org/officeDocument/2006/relationships">
  <sheetPr codeName="Gráf4"/>
  <sheetViews>
    <sheetView zoomScale="115" workbookViewId="0"/>
  </sheetViews>
  <pageMargins left="0.78740157480314965" right="0.78740157480314965" top="0.86614173228346458" bottom="0.78740157480314965" header="0.19685039370078741" footer="0.19685039370078741"/>
  <pageSetup paperSize="8" orientation="landscape" r:id="rId1"/>
  <headerFooter>
    <oddHeader>&amp;L&amp;G&amp;R&amp;G</oddHeader>
    <oddFooter xml:space="preserve">&amp;C&amp;10Av. Des. José Nunes da Cunha, Bloco 14, Parque dos Poderes, Campo Grande (MS), CEP 79031-310
PABX: (67) 3318-5300/ Gab: 5538 – Fax (67) 3318-5386 – gabinete@seinfra.ms.gov.br
</oddFooter>
  </headerFooter>
  <drawing r:id="rId2"/>
  <legacyDrawingHF r:id="rId3"/>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14.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0.png"/></Relationships>
</file>

<file path=xl/drawings/_rels/drawing15.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17.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9.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19.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2.jpeg"/></Relationships>
</file>

<file path=xl/drawings/_rels/drawing23.xml.rels><?xml version="1.0" encoding="UTF-8" standalone="yes"?>
<Relationships xmlns="http://schemas.openxmlformats.org/package/2006/relationships"><Relationship Id="rId3" Type="http://schemas.openxmlformats.org/officeDocument/2006/relationships/image" Target="../media/image16.jpeg"/><Relationship Id="rId2" Type="http://schemas.openxmlformats.org/officeDocument/2006/relationships/image" Target="../media/image15.png"/><Relationship Id="rId1" Type="http://schemas.openxmlformats.org/officeDocument/2006/relationships/image" Target="../media/image1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9525</xdr:colOff>
      <xdr:row>0</xdr:row>
      <xdr:rowOff>0</xdr:rowOff>
    </xdr:from>
    <xdr:to>
      <xdr:col>5</xdr:col>
      <xdr:colOff>104775</xdr:colOff>
      <xdr:row>2</xdr:row>
      <xdr:rowOff>180975</xdr:rowOff>
    </xdr:to>
    <xdr:pic>
      <xdr:nvPicPr>
        <xdr:cNvPr id="4"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0"/>
          <a:ext cx="2743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200025</xdr:colOff>
      <xdr:row>0</xdr:row>
      <xdr:rowOff>9525</xdr:rowOff>
    </xdr:from>
    <xdr:to>
      <xdr:col>9</xdr:col>
      <xdr:colOff>933450</xdr:colOff>
      <xdr:row>4</xdr:row>
      <xdr:rowOff>5022</xdr:rowOff>
    </xdr:to>
    <xdr:pic>
      <xdr:nvPicPr>
        <xdr:cNvPr id="5"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29525" y="9525"/>
          <a:ext cx="1419225" cy="9289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47625</xdr:colOff>
      <xdr:row>0</xdr:row>
      <xdr:rowOff>0</xdr:rowOff>
    </xdr:from>
    <xdr:to>
      <xdr:col>4</xdr:col>
      <xdr:colOff>400050</xdr:colOff>
      <xdr:row>2</xdr:row>
      <xdr:rowOff>180975</xdr:rowOff>
    </xdr:to>
    <xdr:pic>
      <xdr:nvPicPr>
        <xdr:cNvPr id="4"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0"/>
          <a:ext cx="2743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638175</xdr:colOff>
      <xdr:row>0</xdr:row>
      <xdr:rowOff>57150</xdr:rowOff>
    </xdr:from>
    <xdr:to>
      <xdr:col>13</xdr:col>
      <xdr:colOff>1095375</xdr:colOff>
      <xdr:row>3</xdr:row>
      <xdr:rowOff>152400</xdr:rowOff>
    </xdr:to>
    <xdr:pic>
      <xdr:nvPicPr>
        <xdr:cNvPr id="5"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91625" y="5715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xdr:row>
      <xdr:rowOff>0</xdr:rowOff>
    </xdr:from>
    <xdr:to>
      <xdr:col>3</xdr:col>
      <xdr:colOff>1600200</xdr:colOff>
      <xdr:row>2</xdr:row>
      <xdr:rowOff>295275</xdr:rowOff>
    </xdr:to>
    <xdr:pic>
      <xdr:nvPicPr>
        <xdr:cNvPr id="4"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14300"/>
          <a:ext cx="2743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16384</xdr:col>
      <xdr:colOff>1428750</xdr:colOff>
      <xdr:row>1</xdr:row>
      <xdr:rowOff>57150</xdr:rowOff>
    </xdr:from>
    <xdr:to>
      <xdr:col>16384</xdr:col>
      <xdr:colOff>3000375</xdr:colOff>
      <xdr:row>3</xdr:row>
      <xdr:rowOff>19050</xdr:rowOff>
    </xdr:to>
    <xdr:pic>
      <xdr:nvPicPr>
        <xdr:cNvPr id="5"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17145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838200</xdr:colOff>
      <xdr:row>1</xdr:row>
      <xdr:rowOff>0</xdr:rowOff>
    </xdr:from>
    <xdr:to>
      <xdr:col>6</xdr:col>
      <xdr:colOff>1314450</xdr:colOff>
      <xdr:row>2</xdr:row>
      <xdr:rowOff>400050</xdr:rowOff>
    </xdr:to>
    <xdr:pic>
      <xdr:nvPicPr>
        <xdr:cNvPr id="6" name="Imagem 3"/>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153150" y="11430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absoluteAnchor>
    <xdr:pos x="0" y="0"/>
    <xdr:ext cx="13566913" cy="9069457"/>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twoCellAnchor>
    <xdr:from>
      <xdr:col>1</xdr:col>
      <xdr:colOff>0</xdr:colOff>
      <xdr:row>0</xdr:row>
      <xdr:rowOff>0</xdr:rowOff>
    </xdr:from>
    <xdr:to>
      <xdr:col>3</xdr:col>
      <xdr:colOff>0</xdr:colOff>
      <xdr:row>2</xdr:row>
      <xdr:rowOff>180975</xdr:rowOff>
    </xdr:to>
    <xdr:pic>
      <xdr:nvPicPr>
        <xdr:cNvPr id="2"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0"/>
          <a:ext cx="37814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16</xdr:col>
      <xdr:colOff>189940</xdr:colOff>
      <xdr:row>0</xdr:row>
      <xdr:rowOff>104775</xdr:rowOff>
    </xdr:from>
    <xdr:to>
      <xdr:col>17</xdr:col>
      <xdr:colOff>751915</xdr:colOff>
      <xdr:row>4</xdr:row>
      <xdr:rowOff>9525</xdr:rowOff>
    </xdr:to>
    <xdr:pic>
      <xdr:nvPicPr>
        <xdr:cNvPr id="3"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572940" y="104775"/>
          <a:ext cx="140970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0</xdr:row>
      <xdr:rowOff>0</xdr:rowOff>
    </xdr:from>
    <xdr:to>
      <xdr:col>3</xdr:col>
      <xdr:colOff>1600200</xdr:colOff>
      <xdr:row>2</xdr:row>
      <xdr:rowOff>180975</xdr:rowOff>
    </xdr:to>
    <xdr:pic>
      <xdr:nvPicPr>
        <xdr:cNvPr id="5"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0"/>
          <a:ext cx="2743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652096</xdr:colOff>
      <xdr:row>1</xdr:row>
      <xdr:rowOff>51289</xdr:rowOff>
    </xdr:from>
    <xdr:to>
      <xdr:col>16</xdr:col>
      <xdr:colOff>679206</xdr:colOff>
      <xdr:row>3</xdr:row>
      <xdr:rowOff>11723</xdr:rowOff>
    </xdr:to>
    <xdr:pic>
      <xdr:nvPicPr>
        <xdr:cNvPr id="6"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158904" y="168520"/>
          <a:ext cx="1360610" cy="839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1</xdr:row>
      <xdr:rowOff>0</xdr:rowOff>
    </xdr:from>
    <xdr:to>
      <xdr:col>3</xdr:col>
      <xdr:colOff>1600200</xdr:colOff>
      <xdr:row>2</xdr:row>
      <xdr:rowOff>295275</xdr:rowOff>
    </xdr:to>
    <xdr:pic>
      <xdr:nvPicPr>
        <xdr:cNvPr id="4"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14300"/>
          <a:ext cx="2743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1</xdr:row>
      <xdr:rowOff>0</xdr:rowOff>
    </xdr:from>
    <xdr:to>
      <xdr:col>12</xdr:col>
      <xdr:colOff>590550</xdr:colOff>
      <xdr:row>2</xdr:row>
      <xdr:rowOff>400050</xdr:rowOff>
    </xdr:to>
    <xdr:pic>
      <xdr:nvPicPr>
        <xdr:cNvPr id="5"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39050" y="11430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1</xdr:row>
      <xdr:rowOff>0</xdr:rowOff>
    </xdr:from>
    <xdr:to>
      <xdr:col>3</xdr:col>
      <xdr:colOff>1600200</xdr:colOff>
      <xdr:row>2</xdr:row>
      <xdr:rowOff>295275</xdr:rowOff>
    </xdr:to>
    <xdr:pic>
      <xdr:nvPicPr>
        <xdr:cNvPr id="4"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14300"/>
          <a:ext cx="2743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447675</xdr:colOff>
      <xdr:row>1</xdr:row>
      <xdr:rowOff>19050</xdr:rowOff>
    </xdr:from>
    <xdr:to>
      <xdr:col>8</xdr:col>
      <xdr:colOff>1038225</xdr:colOff>
      <xdr:row>2</xdr:row>
      <xdr:rowOff>419100</xdr:rowOff>
    </xdr:to>
    <xdr:pic>
      <xdr:nvPicPr>
        <xdr:cNvPr id="5"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95950" y="13335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1600438</xdr:colOff>
      <xdr:row>2</xdr:row>
      <xdr:rowOff>293433</xdr:rowOff>
    </xdr:to>
    <xdr:pic>
      <xdr:nvPicPr>
        <xdr:cNvPr id="7" name="Imagem 6"/>
        <xdr:cNvPicPr>
          <a:picLocks noChangeAspect="1"/>
        </xdr:cNvPicPr>
      </xdr:nvPicPr>
      <xdr:blipFill>
        <a:blip xmlns:r="http://schemas.openxmlformats.org/officeDocument/2006/relationships" r:embed="rId1"/>
        <a:stretch>
          <a:fillRect/>
        </a:stretch>
      </xdr:blipFill>
      <xdr:spPr>
        <a:xfrm>
          <a:off x="114300" y="114300"/>
          <a:ext cx="2743438" cy="731583"/>
        </a:xfrm>
        <a:prstGeom prst="rect">
          <a:avLst/>
        </a:prstGeom>
      </xdr:spPr>
    </xdr:pic>
    <xdr:clientData/>
  </xdr:twoCellAnchor>
  <xdr:twoCellAnchor>
    <xdr:from>
      <xdr:col>8</xdr:col>
      <xdr:colOff>0</xdr:colOff>
      <xdr:row>1</xdr:row>
      <xdr:rowOff>0</xdr:rowOff>
    </xdr:from>
    <xdr:to>
      <xdr:col>9</xdr:col>
      <xdr:colOff>990600</xdr:colOff>
      <xdr:row>2</xdr:row>
      <xdr:rowOff>400050</xdr:rowOff>
    </xdr:to>
    <xdr:pic>
      <xdr:nvPicPr>
        <xdr:cNvPr id="8"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34175" y="11430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3</xdr:col>
      <xdr:colOff>1600438</xdr:colOff>
      <xdr:row>2</xdr:row>
      <xdr:rowOff>179133</xdr:rowOff>
    </xdr:to>
    <xdr:pic>
      <xdr:nvPicPr>
        <xdr:cNvPr id="5" name="Imagem 4"/>
        <xdr:cNvPicPr>
          <a:picLocks noChangeAspect="1"/>
        </xdr:cNvPicPr>
      </xdr:nvPicPr>
      <xdr:blipFill>
        <a:blip xmlns:r="http://schemas.openxmlformats.org/officeDocument/2006/relationships" r:embed="rId1"/>
        <a:stretch>
          <a:fillRect/>
        </a:stretch>
      </xdr:blipFill>
      <xdr:spPr>
        <a:xfrm>
          <a:off x="114300" y="0"/>
          <a:ext cx="2743438" cy="731583"/>
        </a:xfrm>
        <a:prstGeom prst="rect">
          <a:avLst/>
        </a:prstGeom>
      </xdr:spPr>
    </xdr:pic>
    <xdr:clientData/>
  </xdr:twoCellAnchor>
  <xdr:twoCellAnchor>
    <xdr:from>
      <xdr:col>10</xdr:col>
      <xdr:colOff>400050</xdr:colOff>
      <xdr:row>0</xdr:row>
      <xdr:rowOff>95250</xdr:rowOff>
    </xdr:from>
    <xdr:to>
      <xdr:col>11</xdr:col>
      <xdr:colOff>933450</xdr:colOff>
      <xdr:row>4</xdr:row>
      <xdr:rowOff>0</xdr:rowOff>
    </xdr:to>
    <xdr:pic>
      <xdr:nvPicPr>
        <xdr:cNvPr id="6"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01025" y="9525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4</xdr:col>
      <xdr:colOff>219313</xdr:colOff>
      <xdr:row>3</xdr:row>
      <xdr:rowOff>102933</xdr:rowOff>
    </xdr:to>
    <xdr:pic>
      <xdr:nvPicPr>
        <xdr:cNvPr id="5" name="Imagem 4"/>
        <xdr:cNvPicPr>
          <a:picLocks noChangeAspect="1"/>
        </xdr:cNvPicPr>
      </xdr:nvPicPr>
      <xdr:blipFill>
        <a:blip xmlns:r="http://schemas.openxmlformats.org/officeDocument/2006/relationships" r:embed="rId1"/>
        <a:stretch>
          <a:fillRect/>
        </a:stretch>
      </xdr:blipFill>
      <xdr:spPr>
        <a:xfrm>
          <a:off x="114300" y="114300"/>
          <a:ext cx="2743438" cy="731583"/>
        </a:xfrm>
        <a:prstGeom prst="rect">
          <a:avLst/>
        </a:prstGeom>
      </xdr:spPr>
    </xdr:pic>
    <xdr:clientData/>
  </xdr:twoCellAnchor>
  <xdr:twoCellAnchor>
    <xdr:from>
      <xdr:col>13</xdr:col>
      <xdr:colOff>0</xdr:colOff>
      <xdr:row>1</xdr:row>
      <xdr:rowOff>0</xdr:rowOff>
    </xdr:from>
    <xdr:to>
      <xdr:col>14</xdr:col>
      <xdr:colOff>647700</xdr:colOff>
      <xdr:row>4</xdr:row>
      <xdr:rowOff>19050</xdr:rowOff>
    </xdr:to>
    <xdr:pic>
      <xdr:nvPicPr>
        <xdr:cNvPr id="6"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20175" y="11430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1600438</xdr:colOff>
      <xdr:row>3</xdr:row>
      <xdr:rowOff>102933</xdr:rowOff>
    </xdr:to>
    <xdr:pic>
      <xdr:nvPicPr>
        <xdr:cNvPr id="4" name="Imagem 3"/>
        <xdr:cNvPicPr>
          <a:picLocks noChangeAspect="1"/>
        </xdr:cNvPicPr>
      </xdr:nvPicPr>
      <xdr:blipFill>
        <a:blip xmlns:r="http://schemas.openxmlformats.org/officeDocument/2006/relationships" r:embed="rId1"/>
        <a:stretch>
          <a:fillRect/>
        </a:stretch>
      </xdr:blipFill>
      <xdr:spPr>
        <a:xfrm>
          <a:off x="114300" y="114300"/>
          <a:ext cx="2743438" cy="731583"/>
        </a:xfrm>
        <a:prstGeom prst="rect">
          <a:avLst/>
        </a:prstGeom>
      </xdr:spPr>
    </xdr:pic>
    <xdr:clientData/>
  </xdr:twoCellAnchor>
  <xdr:twoCellAnchor>
    <xdr:from>
      <xdr:col>15</xdr:col>
      <xdr:colOff>0</xdr:colOff>
      <xdr:row>1</xdr:row>
      <xdr:rowOff>0</xdr:rowOff>
    </xdr:from>
    <xdr:to>
      <xdr:col>16</xdr:col>
      <xdr:colOff>857250</xdr:colOff>
      <xdr:row>4</xdr:row>
      <xdr:rowOff>19050</xdr:rowOff>
    </xdr:to>
    <xdr:pic>
      <xdr:nvPicPr>
        <xdr:cNvPr id="5"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448925" y="11430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1600438</xdr:colOff>
      <xdr:row>3</xdr:row>
      <xdr:rowOff>102933</xdr:rowOff>
    </xdr:to>
    <xdr:pic>
      <xdr:nvPicPr>
        <xdr:cNvPr id="4" name="Imagem 3"/>
        <xdr:cNvPicPr>
          <a:picLocks noChangeAspect="1"/>
        </xdr:cNvPicPr>
      </xdr:nvPicPr>
      <xdr:blipFill>
        <a:blip xmlns:r="http://schemas.openxmlformats.org/officeDocument/2006/relationships" r:embed="rId1"/>
        <a:stretch>
          <a:fillRect/>
        </a:stretch>
      </xdr:blipFill>
      <xdr:spPr>
        <a:xfrm>
          <a:off x="114300" y="114300"/>
          <a:ext cx="2743438" cy="731583"/>
        </a:xfrm>
        <a:prstGeom prst="rect">
          <a:avLst/>
        </a:prstGeom>
      </xdr:spPr>
    </xdr:pic>
    <xdr:clientData/>
  </xdr:twoCellAnchor>
  <xdr:twoCellAnchor>
    <xdr:from>
      <xdr:col>11</xdr:col>
      <xdr:colOff>0</xdr:colOff>
      <xdr:row>1</xdr:row>
      <xdr:rowOff>0</xdr:rowOff>
    </xdr:from>
    <xdr:to>
      <xdr:col>12</xdr:col>
      <xdr:colOff>857250</xdr:colOff>
      <xdr:row>4</xdr:row>
      <xdr:rowOff>19050</xdr:rowOff>
    </xdr:to>
    <xdr:pic>
      <xdr:nvPicPr>
        <xdr:cNvPr id="5"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29625" y="11430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4</xdr:col>
      <xdr:colOff>314325</xdr:colOff>
      <xdr:row>0</xdr:row>
      <xdr:rowOff>57150</xdr:rowOff>
    </xdr:from>
    <xdr:to>
      <xdr:col>6</xdr:col>
      <xdr:colOff>9525</xdr:colOff>
      <xdr:row>3</xdr:row>
      <xdr:rowOff>152400</xdr:rowOff>
    </xdr:to>
    <xdr:pic>
      <xdr:nvPicPr>
        <xdr:cNvPr id="2" name="Imagem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48275" y="57150"/>
          <a:ext cx="15335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1886188</xdr:colOff>
      <xdr:row>3</xdr:row>
      <xdr:rowOff>102933</xdr:rowOff>
    </xdr:to>
    <xdr:pic>
      <xdr:nvPicPr>
        <xdr:cNvPr id="3" name="Imagem 2"/>
        <xdr:cNvPicPr>
          <a:picLocks noChangeAspect="1"/>
        </xdr:cNvPicPr>
      </xdr:nvPicPr>
      <xdr:blipFill>
        <a:blip xmlns:r="http://schemas.openxmlformats.org/officeDocument/2006/relationships" r:embed="rId2"/>
        <a:stretch>
          <a:fillRect/>
        </a:stretch>
      </xdr:blipFill>
      <xdr:spPr>
        <a:xfrm>
          <a:off x="114300" y="114300"/>
          <a:ext cx="2743438" cy="731583"/>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7</xdr:col>
      <xdr:colOff>447675</xdr:colOff>
      <xdr:row>0</xdr:row>
      <xdr:rowOff>57150</xdr:rowOff>
    </xdr:from>
    <xdr:to>
      <xdr:col>8</xdr:col>
      <xdr:colOff>904875</xdr:colOff>
      <xdr:row>3</xdr:row>
      <xdr:rowOff>152400</xdr:rowOff>
    </xdr:to>
    <xdr:pic>
      <xdr:nvPicPr>
        <xdr:cNvPr id="5" name="Imagem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95925" y="5715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3</xdr:col>
      <xdr:colOff>1600438</xdr:colOff>
      <xdr:row>3</xdr:row>
      <xdr:rowOff>102933</xdr:rowOff>
    </xdr:to>
    <xdr:pic>
      <xdr:nvPicPr>
        <xdr:cNvPr id="6" name="Imagem 5"/>
        <xdr:cNvPicPr>
          <a:picLocks noChangeAspect="1"/>
        </xdr:cNvPicPr>
      </xdr:nvPicPr>
      <xdr:blipFill>
        <a:blip xmlns:r="http://schemas.openxmlformats.org/officeDocument/2006/relationships" r:embed="rId2"/>
        <a:stretch>
          <a:fillRect/>
        </a:stretch>
      </xdr:blipFill>
      <xdr:spPr>
        <a:xfrm>
          <a:off x="114300" y="114300"/>
          <a:ext cx="2743438" cy="731583"/>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4</xdr:col>
      <xdr:colOff>1209913</xdr:colOff>
      <xdr:row>3</xdr:row>
      <xdr:rowOff>102933</xdr:rowOff>
    </xdr:to>
    <xdr:pic>
      <xdr:nvPicPr>
        <xdr:cNvPr id="5" name="Imagem 4"/>
        <xdr:cNvPicPr>
          <a:picLocks noChangeAspect="1"/>
        </xdr:cNvPicPr>
      </xdr:nvPicPr>
      <xdr:blipFill>
        <a:blip xmlns:r="http://schemas.openxmlformats.org/officeDocument/2006/relationships" r:embed="rId1"/>
        <a:stretch>
          <a:fillRect/>
        </a:stretch>
      </xdr:blipFill>
      <xdr:spPr>
        <a:xfrm>
          <a:off x="114300" y="114300"/>
          <a:ext cx="2743438" cy="731583"/>
        </a:xfrm>
        <a:prstGeom prst="rect">
          <a:avLst/>
        </a:prstGeom>
      </xdr:spPr>
    </xdr:pic>
    <xdr:clientData/>
  </xdr:twoCellAnchor>
  <xdr:twoCellAnchor>
    <xdr:from>
      <xdr:col>6</xdr:col>
      <xdr:colOff>0</xdr:colOff>
      <xdr:row>1</xdr:row>
      <xdr:rowOff>0</xdr:rowOff>
    </xdr:from>
    <xdr:to>
      <xdr:col>7</xdr:col>
      <xdr:colOff>695325</xdr:colOff>
      <xdr:row>4</xdr:row>
      <xdr:rowOff>19050</xdr:rowOff>
    </xdr:to>
    <xdr:pic>
      <xdr:nvPicPr>
        <xdr:cNvPr id="6"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800725" y="11430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476488</xdr:colOff>
      <xdr:row>3</xdr:row>
      <xdr:rowOff>102933</xdr:rowOff>
    </xdr:to>
    <xdr:pic>
      <xdr:nvPicPr>
        <xdr:cNvPr id="4" name="Imagem 3"/>
        <xdr:cNvPicPr>
          <a:picLocks noChangeAspect="1"/>
        </xdr:cNvPicPr>
      </xdr:nvPicPr>
      <xdr:blipFill>
        <a:blip xmlns:r="http://schemas.openxmlformats.org/officeDocument/2006/relationships" r:embed="rId1"/>
        <a:stretch>
          <a:fillRect/>
        </a:stretch>
      </xdr:blipFill>
      <xdr:spPr>
        <a:xfrm>
          <a:off x="114300" y="114300"/>
          <a:ext cx="2743438" cy="731583"/>
        </a:xfrm>
        <a:prstGeom prst="rect">
          <a:avLst/>
        </a:prstGeom>
      </xdr:spPr>
    </xdr:pic>
    <xdr:clientData/>
  </xdr:twoCellAnchor>
  <xdr:twoCellAnchor editAs="oneCell">
    <xdr:from>
      <xdr:col>9</xdr:col>
      <xdr:colOff>470647</xdr:colOff>
      <xdr:row>1</xdr:row>
      <xdr:rowOff>0</xdr:rowOff>
    </xdr:from>
    <xdr:to>
      <xdr:col>11</xdr:col>
      <xdr:colOff>293259</xdr:colOff>
      <xdr:row>4</xdr:row>
      <xdr:rowOff>16074</xdr:rowOff>
    </xdr:to>
    <xdr:pic>
      <xdr:nvPicPr>
        <xdr:cNvPr id="7" name="Imagem 6"/>
        <xdr:cNvPicPr>
          <a:picLocks noChangeAspect="1"/>
        </xdr:cNvPicPr>
      </xdr:nvPicPr>
      <xdr:blipFill>
        <a:blip xmlns:r="http://schemas.openxmlformats.org/officeDocument/2006/relationships" r:embed="rId2"/>
        <a:stretch>
          <a:fillRect/>
        </a:stretch>
      </xdr:blipFill>
      <xdr:spPr>
        <a:xfrm>
          <a:off x="6835588" y="112059"/>
          <a:ext cx="1570730" cy="834103"/>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69272</xdr:colOff>
      <xdr:row>0</xdr:row>
      <xdr:rowOff>103909</xdr:rowOff>
    </xdr:from>
    <xdr:to>
      <xdr:col>5</xdr:col>
      <xdr:colOff>333379</xdr:colOff>
      <xdr:row>7</xdr:row>
      <xdr:rowOff>69273</xdr:rowOff>
    </xdr:to>
    <xdr:pic>
      <xdr:nvPicPr>
        <xdr:cNvPr id="2" name="Imagem 1"/>
        <xdr:cNvPicPr>
          <a:picLocks noChangeAspect="1"/>
        </xdr:cNvPicPr>
      </xdr:nvPicPr>
      <xdr:blipFill>
        <a:blip xmlns:r="http://schemas.openxmlformats.org/officeDocument/2006/relationships" r:embed="rId1"/>
        <a:stretch>
          <a:fillRect/>
        </a:stretch>
      </xdr:blipFill>
      <xdr:spPr>
        <a:xfrm>
          <a:off x="69272" y="103909"/>
          <a:ext cx="4870743" cy="1298864"/>
        </a:xfrm>
        <a:prstGeom prst="rect">
          <a:avLst/>
        </a:prstGeom>
      </xdr:spPr>
    </xdr:pic>
    <xdr:clientData/>
  </xdr:twoCellAnchor>
  <xdr:twoCellAnchor>
    <xdr:from>
      <xdr:col>22</xdr:col>
      <xdr:colOff>380998</xdr:colOff>
      <xdr:row>0</xdr:row>
      <xdr:rowOff>86591</xdr:rowOff>
    </xdr:from>
    <xdr:to>
      <xdr:col>24</xdr:col>
      <xdr:colOff>871361</xdr:colOff>
      <xdr:row>7</xdr:row>
      <xdr:rowOff>49091</xdr:rowOff>
    </xdr:to>
    <xdr:pic>
      <xdr:nvPicPr>
        <xdr:cNvPr id="3"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864453" y="86591"/>
          <a:ext cx="2429999" cy="12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0</xdr:row>
      <xdr:rowOff>57150</xdr:rowOff>
    </xdr:from>
    <xdr:to>
      <xdr:col>3</xdr:col>
      <xdr:colOff>1385345</xdr:colOff>
      <xdr:row>2</xdr:row>
      <xdr:rowOff>390526</xdr:rowOff>
    </xdr:to>
    <xdr:pic>
      <xdr:nvPicPr>
        <xdr:cNvPr id="2"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7150"/>
          <a:ext cx="2547395" cy="8858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123825</xdr:colOff>
      <xdr:row>0</xdr:row>
      <xdr:rowOff>1</xdr:rowOff>
    </xdr:from>
    <xdr:to>
      <xdr:col>9</xdr:col>
      <xdr:colOff>209550</xdr:colOff>
      <xdr:row>3</xdr:row>
      <xdr:rowOff>19051</xdr:rowOff>
    </xdr:to>
    <xdr:pic>
      <xdr:nvPicPr>
        <xdr:cNvPr id="3"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57950" y="1"/>
          <a:ext cx="132397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1</xdr:col>
      <xdr:colOff>0</xdr:colOff>
      <xdr:row>1</xdr:row>
      <xdr:rowOff>0</xdr:rowOff>
    </xdr:from>
    <xdr:to>
      <xdr:col>3</xdr:col>
      <xdr:colOff>1600200</xdr:colOff>
      <xdr:row>2</xdr:row>
      <xdr:rowOff>295275</xdr:rowOff>
    </xdr:to>
    <xdr:pic>
      <xdr:nvPicPr>
        <xdr:cNvPr id="2"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14300"/>
          <a:ext cx="2743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16384</xdr:col>
      <xdr:colOff>1428750</xdr:colOff>
      <xdr:row>1</xdr:row>
      <xdr:rowOff>57150</xdr:rowOff>
    </xdr:from>
    <xdr:to>
      <xdr:col>16384</xdr:col>
      <xdr:colOff>3000375</xdr:colOff>
      <xdr:row>3</xdr:row>
      <xdr:rowOff>19050</xdr:rowOff>
    </xdr:to>
    <xdr:pic>
      <xdr:nvPicPr>
        <xdr:cNvPr id="3"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20075" y="171450"/>
          <a:ext cx="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838200</xdr:colOff>
      <xdr:row>1</xdr:row>
      <xdr:rowOff>0</xdr:rowOff>
    </xdr:from>
    <xdr:to>
      <xdr:col>6</xdr:col>
      <xdr:colOff>1314450</xdr:colOff>
      <xdr:row>2</xdr:row>
      <xdr:rowOff>400050</xdr:rowOff>
    </xdr:to>
    <xdr:pic>
      <xdr:nvPicPr>
        <xdr:cNvPr id="4" name="Imagem 3"/>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153150" y="114300"/>
          <a:ext cx="125730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xdr:from>
      <xdr:col>1</xdr:col>
      <xdr:colOff>0</xdr:colOff>
      <xdr:row>1</xdr:row>
      <xdr:rowOff>0</xdr:rowOff>
    </xdr:from>
    <xdr:to>
      <xdr:col>3</xdr:col>
      <xdr:colOff>0</xdr:colOff>
      <xdr:row>2</xdr:row>
      <xdr:rowOff>295275</xdr:rowOff>
    </xdr:to>
    <xdr:pic>
      <xdr:nvPicPr>
        <xdr:cNvPr id="2"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14300"/>
          <a:ext cx="2743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1</xdr:row>
      <xdr:rowOff>0</xdr:rowOff>
    </xdr:from>
    <xdr:to>
      <xdr:col>11</xdr:col>
      <xdr:colOff>590550</xdr:colOff>
      <xdr:row>2</xdr:row>
      <xdr:rowOff>400050</xdr:rowOff>
    </xdr:to>
    <xdr:pic>
      <xdr:nvPicPr>
        <xdr:cNvPr id="3"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39050" y="114300"/>
          <a:ext cx="157162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824817</xdr:colOff>
      <xdr:row>0</xdr:row>
      <xdr:rowOff>369525</xdr:rowOff>
    </xdr:to>
    <xdr:pic>
      <xdr:nvPicPr>
        <xdr:cNvPr id="2" name="Imagem 1" descr="DNIT"/>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434417" cy="360000"/>
        </a:xfrm>
        <a:prstGeom prst="rect">
          <a:avLst/>
        </a:prstGeom>
        <a:noFill/>
        <a:ln>
          <a:noFill/>
        </a:ln>
      </xdr:spPr>
    </xdr:pic>
    <xdr:clientData/>
  </xdr:twoCellAnchor>
  <xdr:twoCellAnchor editAs="oneCell">
    <xdr:from>
      <xdr:col>11</xdr:col>
      <xdr:colOff>252642</xdr:colOff>
      <xdr:row>1</xdr:row>
      <xdr:rowOff>254681</xdr:rowOff>
    </xdr:from>
    <xdr:to>
      <xdr:col>24</xdr:col>
      <xdr:colOff>527537</xdr:colOff>
      <xdr:row>34</xdr:row>
      <xdr:rowOff>178188</xdr:rowOff>
    </xdr:to>
    <xdr:pic>
      <xdr:nvPicPr>
        <xdr:cNvPr id="3" name="Imagem 2"/>
        <xdr:cNvPicPr>
          <a:picLocks noChangeAspect="1"/>
        </xdr:cNvPicPr>
      </xdr:nvPicPr>
      <xdr:blipFill>
        <a:blip xmlns:r="http://schemas.openxmlformats.org/officeDocument/2006/relationships" r:embed="rId2"/>
        <a:stretch>
          <a:fillRect/>
        </a:stretch>
      </xdr:blipFill>
      <xdr:spPr>
        <a:xfrm>
          <a:off x="14025792" y="635681"/>
          <a:ext cx="8199695" cy="6276682"/>
        </a:xfrm>
        <a:prstGeom prst="rect">
          <a:avLst/>
        </a:prstGeom>
      </xdr:spPr>
    </xdr:pic>
    <xdr:clientData/>
  </xdr:twoCellAnchor>
  <xdr:twoCellAnchor>
    <xdr:from>
      <xdr:col>8</xdr:col>
      <xdr:colOff>771525</xdr:colOff>
      <xdr:row>0</xdr:row>
      <xdr:rowOff>38100</xdr:rowOff>
    </xdr:from>
    <xdr:to>
      <xdr:col>8</xdr:col>
      <xdr:colOff>1205038</xdr:colOff>
      <xdr:row>0</xdr:row>
      <xdr:rowOff>304800</xdr:rowOff>
    </xdr:to>
    <xdr:sp macro="" textlink="">
      <xdr:nvSpPr>
        <xdr:cNvPr id="4" name="CaixaDeTexto 3"/>
        <xdr:cNvSpPr txBox="1"/>
      </xdr:nvSpPr>
      <xdr:spPr>
        <a:xfrm>
          <a:off x="12077700" y="38100"/>
          <a:ext cx="433513" cy="266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050"/>
            <a:t>15</a:t>
          </a: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33</xdr:row>
      <xdr:rowOff>85725</xdr:rowOff>
    </xdr:from>
    <xdr:to>
      <xdr:col>1</xdr:col>
      <xdr:colOff>1098106</xdr:colOff>
      <xdr:row>44</xdr:row>
      <xdr:rowOff>104512</xdr:rowOff>
    </xdr:to>
    <xdr:pic>
      <xdr:nvPicPr>
        <xdr:cNvPr id="2" name="Imagem 1"/>
        <xdr:cNvPicPr>
          <a:picLocks noChangeAspect="1"/>
        </xdr:cNvPicPr>
      </xdr:nvPicPr>
      <xdr:blipFill>
        <a:blip xmlns:r="http://schemas.openxmlformats.org/officeDocument/2006/relationships" r:embed="rId1"/>
        <a:stretch>
          <a:fillRect/>
        </a:stretch>
      </xdr:blipFill>
      <xdr:spPr>
        <a:xfrm>
          <a:off x="0" y="11687175"/>
          <a:ext cx="4660456" cy="2114287"/>
        </a:xfrm>
        <a:prstGeom prst="rect">
          <a:avLst/>
        </a:prstGeom>
      </xdr:spPr>
    </xdr:pic>
    <xdr:clientData/>
  </xdr:twoCellAnchor>
  <xdr:twoCellAnchor editAs="oneCell">
    <xdr:from>
      <xdr:col>1</xdr:col>
      <xdr:colOff>1238250</xdr:colOff>
      <xdr:row>33</xdr:row>
      <xdr:rowOff>123825</xdr:rowOff>
    </xdr:from>
    <xdr:to>
      <xdr:col>5</xdr:col>
      <xdr:colOff>37889</xdr:colOff>
      <xdr:row>48</xdr:row>
      <xdr:rowOff>75849</xdr:rowOff>
    </xdr:to>
    <xdr:pic>
      <xdr:nvPicPr>
        <xdr:cNvPr id="3" name="Imagem 2"/>
        <xdr:cNvPicPr>
          <a:picLocks noChangeAspect="1"/>
        </xdr:cNvPicPr>
      </xdr:nvPicPr>
      <xdr:blipFill>
        <a:blip xmlns:r="http://schemas.openxmlformats.org/officeDocument/2006/relationships" r:embed="rId2"/>
        <a:stretch>
          <a:fillRect/>
        </a:stretch>
      </xdr:blipFill>
      <xdr:spPr>
        <a:xfrm>
          <a:off x="4619625" y="11725275"/>
          <a:ext cx="5000414" cy="2809524"/>
        </a:xfrm>
        <a:prstGeom prst="rect">
          <a:avLst/>
        </a:prstGeom>
      </xdr:spPr>
    </xdr:pic>
    <xdr:clientData/>
  </xdr:twoCellAnchor>
  <xdr:twoCellAnchor editAs="oneCell">
    <xdr:from>
      <xdr:col>0</xdr:col>
      <xdr:colOff>0</xdr:colOff>
      <xdr:row>0</xdr:row>
      <xdr:rowOff>0</xdr:rowOff>
    </xdr:from>
    <xdr:to>
      <xdr:col>0</xdr:col>
      <xdr:colOff>1433684</xdr:colOff>
      <xdr:row>0</xdr:row>
      <xdr:rowOff>360000</xdr:rowOff>
    </xdr:to>
    <xdr:pic>
      <xdr:nvPicPr>
        <xdr:cNvPr id="4" name="Imagem 3" descr="DNIT"/>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0"/>
          <a:ext cx="1433684" cy="360000"/>
        </a:xfrm>
        <a:prstGeom prst="rect">
          <a:avLst/>
        </a:prstGeom>
        <a:noFill/>
        <a:ln>
          <a:noFill/>
        </a:ln>
      </xdr:spPr>
    </xdr:pic>
    <xdr:clientData/>
  </xdr:twoCellAnchor>
  <xdr:twoCellAnchor>
    <xdr:from>
      <xdr:col>4</xdr:col>
      <xdr:colOff>789213</xdr:colOff>
      <xdr:row>0</xdr:row>
      <xdr:rowOff>68035</xdr:rowOff>
    </xdr:from>
    <xdr:to>
      <xdr:col>4</xdr:col>
      <xdr:colOff>1222726</xdr:colOff>
      <xdr:row>0</xdr:row>
      <xdr:rowOff>314325</xdr:rowOff>
    </xdr:to>
    <xdr:sp macro="" textlink="">
      <xdr:nvSpPr>
        <xdr:cNvPr id="5" name="CaixaDeTexto 4"/>
        <xdr:cNvSpPr txBox="1"/>
      </xdr:nvSpPr>
      <xdr:spPr>
        <a:xfrm>
          <a:off x="8847363" y="68035"/>
          <a:ext cx="433513" cy="24629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050"/>
            <a:t>16</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TA/1.%20NOVO/2.PROCESSOS/PROCESSOS%202021/Proc%2057.009.669.2021%20-%20Elabora&#231;&#227;o%20de%20projeto%20executivo%20para%20restaura&#231;&#227;o%20da%20pista%20de%20pouso,%20taxiway%20e%20patio%20de%20Parana&#237;ba-%20SSPN/4.%20Or&#231;amento%20Paranaib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GPOV\___03.%20PROJETOS\01.%20RODOVIAS\MS-162_2021_RESTAURA_QUEBRA%20COCO-BR-060_SIDROL&#194;NDIA\8070%20PROJETO%2057-007947-2021\00.%20LIC%20PROJETO\01.%20INICIAL\02.%20TR\BOOK\ref\Edital%20DNIT%200311-19-00\Anexo_2___Orcamento_Referen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Qd abrang"/>
      <sheetName val="Orcamento"/>
      <sheetName val="Crono medicoes"/>
      <sheetName val="Graf crono fisico"/>
      <sheetName val="Custos proj"/>
      <sheetName val="MO"/>
      <sheetName val="Veículos"/>
      <sheetName val="Equip + materiais"/>
      <sheetName val="Diárias + passagens"/>
      <sheetName val="Mob desmob MO"/>
      <sheetName val="Mob desmob equip rod"/>
      <sheetName val="Inst + diversos"/>
      <sheetName val="Serv graf"/>
      <sheetName val="Produtividade"/>
      <sheetName val="Memo calc"/>
      <sheetName val="Crono fisico"/>
      <sheetName val="Histo esc"/>
      <sheetName val="Histo resid"/>
      <sheetName val="Listas"/>
      <sheetName val="Lista MO"/>
      <sheetName val="Lista veiculo+equip+mat"/>
      <sheetName val="Rel DNIT consult custos + BDI"/>
      <sheetName val="Sondagens"/>
      <sheetName val="Edital DNIT 311-19 (Conj VDR)"/>
      <sheetName val="Edital DNIT 311-19 (Custo VDR)"/>
    </sheetNames>
    <sheetDataSet>
      <sheetData sheetId="0"/>
      <sheetData sheetId="1">
        <row r="7">
          <cell r="C7">
            <v>1.32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ow r="424">
          <cell r="B424" t="str">
            <v>P8147</v>
          </cell>
          <cell r="H424">
            <v>1</v>
          </cell>
          <cell r="J424">
            <v>1</v>
          </cell>
          <cell r="L424">
            <v>7.333333333333333</v>
          </cell>
        </row>
        <row r="425">
          <cell r="B425" t="str">
            <v>P8025</v>
          </cell>
          <cell r="H425">
            <v>1</v>
          </cell>
          <cell r="J425">
            <v>4</v>
          </cell>
          <cell r="L425">
            <v>7.333333333333333</v>
          </cell>
        </row>
        <row r="512">
          <cell r="B512" t="str">
            <v>P8147</v>
          </cell>
          <cell r="H512">
            <v>1</v>
          </cell>
          <cell r="J512">
            <v>1</v>
          </cell>
          <cell r="L512">
            <v>7.333333333333333</v>
          </cell>
        </row>
        <row r="513">
          <cell r="B513" t="str">
            <v>P8025</v>
          </cell>
          <cell r="H513">
            <v>1</v>
          </cell>
          <cell r="J513">
            <v>2</v>
          </cell>
          <cell r="L513">
            <v>7.333333333333333</v>
          </cell>
        </row>
        <row r="618">
          <cell r="B618" t="str">
            <v>P8139</v>
          </cell>
          <cell r="H618">
            <v>1</v>
          </cell>
          <cell r="J618">
            <v>1</v>
          </cell>
          <cell r="L618">
            <v>7.333333333333333</v>
          </cell>
        </row>
        <row r="619">
          <cell r="B619" t="str">
            <v>P8025</v>
          </cell>
          <cell r="H619">
            <v>1</v>
          </cell>
          <cell r="J619">
            <v>6</v>
          </cell>
          <cell r="L619">
            <v>7.333333333333333</v>
          </cell>
        </row>
        <row r="713">
          <cell r="B713" t="str">
            <v>P8098</v>
          </cell>
          <cell r="H713">
            <v>2</v>
          </cell>
          <cell r="J713">
            <v>1</v>
          </cell>
          <cell r="L713">
            <v>7.333333333333333</v>
          </cell>
        </row>
        <row r="714">
          <cell r="B714" t="str">
            <v>P8027</v>
          </cell>
          <cell r="H714">
            <v>2</v>
          </cell>
          <cell r="J714">
            <v>1</v>
          </cell>
          <cell r="L714">
            <v>7.333333333333333</v>
          </cell>
        </row>
        <row r="715">
          <cell r="B715" t="str">
            <v>P8025</v>
          </cell>
          <cell r="H715">
            <v>2</v>
          </cell>
          <cell r="J715">
            <v>2</v>
          </cell>
          <cell r="L715">
            <v>7.333333333333333</v>
          </cell>
        </row>
        <row r="805">
          <cell r="B805" t="str">
            <v>P8066</v>
          </cell>
          <cell r="H805">
            <v>1</v>
          </cell>
          <cell r="J805">
            <v>1</v>
          </cell>
          <cell r="L805">
            <v>7.333333333333333</v>
          </cell>
        </row>
        <row r="806">
          <cell r="B806" t="str">
            <v>P8080</v>
          </cell>
          <cell r="H806">
            <v>1</v>
          </cell>
          <cell r="J806">
            <v>1</v>
          </cell>
          <cell r="L806">
            <v>7.333333333333333</v>
          </cell>
        </row>
        <row r="807">
          <cell r="B807" t="str">
            <v>P9848</v>
          </cell>
          <cell r="H807">
            <v>1</v>
          </cell>
          <cell r="J807">
            <v>1</v>
          </cell>
          <cell r="L807">
            <v>7.333333333333333</v>
          </cell>
        </row>
        <row r="808">
          <cell r="B808" t="str">
            <v>P8026</v>
          </cell>
          <cell r="H808">
            <v>1</v>
          </cell>
          <cell r="J808">
            <v>1</v>
          </cell>
          <cell r="L808">
            <v>7.333333333333333</v>
          </cell>
        </row>
        <row r="809">
          <cell r="B809" t="str">
            <v>P8025</v>
          </cell>
          <cell r="H809">
            <v>1</v>
          </cell>
          <cell r="J809">
            <v>1</v>
          </cell>
          <cell r="L809">
            <v>7.333333333333333</v>
          </cell>
        </row>
      </sheetData>
      <sheetData sheetId="16"/>
      <sheetData sheetId="17"/>
      <sheetData sheetId="18"/>
      <sheetData sheetId="19">
        <row r="3">
          <cell r="J3">
            <v>60</v>
          </cell>
        </row>
        <row r="4">
          <cell r="J4">
            <v>50</v>
          </cell>
          <cell r="L4">
            <v>0</v>
          </cell>
        </row>
        <row r="5">
          <cell r="E5">
            <v>1.1666666666666667</v>
          </cell>
          <cell r="J5">
            <v>40</v>
          </cell>
          <cell r="L5">
            <v>0</v>
          </cell>
        </row>
        <row r="6">
          <cell r="B6">
            <v>7.333333333333333</v>
          </cell>
        </row>
        <row r="12">
          <cell r="D12" t="str">
            <v>Paranaiba</v>
          </cell>
        </row>
        <row r="13">
          <cell r="D13">
            <v>46.7</v>
          </cell>
        </row>
        <row r="14">
          <cell r="D14" t="str">
            <v>nov-21</v>
          </cell>
        </row>
        <row r="15">
          <cell r="D15">
            <v>255.76599999999999</v>
          </cell>
          <cell r="E15" t="str">
            <v>out-21</v>
          </cell>
        </row>
      </sheetData>
      <sheetData sheetId="20">
        <row r="1">
          <cell r="A1" t="str">
            <v>CÓDIGO</v>
          </cell>
        </row>
        <row r="2">
          <cell r="A2" t="str">
            <v>P8001</v>
          </cell>
        </row>
        <row r="3">
          <cell r="A3" t="str">
            <v>P8002</v>
          </cell>
        </row>
        <row r="4">
          <cell r="A4" t="str">
            <v>P8003</v>
          </cell>
        </row>
        <row r="5">
          <cell r="A5" t="str">
            <v>P8007</v>
          </cell>
        </row>
        <row r="6">
          <cell r="A6" t="str">
            <v>P8008</v>
          </cell>
        </row>
        <row r="7">
          <cell r="A7" t="str">
            <v>P8009</v>
          </cell>
        </row>
        <row r="8">
          <cell r="A8" t="str">
            <v>P8013</v>
          </cell>
        </row>
        <row r="9">
          <cell r="A9" t="str">
            <v>P8014</v>
          </cell>
        </row>
        <row r="10">
          <cell r="A10" t="str">
            <v>P8015</v>
          </cell>
        </row>
        <row r="11">
          <cell r="A11" t="str">
            <v>P8019</v>
          </cell>
        </row>
        <row r="12">
          <cell r="A12" t="str">
            <v>P8020</v>
          </cell>
        </row>
        <row r="13">
          <cell r="A13" t="str">
            <v>P8021</v>
          </cell>
        </row>
        <row r="14">
          <cell r="A14" t="str">
            <v>P8025</v>
          </cell>
        </row>
        <row r="15">
          <cell r="A15" t="str">
            <v>P8026</v>
          </cell>
        </row>
        <row r="16">
          <cell r="A16" t="str">
            <v>P8027</v>
          </cell>
        </row>
        <row r="17">
          <cell r="A17" t="str">
            <v>P8028</v>
          </cell>
        </row>
        <row r="18">
          <cell r="A18" t="str">
            <v>P8032</v>
          </cell>
        </row>
        <row r="19">
          <cell r="A19" t="str">
            <v>P8033</v>
          </cell>
        </row>
        <row r="20">
          <cell r="A20" t="str">
            <v>P8034</v>
          </cell>
        </row>
        <row r="21">
          <cell r="A21" t="str">
            <v>P8038</v>
          </cell>
        </row>
        <row r="22">
          <cell r="A22" t="str">
            <v>P8040</v>
          </cell>
        </row>
        <row r="23">
          <cell r="A23" t="str">
            <v>P8041</v>
          </cell>
        </row>
        <row r="24">
          <cell r="A24" t="str">
            <v>P8042</v>
          </cell>
        </row>
        <row r="25">
          <cell r="A25" t="str">
            <v>P8044</v>
          </cell>
        </row>
        <row r="26">
          <cell r="A26" t="str">
            <v>P8045</v>
          </cell>
        </row>
        <row r="27">
          <cell r="A27" t="str">
            <v>P8046</v>
          </cell>
        </row>
        <row r="28">
          <cell r="A28" t="str">
            <v>P8047</v>
          </cell>
        </row>
        <row r="29">
          <cell r="A29" t="str">
            <v>P8051</v>
          </cell>
        </row>
        <row r="30">
          <cell r="A30" t="str">
            <v>P8052</v>
          </cell>
        </row>
        <row r="31">
          <cell r="A31" t="str">
            <v>P8053</v>
          </cell>
        </row>
        <row r="32">
          <cell r="A32" t="str">
            <v>P8054</v>
          </cell>
        </row>
        <row r="33">
          <cell r="A33" t="str">
            <v>P8055</v>
          </cell>
        </row>
        <row r="34">
          <cell r="A34" t="str">
            <v>P8056</v>
          </cell>
        </row>
        <row r="35">
          <cell r="A35" t="str">
            <v>P8057</v>
          </cell>
        </row>
        <row r="36">
          <cell r="A36" t="str">
            <v>P8058</v>
          </cell>
        </row>
        <row r="37">
          <cell r="A37" t="str">
            <v>P8059</v>
          </cell>
        </row>
        <row r="38">
          <cell r="A38" t="str">
            <v>P8060</v>
          </cell>
        </row>
        <row r="39">
          <cell r="A39" t="str">
            <v>P8061</v>
          </cell>
        </row>
        <row r="40">
          <cell r="A40" t="str">
            <v>P8062</v>
          </cell>
        </row>
        <row r="41">
          <cell r="A41" t="str">
            <v>P8063</v>
          </cell>
        </row>
        <row r="42">
          <cell r="A42" t="str">
            <v>P8064</v>
          </cell>
        </row>
        <row r="43">
          <cell r="A43" t="str">
            <v>P8065</v>
          </cell>
        </row>
        <row r="44">
          <cell r="A44" t="str">
            <v>P8066</v>
          </cell>
        </row>
        <row r="45">
          <cell r="A45" t="str">
            <v>P8067</v>
          </cell>
        </row>
        <row r="46">
          <cell r="A46" t="str">
            <v>P8068</v>
          </cell>
        </row>
        <row r="47">
          <cell r="A47" t="str">
            <v>P8069</v>
          </cell>
        </row>
        <row r="48">
          <cell r="A48" t="str">
            <v>P8070</v>
          </cell>
        </row>
        <row r="49">
          <cell r="A49" t="str">
            <v>P8080</v>
          </cell>
        </row>
        <row r="50">
          <cell r="A50" t="str">
            <v>P8081</v>
          </cell>
        </row>
        <row r="51">
          <cell r="A51" t="str">
            <v>P8082</v>
          </cell>
        </row>
        <row r="52">
          <cell r="A52" t="str">
            <v>P8086</v>
          </cell>
        </row>
        <row r="53">
          <cell r="A53" t="str">
            <v>P8087</v>
          </cell>
        </row>
        <row r="54">
          <cell r="A54" t="str">
            <v>P8088</v>
          </cell>
        </row>
        <row r="55">
          <cell r="A55" t="str">
            <v>P8092</v>
          </cell>
        </row>
        <row r="56">
          <cell r="A56" t="str">
            <v>P8093</v>
          </cell>
        </row>
        <row r="57">
          <cell r="A57" t="str">
            <v>P8094</v>
          </cell>
        </row>
        <row r="58">
          <cell r="A58" t="str">
            <v>P8098</v>
          </cell>
        </row>
        <row r="59">
          <cell r="A59" t="str">
            <v>P8102</v>
          </cell>
        </row>
        <row r="60">
          <cell r="A60" t="str">
            <v>P8106</v>
          </cell>
        </row>
        <row r="61">
          <cell r="A61" t="str">
            <v>P8107</v>
          </cell>
        </row>
        <row r="62">
          <cell r="A62" t="str">
            <v>P8108</v>
          </cell>
        </row>
        <row r="63">
          <cell r="A63" t="str">
            <v>P8112</v>
          </cell>
        </row>
        <row r="64">
          <cell r="A64" t="str">
            <v>P8113</v>
          </cell>
        </row>
        <row r="65">
          <cell r="A65" t="str">
            <v>P8117</v>
          </cell>
        </row>
        <row r="66">
          <cell r="A66" t="str">
            <v>P8118</v>
          </cell>
        </row>
        <row r="67">
          <cell r="A67" t="str">
            <v>P8119</v>
          </cell>
        </row>
        <row r="68">
          <cell r="A68" t="str">
            <v>P8123</v>
          </cell>
        </row>
        <row r="69">
          <cell r="A69" t="str">
            <v>P8124</v>
          </cell>
        </row>
        <row r="70">
          <cell r="A70" t="str">
            <v>P8125</v>
          </cell>
        </row>
        <row r="71">
          <cell r="A71" t="str">
            <v>P8129</v>
          </cell>
        </row>
        <row r="72">
          <cell r="A72" t="str">
            <v>P8130</v>
          </cell>
        </row>
        <row r="73">
          <cell r="A73" t="str">
            <v>P8131</v>
          </cell>
        </row>
        <row r="74">
          <cell r="A74" t="str">
            <v>P8135</v>
          </cell>
        </row>
        <row r="75">
          <cell r="A75" t="str">
            <v>P8139</v>
          </cell>
        </row>
        <row r="76">
          <cell r="A76" t="str">
            <v>P8143</v>
          </cell>
        </row>
        <row r="77">
          <cell r="A77" t="str">
            <v>P8147</v>
          </cell>
        </row>
        <row r="78">
          <cell r="A78" t="str">
            <v>P8151</v>
          </cell>
        </row>
        <row r="79">
          <cell r="A79" t="str">
            <v>P8155</v>
          </cell>
        </row>
        <row r="80">
          <cell r="A80" t="str">
            <v>P8159</v>
          </cell>
        </row>
        <row r="81">
          <cell r="A81" t="str">
            <v>P8163</v>
          </cell>
        </row>
        <row r="82">
          <cell r="A82" t="str">
            <v>P8167</v>
          </cell>
        </row>
        <row r="83">
          <cell r="A83" t="str">
            <v>P8168</v>
          </cell>
        </row>
        <row r="84">
          <cell r="A84" t="str">
            <v>P8169</v>
          </cell>
        </row>
        <row r="85">
          <cell r="A85" t="str">
            <v>P8173</v>
          </cell>
        </row>
        <row r="86">
          <cell r="A86" t="str">
            <v>P8174</v>
          </cell>
        </row>
        <row r="87">
          <cell r="A87" t="str">
            <v>P8175</v>
          </cell>
        </row>
        <row r="88">
          <cell r="A88" t="str">
            <v>P9811</v>
          </cell>
        </row>
        <row r="89">
          <cell r="A89" t="str">
            <v>P9848</v>
          </cell>
        </row>
      </sheetData>
      <sheetData sheetId="21"/>
      <sheetData sheetId="22">
        <row r="13">
          <cell r="C13" t="str">
            <v>B8951</v>
          </cell>
          <cell r="D13" t="str">
            <v>Comercial (2,32% do C.M.C.C - SINAPI)</v>
          </cell>
          <cell r="E13" t="str">
            <v>m² x mês</v>
          </cell>
          <cell r="F13"/>
          <cell r="G13">
            <v>40.049999999999997</v>
          </cell>
        </row>
        <row r="14">
          <cell r="C14" t="str">
            <v>B8952</v>
          </cell>
          <cell r="D14" t="str">
            <v>Residencial (1,27% do C.M.C.C. - SINAPI)</v>
          </cell>
          <cell r="E14" t="str">
            <v>m² x mês</v>
          </cell>
          <cell r="F14"/>
          <cell r="G14">
            <v>26.19</v>
          </cell>
        </row>
        <row r="15">
          <cell r="C15" t="str">
            <v>B8953</v>
          </cell>
          <cell r="D15" t="str">
            <v>Escritório</v>
          </cell>
          <cell r="E15" t="str">
            <v>ocupante x mês</v>
          </cell>
          <cell r="F15"/>
          <cell r="G15">
            <v>529.1</v>
          </cell>
        </row>
        <row r="16">
          <cell r="C16" t="str">
            <v>B8954</v>
          </cell>
          <cell r="D16" t="str">
            <v>Residência</v>
          </cell>
          <cell r="E16" t="str">
            <v>ocupante x mês</v>
          </cell>
          <cell r="F16"/>
          <cell r="G16">
            <v>35.86</v>
          </cell>
        </row>
        <row r="17">
          <cell r="C17" t="str">
            <v>B8955</v>
          </cell>
          <cell r="D17" t="str">
            <v>Laboratório de asfalto</v>
          </cell>
          <cell r="E17" t="str">
            <v>mês</v>
          </cell>
          <cell r="F17"/>
          <cell r="G17">
            <v>5592.36</v>
          </cell>
        </row>
        <row r="18">
          <cell r="C18" t="str">
            <v>B8956</v>
          </cell>
          <cell r="D18" t="str">
            <v>Laboratório de concreto</v>
          </cell>
          <cell r="E18" t="str">
            <v>mês</v>
          </cell>
          <cell r="F18"/>
          <cell r="G18">
            <v>3705.74</v>
          </cell>
        </row>
        <row r="19">
          <cell r="C19" t="str">
            <v>B8957</v>
          </cell>
          <cell r="D19" t="str">
            <v>Laboratório de solos</v>
          </cell>
          <cell r="E19" t="str">
            <v>mês</v>
          </cell>
          <cell r="F19"/>
          <cell r="G19">
            <v>4126.54</v>
          </cell>
        </row>
        <row r="20">
          <cell r="C20" t="str">
            <v>B8958</v>
          </cell>
          <cell r="D20" t="str">
            <v>Topografia</v>
          </cell>
          <cell r="E20" t="str">
            <v>mês</v>
          </cell>
          <cell r="F20"/>
          <cell r="G20">
            <v>2675.58</v>
          </cell>
        </row>
        <row r="21">
          <cell r="C21" t="str">
            <v>B8959</v>
          </cell>
          <cell r="D21" t="str">
            <v>Escritório</v>
          </cell>
          <cell r="E21" t="str">
            <v>ocupante x mês</v>
          </cell>
          <cell r="F21"/>
          <cell r="G21">
            <v>124.5</v>
          </cell>
        </row>
        <row r="22">
          <cell r="C22" t="str">
            <v>B8960</v>
          </cell>
          <cell r="D22" t="str">
            <v>Residência</v>
          </cell>
          <cell r="E22" t="str">
            <v>ocupante x mês</v>
          </cell>
          <cell r="F22"/>
          <cell r="G22">
            <v>195.76</v>
          </cell>
        </row>
      </sheetData>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Div Lotes"/>
      <sheetName val="2-Resumo"/>
      <sheetName val="3-LT.1 AC-2 VDR"/>
      <sheetName val="4-LT.1 AC-3 FWD200"/>
      <sheetName val="5-LT.2 AC-2 VDR"/>
      <sheetName val="6-LT.2 AC-3 FWD200"/>
      <sheetName val="7-LT.3 AC-2 VDR"/>
      <sheetName val="8-LT.3 AC-3 FWD200"/>
      <sheetName val="9-LT.4 AC-1 PISTA"/>
      <sheetName val="10-LT.4 AE-RG"/>
      <sheetName val="11-LT.4 Seminario"/>
      <sheetName val="12-SNV"/>
      <sheetName val="13_Cronograma"/>
      <sheetName val="14_Pesquisa"/>
      <sheetName val="15_Conj VDR"/>
      <sheetName val="16_Custo VDR"/>
      <sheetName val="17_Passagens"/>
      <sheetName val="17_Diárias"/>
      <sheetName val="18_Tab Consultoria"/>
    </sheetNames>
    <sheetDataSet>
      <sheetData sheetId="0" refreshError="1"/>
      <sheetData sheetId="1">
        <row r="4">
          <cell r="B4">
            <v>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4">
          <cell r="K4">
            <v>0.99729339780763704</v>
          </cell>
        </row>
      </sheetData>
      <sheetData sheetId="14">
        <row r="7">
          <cell r="I7">
            <v>767167.52552345721</v>
          </cell>
        </row>
      </sheetData>
      <sheetData sheetId="15"/>
      <sheetData sheetId="16" refreshError="1"/>
      <sheetData sheetId="17" refreshError="1"/>
      <sheetData sheetId="18">
        <row r="7">
          <cell r="E7">
            <v>43344</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2.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pageSetUpPr fitToPage="1"/>
  </sheetPr>
  <dimension ref="A1:AG40"/>
  <sheetViews>
    <sheetView showGridLines="0" view="pageBreakPreview" zoomScaleNormal="100" zoomScaleSheetLayoutView="100" workbookViewId="0">
      <selection activeCell="C8" sqref="C8"/>
    </sheetView>
  </sheetViews>
  <sheetFormatPr defaultColWidth="0" defaultRowHeight="15" customHeight="1" zeroHeight="1" x14ac:dyDescent="0.25"/>
  <cols>
    <col min="1" max="1" width="1.7109375" style="2" customWidth="1"/>
    <col min="2" max="2" width="9.85546875" style="2" bestFit="1" customWidth="1"/>
    <col min="3" max="3" width="7.28515625" style="2" customWidth="1"/>
    <col min="4" max="4" width="13.42578125" style="2" customWidth="1"/>
    <col min="5" max="5" width="9.140625" style="2" customWidth="1"/>
    <col min="6" max="6" width="5.5703125" style="2" bestFit="1" customWidth="1"/>
    <col min="7" max="7" width="55.28515625" style="2" customWidth="1"/>
    <col min="8" max="8" width="9.140625" style="2" customWidth="1"/>
    <col min="9" max="9" width="10.28515625" style="2" bestFit="1" customWidth="1"/>
    <col min="10" max="10" width="16.28515625" style="2" bestFit="1" customWidth="1"/>
    <col min="11" max="11" width="1.7109375" style="2" customWidth="1"/>
    <col min="12" max="19" width="9.140625" style="2" hidden="1" customWidth="1"/>
    <col min="20" max="33" width="0" style="2" hidden="1" customWidth="1"/>
    <col min="34" max="16384" width="9.140625" style="2" hidden="1"/>
  </cols>
  <sheetData>
    <row r="1" spans="2:10" ht="9" customHeight="1" x14ac:dyDescent="0.25"/>
    <row r="2" spans="2:10" ht="34.5" customHeight="1" x14ac:dyDescent="0.25"/>
    <row r="3" spans="2:10" x14ac:dyDescent="0.25"/>
    <row r="4" spans="2:10" x14ac:dyDescent="0.25"/>
    <row r="5" spans="2:10" x14ac:dyDescent="0.25">
      <c r="B5" s="23" t="s">
        <v>0</v>
      </c>
      <c r="C5" s="548" t="s">
        <v>1217</v>
      </c>
      <c r="D5" s="548"/>
      <c r="E5" s="548"/>
      <c r="F5" s="548"/>
      <c r="G5" s="548"/>
      <c r="H5" s="548"/>
      <c r="I5" s="548"/>
      <c r="J5" s="548"/>
    </row>
    <row r="6" spans="2:10" x14ac:dyDescent="0.25">
      <c r="B6" s="5" t="s">
        <v>862</v>
      </c>
      <c r="C6" s="1" t="s">
        <v>1216</v>
      </c>
    </row>
    <row r="7" spans="2:10" x14ac:dyDescent="0.25">
      <c r="B7" s="5" t="s">
        <v>863</v>
      </c>
      <c r="C7" s="1" t="s">
        <v>1216</v>
      </c>
    </row>
    <row r="8" spans="2:10" x14ac:dyDescent="0.25">
      <c r="B8" s="5" t="s">
        <v>1</v>
      </c>
      <c r="C8" s="239">
        <v>1.7</v>
      </c>
      <c r="D8" s="2" t="s">
        <v>3</v>
      </c>
      <c r="G8" s="2" t="s">
        <v>1131</v>
      </c>
      <c r="I8" s="5" t="s">
        <v>16</v>
      </c>
      <c r="J8" s="6" t="s">
        <v>1218</v>
      </c>
    </row>
    <row r="9" spans="2:10" x14ac:dyDescent="0.25">
      <c r="B9" s="5" t="s">
        <v>2</v>
      </c>
      <c r="C9" s="264">
        <v>365</v>
      </c>
      <c r="D9" s="2" t="s">
        <v>4</v>
      </c>
      <c r="I9" s="5" t="s">
        <v>17</v>
      </c>
      <c r="J9" s="265">
        <v>45748</v>
      </c>
    </row>
    <row r="10" spans="2:10" x14ac:dyDescent="0.25"/>
    <row r="11" spans="2:10" s="11" customFormat="1" ht="21" x14ac:dyDescent="0.25">
      <c r="F11" s="547" t="s">
        <v>18</v>
      </c>
      <c r="G11" s="547"/>
    </row>
    <row r="12" spans="2:10" ht="15" customHeight="1" x14ac:dyDescent="0.25"/>
    <row r="13" spans="2:10" ht="15" customHeight="1" x14ac:dyDescent="0.25">
      <c r="F13" s="113" t="s">
        <v>19</v>
      </c>
      <c r="G13" s="113" t="s">
        <v>15</v>
      </c>
    </row>
    <row r="14" spans="2:10" ht="15" customHeight="1" x14ac:dyDescent="0.25">
      <c r="F14" s="114">
        <v>1</v>
      </c>
      <c r="G14" s="119" t="s">
        <v>20</v>
      </c>
    </row>
    <row r="15" spans="2:10" ht="15" customHeight="1" x14ac:dyDescent="0.25">
      <c r="F15" s="114">
        <v>2</v>
      </c>
      <c r="G15" s="119" t="s">
        <v>21</v>
      </c>
    </row>
    <row r="16" spans="2:10" ht="15" customHeight="1" x14ac:dyDescent="0.25">
      <c r="F16" s="114">
        <v>3</v>
      </c>
      <c r="G16" s="119" t="s">
        <v>724</v>
      </c>
    </row>
    <row r="17" spans="6:7" ht="15" customHeight="1" x14ac:dyDescent="0.25">
      <c r="F17" s="114">
        <v>4</v>
      </c>
      <c r="G17" s="119" t="s">
        <v>22</v>
      </c>
    </row>
    <row r="18" spans="6:7" ht="15" customHeight="1" x14ac:dyDescent="0.25">
      <c r="F18" s="114">
        <v>5</v>
      </c>
      <c r="G18" s="119" t="s">
        <v>23</v>
      </c>
    </row>
    <row r="19" spans="6:7" ht="15" customHeight="1" x14ac:dyDescent="0.25">
      <c r="F19" s="114">
        <v>6</v>
      </c>
      <c r="G19" s="119" t="s">
        <v>400</v>
      </c>
    </row>
    <row r="20" spans="6:7" ht="15" customHeight="1" x14ac:dyDescent="0.25">
      <c r="F20" s="114">
        <v>7</v>
      </c>
      <c r="G20" s="119" t="s">
        <v>481</v>
      </c>
    </row>
    <row r="21" spans="6:7" ht="15" customHeight="1" x14ac:dyDescent="0.25">
      <c r="F21" s="114">
        <v>8</v>
      </c>
      <c r="G21" s="119" t="s">
        <v>24</v>
      </c>
    </row>
    <row r="22" spans="6:7" ht="15" customHeight="1" x14ac:dyDescent="0.25">
      <c r="F22" s="114">
        <v>9</v>
      </c>
      <c r="G22" s="119" t="s">
        <v>25</v>
      </c>
    </row>
    <row r="23" spans="6:7" ht="15" customHeight="1" x14ac:dyDescent="0.25">
      <c r="F23" s="114">
        <v>10</v>
      </c>
      <c r="G23" s="119" t="s">
        <v>26</v>
      </c>
    </row>
    <row r="24" spans="6:7" ht="15" customHeight="1" x14ac:dyDescent="0.25">
      <c r="F24" s="114">
        <v>11</v>
      </c>
      <c r="G24" s="119" t="s">
        <v>27</v>
      </c>
    </row>
    <row r="25" spans="6:7" ht="15" customHeight="1" x14ac:dyDescent="0.25">
      <c r="F25" s="114">
        <v>12</v>
      </c>
      <c r="G25" s="119" t="s">
        <v>28</v>
      </c>
    </row>
    <row r="26" spans="6:7" ht="15" customHeight="1" x14ac:dyDescent="0.25">
      <c r="F26" s="114">
        <v>13</v>
      </c>
      <c r="G26" s="119" t="s">
        <v>746</v>
      </c>
    </row>
    <row r="27" spans="6:7" ht="15" customHeight="1" x14ac:dyDescent="0.25">
      <c r="F27" s="114">
        <v>14</v>
      </c>
      <c r="G27" s="119" t="s">
        <v>747</v>
      </c>
    </row>
    <row r="28" spans="6:7" ht="15" customHeight="1" x14ac:dyDescent="0.25">
      <c r="F28" s="114">
        <v>15</v>
      </c>
      <c r="G28" s="119" t="s">
        <v>748</v>
      </c>
    </row>
    <row r="29" spans="6:7" ht="15" customHeight="1" x14ac:dyDescent="0.25">
      <c r="F29" s="114">
        <v>16</v>
      </c>
      <c r="G29" s="119" t="s">
        <v>749</v>
      </c>
    </row>
    <row r="30" spans="6:7" ht="15" customHeight="1" x14ac:dyDescent="0.25">
      <c r="F30" s="114">
        <v>17</v>
      </c>
      <c r="G30" s="119" t="s">
        <v>750</v>
      </c>
    </row>
    <row r="31" spans="6:7" ht="15" customHeight="1" x14ac:dyDescent="0.2">
      <c r="F31" s="114">
        <v>18</v>
      </c>
      <c r="G31" s="249" t="s">
        <v>751</v>
      </c>
    </row>
    <row r="32" spans="6:7" ht="15" customHeight="1" x14ac:dyDescent="0.25">
      <c r="F32" s="114">
        <v>19</v>
      </c>
      <c r="G32" s="71" t="s">
        <v>752</v>
      </c>
    </row>
    <row r="33" spans="6:7" ht="15" customHeight="1" x14ac:dyDescent="0.25">
      <c r="F33" s="114">
        <v>20</v>
      </c>
      <c r="G33" s="71" t="s">
        <v>753</v>
      </c>
    </row>
    <row r="34" spans="6:7" ht="15" customHeight="1" x14ac:dyDescent="0.25">
      <c r="F34" s="114">
        <v>21</v>
      </c>
      <c r="G34" s="71" t="s">
        <v>754</v>
      </c>
    </row>
    <row r="35" spans="6:7" ht="15" customHeight="1" x14ac:dyDescent="0.25">
      <c r="F35" s="114">
        <v>22</v>
      </c>
      <c r="G35" s="71" t="s">
        <v>755</v>
      </c>
    </row>
    <row r="36" spans="6:7" ht="9" customHeight="1" x14ac:dyDescent="0.25"/>
    <row r="37" spans="6:7" ht="15" hidden="1" customHeight="1" x14ac:dyDescent="0.25"/>
    <row r="38" spans="6:7" ht="15" hidden="1" customHeight="1" x14ac:dyDescent="0.25"/>
    <row r="39" spans="6:7" ht="15" hidden="1" customHeight="1" x14ac:dyDescent="0.25"/>
    <row r="40" spans="6:7" ht="15" hidden="1" customHeight="1" x14ac:dyDescent="0.25"/>
  </sheetData>
  <mergeCells count="2">
    <mergeCell ref="F11:G11"/>
    <mergeCell ref="C5:J5"/>
  </mergeCells>
  <hyperlinks>
    <hyperlink ref="G14" location="'Qd abrang'!A1" display="Quadro de abrangência do projeto"/>
    <hyperlink ref="G15" location="Orcamento!A1" display="Planilha sintética do orçamento"/>
    <hyperlink ref="G16" location="'Crono medicoes'!A1" display="Cronograma de medições"/>
    <hyperlink ref="G17" location="'Custos proj'!A1" display="Custo do projeto"/>
    <hyperlink ref="G18" location="MO!A1" display="Custo da mão de obra"/>
    <hyperlink ref="G19" location="Veículos!A1" display="Custo dos veículos"/>
    <hyperlink ref="G20" location="'Equip + materiais'!A1" display="Custo de equipamentos e materiais"/>
    <hyperlink ref="G21" location="'Diárias + passagens'!A1" display="Custo de diárias e passagens"/>
    <hyperlink ref="G22" location="'Mob desmob MO'!A1" display="Custo de mobilização e desmobilização da mão de obra"/>
    <hyperlink ref="G23" location="'Mob desmob equip rod'!A1" display="Custo de mobilização e desmobilização de equipamentos rodantes"/>
    <hyperlink ref="G24" location="'Inst + diversos'!A1" display="Custo das instalações físicas e diversos"/>
    <hyperlink ref="G25" location="'Serv graf'!A1" display="Custo com serviços gráficos"/>
    <hyperlink ref="G26" location="Produtividade!A1" display="Produtividade"/>
    <hyperlink ref="G28" location="'Crono fisico'!A1" display="Memória de cálculo: cronograma físico"/>
    <hyperlink ref="G27" location="'Memo calc'!A1" display="Memória de cálculo"/>
    <hyperlink ref="G29" location="'Histo esc'!A1" display="Histograma: escritório"/>
    <hyperlink ref="G30" location="'Histo resid'!A1" display="Histograma: residência"/>
  </hyperlinks>
  <printOptions horizontalCentered="1"/>
  <pageMargins left="1.1811023622047245" right="0.78740157480314965" top="0.39370078740157483" bottom="0.78740157480314965" header="0.78740157480314965" footer="0.31496062992125984"/>
  <pageSetup paperSize="9" scale="89" orientation="landscape"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pageSetUpPr fitToPage="1"/>
  </sheetPr>
  <dimension ref="A1:AF48"/>
  <sheetViews>
    <sheetView showGridLines="0" view="pageBreakPreview" zoomScaleNormal="100" zoomScaleSheetLayoutView="100" workbookViewId="0">
      <selection activeCell="C7" sqref="C7"/>
    </sheetView>
  </sheetViews>
  <sheetFormatPr defaultColWidth="0" defaultRowHeight="15" zeroHeight="1" x14ac:dyDescent="0.25"/>
  <cols>
    <col min="1" max="1" width="1.7109375" style="2" customWidth="1"/>
    <col min="2" max="2" width="9.85546875" style="2" bestFit="1" customWidth="1"/>
    <col min="3" max="3" width="7.28515625" style="2" customWidth="1"/>
    <col min="4" max="4" width="21.85546875" style="2" customWidth="1"/>
    <col min="5" max="5" width="9.7109375" style="2" customWidth="1"/>
    <col min="6" max="7" width="8.7109375" style="2" customWidth="1"/>
    <col min="8" max="8" width="10.28515625" style="2" bestFit="1" customWidth="1"/>
    <col min="9" max="9" width="9.28515625" style="2" bestFit="1" customWidth="1"/>
    <col min="10" max="11" width="9.140625" style="2" customWidth="1"/>
    <col min="12" max="12" width="25.7109375" style="2" customWidth="1"/>
    <col min="13" max="14" width="16.7109375" style="2" customWidth="1"/>
    <col min="15" max="15" width="1.7109375" style="2" customWidth="1"/>
    <col min="16" max="32" width="0" style="2" hidden="1" customWidth="1"/>
    <col min="33" max="16384" width="9.140625" style="2" hidden="1"/>
  </cols>
  <sheetData>
    <row r="1" spans="2:14" ht="9" customHeight="1" x14ac:dyDescent="0.25"/>
    <row r="2" spans="2:14" ht="34.5" customHeight="1" x14ac:dyDescent="0.25"/>
    <row r="3" spans="2:14" x14ac:dyDescent="0.25"/>
    <row r="4" spans="2:14" x14ac:dyDescent="0.25">
      <c r="B4" s="23" t="s">
        <v>0</v>
      </c>
      <c r="C4" s="549" t="str">
        <f>Sumario!C5</f>
        <v>Contratação de Projeto Executivo de Engenharia para Implantação do Aeródromo no município de Nova Andradina</v>
      </c>
      <c r="D4" s="549"/>
      <c r="E4" s="549"/>
      <c r="F4" s="549"/>
      <c r="G4" s="549"/>
      <c r="H4" s="549"/>
      <c r="I4" s="549"/>
      <c r="J4" s="549"/>
      <c r="K4" s="549"/>
      <c r="L4" s="549"/>
      <c r="M4" s="549"/>
      <c r="N4" s="549"/>
    </row>
    <row r="5" spans="2:14" x14ac:dyDescent="0.25">
      <c r="B5" s="5" t="s">
        <v>862</v>
      </c>
      <c r="C5" s="2" t="str">
        <f>Sumario!C6</f>
        <v>Nova Andradina/MS</v>
      </c>
    </row>
    <row r="6" spans="2:14" x14ac:dyDescent="0.25">
      <c r="B6" s="5" t="s">
        <v>863</v>
      </c>
      <c r="C6" s="2" t="s">
        <v>1216</v>
      </c>
    </row>
    <row r="7" spans="2:14" x14ac:dyDescent="0.25">
      <c r="B7" s="5" t="s">
        <v>1</v>
      </c>
      <c r="C7" s="238">
        <f>Sumario!C8</f>
        <v>1.7</v>
      </c>
      <c r="D7" s="2" t="str">
        <f>Sumario!D8</f>
        <v>km (aproximadamente)</v>
      </c>
      <c r="E7" s="5" t="s">
        <v>959</v>
      </c>
      <c r="F7" s="51">
        <v>23</v>
      </c>
      <c r="G7" s="2" t="s">
        <v>411</v>
      </c>
      <c r="M7" s="5" t="s">
        <v>16</v>
      </c>
      <c r="N7" s="112" t="str">
        <f>Sumario!J8</f>
        <v>79.010.182-2025</v>
      </c>
    </row>
    <row r="8" spans="2:14" x14ac:dyDescent="0.25">
      <c r="B8" s="5" t="s">
        <v>2</v>
      </c>
      <c r="C8" s="266">
        <f>Sumario!C9</f>
        <v>365</v>
      </c>
      <c r="D8" s="2" t="s">
        <v>4</v>
      </c>
      <c r="M8" s="5" t="s">
        <v>17</v>
      </c>
      <c r="N8" s="265">
        <f>Sumario!J9</f>
        <v>45748</v>
      </c>
    </row>
    <row r="9" spans="2:14" x14ac:dyDescent="0.25"/>
    <row r="10" spans="2:14" s="11" customFormat="1" ht="21" x14ac:dyDescent="0.25">
      <c r="B10" s="547" t="s">
        <v>5</v>
      </c>
      <c r="C10" s="547"/>
      <c r="D10" s="547"/>
      <c r="E10" s="547"/>
      <c r="F10" s="547"/>
      <c r="G10" s="547"/>
      <c r="H10" s="547"/>
      <c r="I10" s="547"/>
      <c r="J10" s="547"/>
      <c r="K10" s="547"/>
      <c r="L10" s="547"/>
      <c r="M10" s="547"/>
      <c r="N10" s="547"/>
    </row>
    <row r="11" spans="2:14" x14ac:dyDescent="0.25"/>
    <row r="12" spans="2:14" ht="15" customHeight="1" x14ac:dyDescent="0.25">
      <c r="B12" s="551" t="s">
        <v>14</v>
      </c>
      <c r="C12" s="552"/>
      <c r="D12" s="553"/>
      <c r="E12" s="560" t="s">
        <v>7</v>
      </c>
      <c r="F12" s="562" t="s">
        <v>13</v>
      </c>
      <c r="G12" s="562"/>
      <c r="H12" s="563" t="s">
        <v>739</v>
      </c>
      <c r="I12" s="563"/>
      <c r="J12" s="563"/>
      <c r="K12" s="563"/>
      <c r="L12" s="551" t="s">
        <v>8</v>
      </c>
      <c r="M12" s="563" t="s">
        <v>9</v>
      </c>
      <c r="N12" s="563"/>
    </row>
    <row r="13" spans="2:14" x14ac:dyDescent="0.25">
      <c r="B13" s="554"/>
      <c r="C13" s="555"/>
      <c r="D13" s="556"/>
      <c r="E13" s="561"/>
      <c r="F13" s="186" t="s">
        <v>864</v>
      </c>
      <c r="G13" s="186" t="s">
        <v>865</v>
      </c>
      <c r="H13" s="185" t="s">
        <v>6</v>
      </c>
      <c r="I13" s="185" t="s">
        <v>11</v>
      </c>
      <c r="J13" s="186" t="s">
        <v>7</v>
      </c>
      <c r="K13" s="186" t="s">
        <v>414</v>
      </c>
      <c r="L13" s="554"/>
      <c r="M13" s="563"/>
      <c r="N13" s="563"/>
    </row>
    <row r="14" spans="2:14" ht="26.25" customHeight="1" x14ac:dyDescent="0.25">
      <c r="B14" s="557" t="str">
        <f>C6</f>
        <v>Nova Andradina/MS</v>
      </c>
      <c r="C14" s="558"/>
      <c r="D14" s="559"/>
      <c r="E14" s="189" t="s">
        <v>726</v>
      </c>
      <c r="F14" s="115">
        <v>0</v>
      </c>
      <c r="G14" s="62">
        <f>C7</f>
        <v>1.7</v>
      </c>
      <c r="H14" s="62">
        <f>G14-F14</f>
        <v>1.7</v>
      </c>
      <c r="I14" s="62">
        <f>H14</f>
        <v>1.7</v>
      </c>
      <c r="J14" s="62">
        <f>I14</f>
        <v>1.7</v>
      </c>
      <c r="K14" s="191">
        <f>J14/$I$15</f>
        <v>1</v>
      </c>
      <c r="L14" s="115" t="str">
        <f>C5</f>
        <v>Nova Andradina/MS</v>
      </c>
      <c r="M14" s="550" t="s">
        <v>1155</v>
      </c>
      <c r="N14" s="550"/>
    </row>
    <row r="15" spans="2:14" x14ac:dyDescent="0.25">
      <c r="B15" s="116"/>
      <c r="C15" s="117"/>
      <c r="D15" s="117"/>
      <c r="E15" s="117"/>
      <c r="F15" s="117"/>
      <c r="G15" s="117"/>
      <c r="H15" s="118" t="s">
        <v>12</v>
      </c>
      <c r="I15" s="240">
        <f>I14</f>
        <v>1.7</v>
      </c>
      <c r="J15" s="117" t="s">
        <v>13</v>
      </c>
      <c r="K15" s="117"/>
      <c r="L15" s="118"/>
      <c r="M15" s="117"/>
      <c r="N15" s="13"/>
    </row>
    <row r="16" spans="2:14" s="21" customFormat="1" x14ac:dyDescent="0.25">
      <c r="B16" s="163"/>
      <c r="C16" s="19"/>
      <c r="D16" s="19"/>
      <c r="E16" s="19"/>
      <c r="F16" s="19"/>
      <c r="G16" s="19"/>
      <c r="H16" s="19"/>
      <c r="I16" s="19"/>
      <c r="J16" s="19"/>
      <c r="K16" s="19"/>
      <c r="L16" s="20"/>
      <c r="M16" s="19"/>
      <c r="N16" s="19"/>
    </row>
    <row r="17" spans="2:14" s="21" customFormat="1" hidden="1" x14ac:dyDescent="0.25">
      <c r="B17" s="19"/>
      <c r="C17" s="19"/>
      <c r="D17" s="19"/>
      <c r="E17" s="19"/>
      <c r="F17" s="19"/>
      <c r="G17" s="19"/>
      <c r="H17" s="19"/>
      <c r="I17" s="19"/>
      <c r="J17" s="19"/>
      <c r="K17" s="19"/>
      <c r="L17" s="20"/>
      <c r="M17" s="19"/>
      <c r="N17" s="19"/>
    </row>
    <row r="18" spans="2:14" s="21" customFormat="1" hidden="1" x14ac:dyDescent="0.25">
      <c r="B18" s="19"/>
      <c r="C18" s="19"/>
      <c r="D18" s="19"/>
      <c r="E18" s="19"/>
      <c r="F18" s="19"/>
      <c r="G18" s="19"/>
      <c r="H18" s="19"/>
      <c r="I18" s="19"/>
      <c r="J18" s="19"/>
      <c r="K18" s="19"/>
      <c r="L18" s="20"/>
      <c r="M18" s="19"/>
      <c r="N18" s="19"/>
    </row>
    <row r="19" spans="2:14" hidden="1" x14ac:dyDescent="0.25"/>
    <row r="20" spans="2:14" hidden="1" x14ac:dyDescent="0.25"/>
    <row r="21" spans="2:14" hidden="1" x14ac:dyDescent="0.25"/>
    <row r="22" spans="2:14" hidden="1" x14ac:dyDescent="0.25"/>
    <row r="23" spans="2:14" hidden="1" x14ac:dyDescent="0.25"/>
    <row r="24" spans="2:14" hidden="1" x14ac:dyDescent="0.25"/>
    <row r="25" spans="2:14" hidden="1" x14ac:dyDescent="0.25"/>
    <row r="26" spans="2:14" hidden="1" x14ac:dyDescent="0.25"/>
    <row r="27" spans="2:14" hidden="1" x14ac:dyDescent="0.25"/>
    <row r="28" spans="2:14" hidden="1" x14ac:dyDescent="0.25"/>
    <row r="29" spans="2:14" hidden="1" x14ac:dyDescent="0.25"/>
    <row r="30" spans="2:14" hidden="1" x14ac:dyDescent="0.25"/>
    <row r="31" spans="2:14" hidden="1" x14ac:dyDescent="0.25"/>
    <row r="32" spans="2:14"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sheetData>
  <mergeCells count="10">
    <mergeCell ref="C4:N4"/>
    <mergeCell ref="B10:N10"/>
    <mergeCell ref="M14:N14"/>
    <mergeCell ref="B12:D13"/>
    <mergeCell ref="B14:D14"/>
    <mergeCell ref="E12:E13"/>
    <mergeCell ref="F12:G12"/>
    <mergeCell ref="H12:K12"/>
    <mergeCell ref="L12:L13"/>
    <mergeCell ref="M12:N13"/>
  </mergeCells>
  <printOptions horizontalCentered="1"/>
  <pageMargins left="1.1811023622047245" right="0.78740157480314965" top="0.39370078740157483" bottom="0.78740157480314965" header="0.19685039370078741" footer="0.19685039370078741"/>
  <pageSetup paperSize="9" scale="74" fitToHeight="0" orientation="landscape"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pageSetUpPr fitToPage="1"/>
  </sheetPr>
  <dimension ref="B1:XFC85"/>
  <sheetViews>
    <sheetView showGridLines="0" tabSelected="1" view="pageBreakPreview" topLeftCell="A7" zoomScaleNormal="100" zoomScaleSheetLayoutView="100" workbookViewId="0">
      <selection activeCell="F33" sqref="F33"/>
    </sheetView>
  </sheetViews>
  <sheetFormatPr defaultColWidth="0" defaultRowHeight="15" customHeight="1" x14ac:dyDescent="0.25"/>
  <cols>
    <col min="1" max="1" width="1.7109375" style="2" customWidth="1"/>
    <col min="2" max="2" width="9.85546875" style="2" bestFit="1" customWidth="1"/>
    <col min="3" max="3" width="7.28515625" style="2" customWidth="1"/>
    <col min="4" max="4" width="48" style="2" customWidth="1"/>
    <col min="5" max="5" width="15.85546875" style="2" customWidth="1"/>
    <col min="6" max="6" width="16.42578125" style="2" bestFit="1" customWidth="1"/>
    <col min="7" max="7" width="15" style="2" bestFit="1" customWidth="1"/>
    <col min="8" max="8" width="1.7109375" style="2" customWidth="1"/>
    <col min="9" max="16383" width="9.140625" style="2" hidden="1"/>
    <col min="16384" max="16384" width="1.28515625" style="2" customWidth="1"/>
  </cols>
  <sheetData>
    <row r="1" spans="2:7" ht="9" customHeight="1" x14ac:dyDescent="0.25"/>
    <row r="2" spans="2:7" ht="34.5" customHeight="1" x14ac:dyDescent="0.25"/>
    <row r="3" spans="2:7" ht="34.5" customHeight="1" x14ac:dyDescent="0.25"/>
    <row r="4" spans="2:7" ht="3" customHeight="1" x14ac:dyDescent="0.25"/>
    <row r="5" spans="2:7" x14ac:dyDescent="0.25">
      <c r="B5" s="23" t="s">
        <v>0</v>
      </c>
      <c r="C5" s="548" t="str">
        <f>Sumario!C5</f>
        <v>Contratação de Projeto Executivo de Engenharia para Implantação do Aeródromo no município de Nova Andradina</v>
      </c>
      <c r="D5" s="548"/>
      <c r="E5" s="548"/>
      <c r="F5" s="548"/>
      <c r="G5" s="548"/>
    </row>
    <row r="6" spans="2:7" x14ac:dyDescent="0.25">
      <c r="B6" s="5" t="s">
        <v>862</v>
      </c>
      <c r="C6" s="1" t="str">
        <f>Sumario!C6</f>
        <v>Nova Andradina/MS</v>
      </c>
    </row>
    <row r="7" spans="2:7" x14ac:dyDescent="0.25">
      <c r="B7" s="5" t="s">
        <v>863</v>
      </c>
      <c r="C7" s="1" t="str">
        <f>Sumario!C7</f>
        <v>Nova Andradina/MS</v>
      </c>
    </row>
    <row r="8" spans="2:7" x14ac:dyDescent="0.25">
      <c r="B8" s="5" t="s">
        <v>1</v>
      </c>
      <c r="C8" s="239">
        <f>Sumario!C8</f>
        <v>1.7</v>
      </c>
      <c r="D8" s="2" t="s">
        <v>1132</v>
      </c>
      <c r="F8" s="5" t="s">
        <v>16</v>
      </c>
      <c r="G8" s="6" t="str">
        <f>Sumario!J8</f>
        <v>79.010.182-2025</v>
      </c>
    </row>
    <row r="9" spans="2:7" x14ac:dyDescent="0.25">
      <c r="B9" s="5" t="s">
        <v>2</v>
      </c>
      <c r="C9" s="264">
        <f>Sumario!C9</f>
        <v>365</v>
      </c>
      <c r="D9" s="2" t="s">
        <v>4</v>
      </c>
      <c r="F9" s="5" t="s">
        <v>17</v>
      </c>
      <c r="G9" s="265">
        <f>Sumario!J9</f>
        <v>45748</v>
      </c>
    </row>
    <row r="10" spans="2:7" x14ac:dyDescent="0.25">
      <c r="B10" s="5" t="s">
        <v>723</v>
      </c>
      <c r="C10" s="566">
        <f>TRUNC(BDI!D17/100,4)</f>
        <v>0.4511</v>
      </c>
      <c r="D10" s="566"/>
      <c r="F10" s="5"/>
      <c r="G10" s="6"/>
    </row>
    <row r="12" spans="2:7" s="11" customFormat="1" ht="21" x14ac:dyDescent="0.25">
      <c r="B12" s="547" t="s">
        <v>21</v>
      </c>
      <c r="C12" s="547"/>
      <c r="D12" s="547"/>
      <c r="E12" s="547"/>
      <c r="F12" s="547"/>
      <c r="G12" s="547"/>
    </row>
    <row r="13" spans="2:7" ht="7.5" customHeight="1" x14ac:dyDescent="0.25"/>
    <row r="14" spans="2:7" ht="30" customHeight="1" x14ac:dyDescent="0.25">
      <c r="B14" s="562" t="s">
        <v>19</v>
      </c>
      <c r="C14" s="564" t="s">
        <v>15</v>
      </c>
      <c r="D14" s="565"/>
      <c r="E14" s="120" t="s">
        <v>717</v>
      </c>
      <c r="F14" s="120" t="s">
        <v>718</v>
      </c>
      <c r="G14" s="562" t="s">
        <v>414</v>
      </c>
    </row>
    <row r="15" spans="2:7" ht="15" customHeight="1" x14ac:dyDescent="0.25">
      <c r="B15" s="562"/>
      <c r="C15" s="564"/>
      <c r="D15" s="565"/>
      <c r="E15" s="120" t="s">
        <v>363</v>
      </c>
      <c r="F15" s="120" t="s">
        <v>719</v>
      </c>
      <c r="G15" s="562"/>
    </row>
    <row r="16" spans="2:7" x14ac:dyDescent="0.25">
      <c r="B16" s="120" t="s">
        <v>720</v>
      </c>
      <c r="C16" s="568" t="s">
        <v>528</v>
      </c>
      <c r="D16" s="569"/>
      <c r="E16" s="154">
        <f ca="1">E17</f>
        <v>52098.650000000009</v>
      </c>
      <c r="F16" s="154">
        <f ca="1">F17</f>
        <v>75600.320000000007</v>
      </c>
      <c r="G16" s="269">
        <f t="shared" ref="G16:G51" ca="1" si="0">F16/$F$61</f>
        <v>0.19287336491614282</v>
      </c>
    </row>
    <row r="17" spans="2:7" ht="15" customHeight="1" x14ac:dyDescent="0.25">
      <c r="B17" s="94" t="s">
        <v>316</v>
      </c>
      <c r="C17" s="229" t="s">
        <v>930</v>
      </c>
      <c r="D17" s="25"/>
      <c r="E17" s="95">
        <f ca="1">SUM(E18:E24)</f>
        <v>52098.650000000009</v>
      </c>
      <c r="F17" s="95">
        <f ca="1">SUM(F18:F24)</f>
        <v>75600.320000000007</v>
      </c>
      <c r="G17" s="270">
        <f t="shared" ca="1" si="0"/>
        <v>0.19287336491614282</v>
      </c>
    </row>
    <row r="18" spans="2:7" ht="15" customHeight="1" x14ac:dyDescent="0.25">
      <c r="B18" s="110" t="s">
        <v>482</v>
      </c>
      <c r="C18" s="537" t="s">
        <v>206</v>
      </c>
      <c r="D18" s="538"/>
      <c r="E18" s="180">
        <f ca="1">'Custos proj'!Q14</f>
        <v>2282.880000000011</v>
      </c>
      <c r="F18" s="180">
        <f ca="1">TRUNC(E18*(1+$C$10),2)</f>
        <v>3312.68</v>
      </c>
      <c r="G18" s="541">
        <f t="shared" ca="1" si="0"/>
        <v>8.4513893392304147E-3</v>
      </c>
    </row>
    <row r="19" spans="2:7" ht="15" customHeight="1" x14ac:dyDescent="0.25">
      <c r="B19" s="110" t="s">
        <v>428</v>
      </c>
      <c r="C19" s="537" t="s">
        <v>721</v>
      </c>
      <c r="D19" s="538"/>
      <c r="E19" s="180">
        <f ca="1">TRUNC('Custos proj'!Q15*'Memo calc'!K189,2)</f>
        <v>7985.33</v>
      </c>
      <c r="F19" s="180">
        <f t="shared" ref="F19:F24" ca="1" si="1">TRUNC(E19*(1+$C$10),2)</f>
        <v>11587.51</v>
      </c>
      <c r="G19" s="541">
        <f t="shared" ca="1" si="0"/>
        <v>2.9562335777142925E-2</v>
      </c>
    </row>
    <row r="20" spans="2:7" ht="15" customHeight="1" x14ac:dyDescent="0.25">
      <c r="B20" s="110" t="s">
        <v>483</v>
      </c>
      <c r="C20" s="537" t="s">
        <v>209</v>
      </c>
      <c r="D20" s="538"/>
      <c r="E20" s="180">
        <f ca="1">'Custos proj'!Q16</f>
        <v>4185.32</v>
      </c>
      <c r="F20" s="180">
        <f t="shared" ca="1" si="1"/>
        <v>6073.31</v>
      </c>
      <c r="G20" s="541">
        <f t="shared" ca="1" si="0"/>
        <v>1.5494375366120926E-2</v>
      </c>
    </row>
    <row r="21" spans="2:7" ht="15" customHeight="1" x14ac:dyDescent="0.25">
      <c r="B21" s="110" t="s">
        <v>423</v>
      </c>
      <c r="C21" s="537" t="s">
        <v>210</v>
      </c>
      <c r="D21" s="538"/>
      <c r="E21" s="180">
        <f ca="1">'Custos proj'!Q17</f>
        <v>2235.25</v>
      </c>
      <c r="F21" s="180">
        <f t="shared" ca="1" si="1"/>
        <v>3243.57</v>
      </c>
      <c r="G21" s="541">
        <f t="shared" ca="1" si="0"/>
        <v>8.275074235678543E-3</v>
      </c>
    </row>
    <row r="22" spans="2:7" ht="15" customHeight="1" x14ac:dyDescent="0.25">
      <c r="B22" s="110" t="s">
        <v>484</v>
      </c>
      <c r="C22" s="537" t="str">
        <f>'Custos proj'!C18:D18</f>
        <v>Estudos de Traçado</v>
      </c>
      <c r="D22" s="538"/>
      <c r="E22" s="180">
        <f ca="1">'Custos proj'!Q18</f>
        <v>2339.5100000000002</v>
      </c>
      <c r="F22" s="180">
        <f t="shared" ca="1" si="1"/>
        <v>3394.86</v>
      </c>
      <c r="G22" s="541">
        <f t="shared" ca="1" si="0"/>
        <v>8.6610489429041638E-3</v>
      </c>
    </row>
    <row r="23" spans="2:7" ht="15" customHeight="1" x14ac:dyDescent="0.25">
      <c r="B23" s="110" t="s">
        <v>485</v>
      </c>
      <c r="C23" s="537" t="s">
        <v>211</v>
      </c>
      <c r="D23" s="538"/>
      <c r="E23" s="180">
        <f ca="1">'Custos proj'!Q19</f>
        <v>12904.869999999999</v>
      </c>
      <c r="F23" s="180">
        <f t="shared" ca="1" si="1"/>
        <v>18726.25</v>
      </c>
      <c r="G23" s="541">
        <f t="shared" ca="1" si="0"/>
        <v>4.7774861928638911E-2</v>
      </c>
    </row>
    <row r="24" spans="2:7" ht="15" customHeight="1" x14ac:dyDescent="0.25">
      <c r="B24" s="110" t="s">
        <v>486</v>
      </c>
      <c r="C24" s="537" t="s">
        <v>1225</v>
      </c>
      <c r="D24" s="538"/>
      <c r="E24" s="180">
        <f ca="1">'Custos proj'!Q21</f>
        <v>20165.489999999998</v>
      </c>
      <c r="F24" s="180">
        <f t="shared" ca="1" si="1"/>
        <v>29262.14</v>
      </c>
      <c r="G24" s="541">
        <f t="shared" ca="1" si="0"/>
        <v>7.4654279326426903E-2</v>
      </c>
    </row>
    <row r="25" spans="2:7" ht="15" customHeight="1" x14ac:dyDescent="0.25">
      <c r="B25" s="220" t="s">
        <v>931</v>
      </c>
      <c r="C25" s="568" t="s">
        <v>536</v>
      </c>
      <c r="D25" s="569"/>
      <c r="E25" s="154">
        <f ca="1">E26</f>
        <v>75883.950000000012</v>
      </c>
      <c r="F25" s="154">
        <f ca="1">F26</f>
        <v>110115.15</v>
      </c>
      <c r="G25" s="269">
        <f t="shared" ca="1" si="0"/>
        <v>0.28092843401649359</v>
      </c>
    </row>
    <row r="26" spans="2:7" ht="15" customHeight="1" x14ac:dyDescent="0.25">
      <c r="B26" s="94" t="s">
        <v>620</v>
      </c>
      <c r="C26" s="25" t="s">
        <v>932</v>
      </c>
      <c r="D26" s="25"/>
      <c r="E26" s="95">
        <f ca="1">SUM(E27:E37)</f>
        <v>75883.950000000012</v>
      </c>
      <c r="F26" s="95">
        <f ca="1">SUM(F27:F37)</f>
        <v>110115.15</v>
      </c>
      <c r="G26" s="270">
        <f t="shared" ca="1" si="0"/>
        <v>0.28092843401649359</v>
      </c>
    </row>
    <row r="27" spans="2:7" ht="15" customHeight="1" x14ac:dyDescent="0.25">
      <c r="B27" s="110" t="s">
        <v>621</v>
      </c>
      <c r="C27" s="537" t="s">
        <v>559</v>
      </c>
      <c r="D27" s="538"/>
      <c r="E27" s="180">
        <f ca="1">TRUNC('Custos proj'!Q20*'Memo calc'!K1069,2)</f>
        <v>21455.69</v>
      </c>
      <c r="F27" s="180">
        <f ca="1">TRUNC(E27*(1+$C$10),2)</f>
        <v>31134.35</v>
      </c>
      <c r="G27" s="541">
        <f t="shared" ca="1" si="0"/>
        <v>7.9430706761253259E-2</v>
      </c>
    </row>
    <row r="28" spans="2:7" ht="15" customHeight="1" x14ac:dyDescent="0.25">
      <c r="B28" s="110" t="s">
        <v>624</v>
      </c>
      <c r="C28" s="537" t="s">
        <v>558</v>
      </c>
      <c r="D28" s="538"/>
      <c r="E28" s="180">
        <f ca="1">TRUNC('Custos proj'!Q15*'Memo calc'!K190,2)</f>
        <v>3194.13</v>
      </c>
      <c r="F28" s="180">
        <f t="shared" ref="F28:F37" ca="1" si="2">TRUNC(E28*(1+$C$10),2)</f>
        <v>4635</v>
      </c>
      <c r="G28" s="541">
        <f t="shared" ca="1" si="0"/>
        <v>1.1824924105960423E-2</v>
      </c>
    </row>
    <row r="29" spans="2:7" ht="15" customHeight="1" x14ac:dyDescent="0.25">
      <c r="B29" s="110" t="s">
        <v>657</v>
      </c>
      <c r="C29" s="537" t="s">
        <v>540</v>
      </c>
      <c r="D29" s="538"/>
      <c r="E29" s="180">
        <f ca="1">TRUNC('Custos proj'!Q22*0.5,2)</f>
        <v>5263.92</v>
      </c>
      <c r="F29" s="180">
        <f t="shared" ca="1" si="2"/>
        <v>7638.47</v>
      </c>
      <c r="G29" s="541">
        <f t="shared" ca="1" si="0"/>
        <v>1.9487449414380908E-2</v>
      </c>
    </row>
    <row r="30" spans="2:7" ht="15" customHeight="1" x14ac:dyDescent="0.25">
      <c r="B30" s="110" t="s">
        <v>935</v>
      </c>
      <c r="C30" s="537" t="s">
        <v>541</v>
      </c>
      <c r="D30" s="538"/>
      <c r="E30" s="180">
        <f ca="1">TRUNC('Custos proj'!Q23*0.6,2)</f>
        <v>10227.07</v>
      </c>
      <c r="F30" s="180">
        <f t="shared" ca="1" si="2"/>
        <v>14840.5</v>
      </c>
      <c r="G30" s="541">
        <f t="shared" ca="1" si="0"/>
        <v>3.7861442544661415E-2</v>
      </c>
    </row>
    <row r="31" spans="2:7" ht="15" customHeight="1" x14ac:dyDescent="0.25">
      <c r="B31" s="110" t="s">
        <v>936</v>
      </c>
      <c r="C31" s="537" t="s">
        <v>782</v>
      </c>
      <c r="D31" s="538"/>
      <c r="E31" s="180">
        <f ca="1">TRUNC('Custos proj'!Q24*0.6,2)</f>
        <v>10227.07</v>
      </c>
      <c r="F31" s="180">
        <f t="shared" ca="1" si="2"/>
        <v>14840.5</v>
      </c>
      <c r="G31" s="541">
        <f t="shared" ca="1" si="0"/>
        <v>3.7861442544661415E-2</v>
      </c>
    </row>
    <row r="32" spans="2:7" ht="15" customHeight="1" x14ac:dyDescent="0.25">
      <c r="B32" s="110" t="s">
        <v>937</v>
      </c>
      <c r="C32" s="537" t="s">
        <v>542</v>
      </c>
      <c r="D32" s="538"/>
      <c r="E32" s="180">
        <f ca="1">TRUNC('Custos proj'!Q25*0.6,2)</f>
        <v>6316.71</v>
      </c>
      <c r="F32" s="180">
        <f t="shared" ca="1" si="2"/>
        <v>9166.17</v>
      </c>
      <c r="G32" s="541">
        <f t="shared" ca="1" si="0"/>
        <v>2.3384954604602212E-2</v>
      </c>
    </row>
    <row r="33" spans="2:7" ht="15" customHeight="1" x14ac:dyDescent="0.25">
      <c r="B33" s="110" t="s">
        <v>938</v>
      </c>
      <c r="C33" s="537" t="s">
        <v>543</v>
      </c>
      <c r="D33" s="538"/>
      <c r="E33" s="180">
        <f ca="1">TRUNC('Custos proj'!Q26*0.6,2)</f>
        <v>4912.99</v>
      </c>
      <c r="F33" s="180">
        <f t="shared" ca="1" si="2"/>
        <v>7129.23</v>
      </c>
      <c r="G33" s="541">
        <f t="shared" ca="1" si="0"/>
        <v>1.8188264009479226E-2</v>
      </c>
    </row>
    <row r="34" spans="2:7" ht="15" customHeight="1" x14ac:dyDescent="0.25">
      <c r="B34" s="110" t="s">
        <v>939</v>
      </c>
      <c r="C34" s="537" t="s">
        <v>544</v>
      </c>
      <c r="D34" s="538"/>
      <c r="E34" s="180">
        <f ca="1">TRUNC('Custos proj'!Q27*0.6,2)</f>
        <v>5545.53</v>
      </c>
      <c r="F34" s="180">
        <f t="shared" ca="1" si="2"/>
        <v>8047.11</v>
      </c>
      <c r="G34" s="541">
        <f t="shared" ca="1" si="0"/>
        <v>2.0529981666087417E-2</v>
      </c>
    </row>
    <row r="35" spans="2:7" ht="15" customHeight="1" x14ac:dyDescent="0.25">
      <c r="B35" s="110" t="s">
        <v>940</v>
      </c>
      <c r="C35" s="537" t="s">
        <v>556</v>
      </c>
      <c r="D35" s="538"/>
      <c r="E35" s="180">
        <f ca="1">TRUNC('Custos proj'!Q28*0.6,2)</f>
        <v>2807.41</v>
      </c>
      <c r="F35" s="180">
        <f t="shared" ca="1" si="2"/>
        <v>4073.83</v>
      </c>
      <c r="G35" s="541">
        <f t="shared" ca="1" si="0"/>
        <v>1.0393253629036623E-2</v>
      </c>
    </row>
    <row r="36" spans="2:7" ht="15" customHeight="1" x14ac:dyDescent="0.25">
      <c r="B36" s="110" t="s">
        <v>941</v>
      </c>
      <c r="C36" s="537" t="s">
        <v>722</v>
      </c>
      <c r="D36" s="538"/>
      <c r="E36" s="180">
        <f ca="1">TRUNC('Custos proj'!Q29*0.6,2)</f>
        <v>1413.94</v>
      </c>
      <c r="F36" s="180">
        <f t="shared" ca="1" si="2"/>
        <v>2051.7600000000002</v>
      </c>
      <c r="G36" s="541">
        <f t="shared" ca="1" si="0"/>
        <v>5.2344997375718145E-3</v>
      </c>
    </row>
    <row r="37" spans="2:7" ht="15" customHeight="1" x14ac:dyDescent="0.25">
      <c r="B37" s="110" t="s">
        <v>942</v>
      </c>
      <c r="C37" s="537" t="s">
        <v>560</v>
      </c>
      <c r="D37" s="538"/>
      <c r="E37" s="180">
        <f ca="1">TRUNC('Custos proj'!Q30*0.6,2)</f>
        <v>4519.49</v>
      </c>
      <c r="F37" s="180">
        <f t="shared" ca="1" si="2"/>
        <v>6558.23</v>
      </c>
      <c r="G37" s="541">
        <f t="shared" ca="1" si="0"/>
        <v>1.6731514998798883E-2</v>
      </c>
    </row>
    <row r="38" spans="2:7" ht="15" customHeight="1" x14ac:dyDescent="0.25">
      <c r="B38" s="220" t="s">
        <v>933</v>
      </c>
      <c r="C38" s="568" t="s">
        <v>565</v>
      </c>
      <c r="D38" s="569"/>
      <c r="E38" s="154">
        <f ca="1">E39</f>
        <v>66105.960000000006</v>
      </c>
      <c r="F38" s="154">
        <f ca="1">F39</f>
        <v>95926.31</v>
      </c>
      <c r="G38" s="269">
        <f t="shared" ca="1" si="0"/>
        <v>0.2447295222254223</v>
      </c>
    </row>
    <row r="39" spans="2:7" ht="15" customHeight="1" x14ac:dyDescent="0.25">
      <c r="B39" s="94" t="s">
        <v>934</v>
      </c>
      <c r="C39" s="12" t="s">
        <v>955</v>
      </c>
      <c r="D39" s="25"/>
      <c r="E39" s="95">
        <f ca="1">SUM(E40:E51)</f>
        <v>66105.960000000006</v>
      </c>
      <c r="F39" s="95">
        <f ca="1">SUM(F40:F51)</f>
        <v>95926.31</v>
      </c>
      <c r="G39" s="270">
        <f t="shared" ca="1" si="0"/>
        <v>0.2447295222254223</v>
      </c>
    </row>
    <row r="40" spans="2:7" ht="15" customHeight="1" x14ac:dyDescent="0.25">
      <c r="B40" s="110" t="s">
        <v>943</v>
      </c>
      <c r="C40" s="537" t="s">
        <v>580</v>
      </c>
      <c r="D40" s="538"/>
      <c r="E40" s="180">
        <f ca="1">'Custos proj'!Q20-E27</f>
        <v>15588.140000000003</v>
      </c>
      <c r="F40" s="180">
        <f ca="1">TRUNC(E40*(1+$C$10),2)</f>
        <v>22619.94</v>
      </c>
      <c r="G40" s="541">
        <f t="shared" ca="1" si="0"/>
        <v>5.7708538032659844E-2</v>
      </c>
    </row>
    <row r="41" spans="2:7" ht="15" customHeight="1" x14ac:dyDescent="0.25">
      <c r="B41" s="110" t="s">
        <v>944</v>
      </c>
      <c r="C41" s="537" t="s">
        <v>582</v>
      </c>
      <c r="D41" s="538"/>
      <c r="E41" s="180">
        <f ca="1">'Custos proj'!Q15-E19-E28</f>
        <v>3194.1500000000005</v>
      </c>
      <c r="F41" s="180">
        <f t="shared" ref="F41:F57" ca="1" si="3">TRUNC(E41*(1+$C$10),2)</f>
        <v>4635.03</v>
      </c>
      <c r="G41" s="541">
        <f t="shared" ca="1" si="0"/>
        <v>1.1825000642686026E-2</v>
      </c>
    </row>
    <row r="42" spans="2:7" ht="15" customHeight="1" x14ac:dyDescent="0.25">
      <c r="B42" s="110" t="s">
        <v>945</v>
      </c>
      <c r="C42" s="537" t="s">
        <v>213</v>
      </c>
      <c r="D42" s="538"/>
      <c r="E42" s="180">
        <f ca="1">'Custos proj'!Q22-E29</f>
        <v>5263.93</v>
      </c>
      <c r="F42" s="180">
        <f t="shared" ca="1" si="3"/>
        <v>7638.48</v>
      </c>
      <c r="G42" s="541">
        <f t="shared" ca="1" si="0"/>
        <v>1.9487474926622776E-2</v>
      </c>
    </row>
    <row r="43" spans="2:7" ht="15" customHeight="1" x14ac:dyDescent="0.25">
      <c r="B43" s="110" t="s">
        <v>946</v>
      </c>
      <c r="C43" s="537" t="s">
        <v>214</v>
      </c>
      <c r="D43" s="538"/>
      <c r="E43" s="180">
        <f ca="1">'Custos proj'!Q23-E30</f>
        <v>6818.0499999999993</v>
      </c>
      <c r="F43" s="180">
        <f t="shared" ca="1" si="3"/>
        <v>9893.67</v>
      </c>
      <c r="G43" s="541">
        <f t="shared" ca="1" si="0"/>
        <v>2.5240970200521566E-2</v>
      </c>
    </row>
    <row r="44" spans="2:7" ht="15" customHeight="1" x14ac:dyDescent="0.25">
      <c r="B44" s="110" t="s">
        <v>947</v>
      </c>
      <c r="C44" s="537" t="s">
        <v>783</v>
      </c>
      <c r="D44" s="538"/>
      <c r="E44" s="180">
        <f ca="1">'Custos proj'!Q24-E31</f>
        <v>6818.0499999999993</v>
      </c>
      <c r="F44" s="180">
        <f t="shared" ca="1" si="3"/>
        <v>9893.67</v>
      </c>
      <c r="G44" s="541">
        <f t="shared" ca="1" si="0"/>
        <v>2.5240970200521566E-2</v>
      </c>
    </row>
    <row r="45" spans="2:7" ht="15" customHeight="1" x14ac:dyDescent="0.25">
      <c r="B45" s="110" t="s">
        <v>948</v>
      </c>
      <c r="C45" s="537" t="s">
        <v>216</v>
      </c>
      <c r="D45" s="538"/>
      <c r="E45" s="180">
        <f ca="1">'Custos proj'!Q25-E32</f>
        <v>4211.1400000000003</v>
      </c>
      <c r="F45" s="180">
        <f t="shared" ca="1" si="3"/>
        <v>6110.78</v>
      </c>
      <c r="G45" s="541">
        <f t="shared" ca="1" si="0"/>
        <v>1.5589969736401473E-2</v>
      </c>
    </row>
    <row r="46" spans="2:7" ht="15" customHeight="1" x14ac:dyDescent="0.25">
      <c r="B46" s="110" t="s">
        <v>949</v>
      </c>
      <c r="C46" s="537" t="s">
        <v>217</v>
      </c>
      <c r="D46" s="538"/>
      <c r="E46" s="180">
        <f ca="1">'Custos proj'!Q26-E33</f>
        <v>3275.33</v>
      </c>
      <c r="F46" s="180">
        <f t="shared" ca="1" si="3"/>
        <v>4752.83</v>
      </c>
      <c r="G46" s="541">
        <f t="shared" ca="1" si="0"/>
        <v>1.2125534851894687E-2</v>
      </c>
    </row>
    <row r="47" spans="2:7" ht="15" customHeight="1" x14ac:dyDescent="0.25">
      <c r="B47" s="110" t="s">
        <v>950</v>
      </c>
      <c r="C47" s="537" t="s">
        <v>218</v>
      </c>
      <c r="D47" s="538"/>
      <c r="E47" s="180">
        <f ca="1">'Custos proj'!Q27-E34</f>
        <v>3697.0299999999997</v>
      </c>
      <c r="F47" s="180">
        <f t="shared" ca="1" si="3"/>
        <v>5364.76</v>
      </c>
      <c r="G47" s="541">
        <f t="shared" ca="1" si="0"/>
        <v>1.3686705468542015E-2</v>
      </c>
    </row>
    <row r="48" spans="2:7" ht="15" customHeight="1" x14ac:dyDescent="0.25">
      <c r="B48" s="110" t="s">
        <v>951</v>
      </c>
      <c r="C48" s="537" t="s">
        <v>581</v>
      </c>
      <c r="D48" s="538"/>
      <c r="E48" s="180">
        <f ca="1">'Custos proj'!Q28-E35</f>
        <v>1871.6100000000006</v>
      </c>
      <c r="F48" s="180">
        <f t="shared" ca="1" si="3"/>
        <v>2715.89</v>
      </c>
      <c r="G48" s="541">
        <f t="shared" ca="1" si="0"/>
        <v>6.9288442567717046E-3</v>
      </c>
    </row>
    <row r="49" spans="2:7" ht="15" customHeight="1" x14ac:dyDescent="0.25">
      <c r="B49" s="110" t="s">
        <v>952</v>
      </c>
      <c r="C49" s="537" t="s">
        <v>220</v>
      </c>
      <c r="D49" s="538"/>
      <c r="E49" s="180">
        <f ca="1">'Custos proj'!Q29-E36</f>
        <v>942.63999999999987</v>
      </c>
      <c r="F49" s="180">
        <f t="shared" ca="1" si="3"/>
        <v>1367.86</v>
      </c>
      <c r="G49" s="541">
        <f t="shared" ca="1" si="0"/>
        <v>3.4897175161982788E-3</v>
      </c>
    </row>
    <row r="50" spans="2:7" ht="15" customHeight="1" x14ac:dyDescent="0.25">
      <c r="B50" s="110" t="s">
        <v>953</v>
      </c>
      <c r="C50" s="537" t="s">
        <v>221</v>
      </c>
      <c r="D50" s="538"/>
      <c r="E50" s="180">
        <f ca="1">'Custos proj'!Q30-E37</f>
        <v>3013</v>
      </c>
      <c r="F50" s="180">
        <f t="shared" ca="1" si="3"/>
        <v>4372.16</v>
      </c>
      <c r="G50" s="541">
        <f t="shared" ca="1" si="0"/>
        <v>1.1154360340693833E-2</v>
      </c>
    </row>
    <row r="51" spans="2:7" ht="15" customHeight="1" x14ac:dyDescent="0.25">
      <c r="B51" s="110" t="s">
        <v>954</v>
      </c>
      <c r="C51" s="542" t="s">
        <v>925</v>
      </c>
      <c r="D51" s="542"/>
      <c r="E51" s="180">
        <f ca="1">'Custos proj'!Q31</f>
        <v>11412.89</v>
      </c>
      <c r="F51" s="180">
        <f t="shared" ca="1" si="3"/>
        <v>16561.240000000002</v>
      </c>
      <c r="G51" s="541">
        <f t="shared" ca="1" si="0"/>
        <v>4.2251436051908522E-2</v>
      </c>
    </row>
    <row r="52" spans="2:7" ht="27.75" customHeight="1" x14ac:dyDescent="0.25">
      <c r="B52" s="408" t="s">
        <v>1004</v>
      </c>
      <c r="C52" s="568" t="s">
        <v>1189</v>
      </c>
      <c r="D52" s="569"/>
      <c r="E52" s="154">
        <f ca="1">SUM(E54:E57)</f>
        <v>32368.899999999998</v>
      </c>
      <c r="F52" s="154">
        <f ca="1">SUM(F54:F57)</f>
        <v>46970.49</v>
      </c>
      <c r="G52" s="269">
        <f t="shared" ref="G52:G53" ca="1" si="4">F52/$F$61</f>
        <v>0.11983225015529082</v>
      </c>
    </row>
    <row r="53" spans="2:7" x14ac:dyDescent="0.25">
      <c r="B53" s="94" t="s">
        <v>1005</v>
      </c>
      <c r="C53" s="12" t="s">
        <v>1207</v>
      </c>
      <c r="D53" s="25"/>
      <c r="E53" s="95">
        <f ca="1">SUM(E54:E57)</f>
        <v>32368.899999999998</v>
      </c>
      <c r="F53" s="95">
        <f ca="1">SUM(F54:F57)</f>
        <v>46970.49</v>
      </c>
      <c r="G53" s="270">
        <f t="shared" ca="1" si="4"/>
        <v>0.11983225015529082</v>
      </c>
    </row>
    <row r="54" spans="2:7" ht="15" customHeight="1" x14ac:dyDescent="0.25">
      <c r="B54" s="110" t="s">
        <v>1007</v>
      </c>
      <c r="C54" s="537" t="s">
        <v>1187</v>
      </c>
      <c r="D54" s="538"/>
      <c r="E54" s="180">
        <f ca="1">'Custos proj'!Q32</f>
        <v>7953.9499999999989</v>
      </c>
      <c r="F54" s="180">
        <f t="shared" ca="1" si="3"/>
        <v>11541.97</v>
      </c>
      <c r="G54" s="541">
        <f ca="1">F54/$F$61</f>
        <v>2.944615302767465E-2</v>
      </c>
    </row>
    <row r="55" spans="2:7" ht="15" customHeight="1" x14ac:dyDescent="0.25">
      <c r="B55" s="110" t="s">
        <v>1205</v>
      </c>
      <c r="C55" s="537" t="s">
        <v>1211</v>
      </c>
      <c r="D55" s="538"/>
      <c r="E55" s="180">
        <f ca="1">'Custos proj'!Q33</f>
        <v>2246.58</v>
      </c>
      <c r="F55" s="180">
        <f t="shared" ref="F55" ca="1" si="5">TRUNC(E55*(1+$C$10),2)</f>
        <v>3260.01</v>
      </c>
      <c r="G55" s="541">
        <f t="shared" ref="G55" ca="1" si="6">F55/$F$61</f>
        <v>8.3170163613100409E-3</v>
      </c>
    </row>
    <row r="56" spans="2:7" ht="15" customHeight="1" x14ac:dyDescent="0.25">
      <c r="B56" s="110" t="s">
        <v>1206</v>
      </c>
      <c r="C56" s="537" t="s">
        <v>1188</v>
      </c>
      <c r="D56" s="538"/>
      <c r="E56" s="180">
        <f ca="1">'Custos proj'!Q34</f>
        <v>20233.349999999999</v>
      </c>
      <c r="F56" s="180">
        <f t="shared" ca="1" si="3"/>
        <v>29360.61</v>
      </c>
      <c r="G56" s="541">
        <f ca="1">F56/$F$61</f>
        <v>7.4905498372104126E-2</v>
      </c>
    </row>
    <row r="57" spans="2:7" ht="15" customHeight="1" x14ac:dyDescent="0.25">
      <c r="B57" s="110" t="s">
        <v>1215</v>
      </c>
      <c r="C57" s="542" t="s">
        <v>1191</v>
      </c>
      <c r="D57" s="542"/>
      <c r="E57" s="180">
        <f ca="1">'Custos proj'!Q35</f>
        <v>1935.02</v>
      </c>
      <c r="F57" s="180">
        <f t="shared" ca="1" si="3"/>
        <v>2807.9</v>
      </c>
      <c r="G57" s="541">
        <f ca="1">F57/$F$61</f>
        <v>7.163582394202E-3</v>
      </c>
    </row>
    <row r="58" spans="2:7" ht="30" customHeight="1" x14ac:dyDescent="0.25">
      <c r="B58" s="261" t="s">
        <v>1200</v>
      </c>
      <c r="C58" s="568" t="s">
        <v>1009</v>
      </c>
      <c r="D58" s="569"/>
      <c r="E58" s="154">
        <f ca="1">E59</f>
        <v>43660.959999999999</v>
      </c>
      <c r="F58" s="154">
        <f ca="1">F59</f>
        <v>63356.419055999999</v>
      </c>
      <c r="G58" s="269">
        <f ca="1">F58/$F$61</f>
        <v>0.1616364286866504</v>
      </c>
    </row>
    <row r="59" spans="2:7" ht="15" customHeight="1" x14ac:dyDescent="0.25">
      <c r="B59" s="94" t="s">
        <v>1201</v>
      </c>
      <c r="C59" s="12" t="s">
        <v>1006</v>
      </c>
      <c r="D59" s="25"/>
      <c r="E59" s="95">
        <f ca="1">E60</f>
        <v>43660.959999999999</v>
      </c>
      <c r="F59" s="155">
        <f ca="1">(E59*(1+$C$10))</f>
        <v>63356.419055999999</v>
      </c>
      <c r="G59" s="270">
        <f ca="1">F59/$F$61</f>
        <v>0.1616364286866504</v>
      </c>
    </row>
    <row r="60" spans="2:7" ht="15" customHeight="1" x14ac:dyDescent="0.25">
      <c r="B60" s="110" t="s">
        <v>1202</v>
      </c>
      <c r="C60" s="537" t="s">
        <v>1105</v>
      </c>
      <c r="D60" s="538"/>
      <c r="E60" s="180">
        <f ca="1">TRUNC('Custos proj'!Q36,3)</f>
        <v>43660.959999999999</v>
      </c>
      <c r="F60" s="180">
        <f ca="1">(E60*(1+$C$10))</f>
        <v>63356.419055999999</v>
      </c>
      <c r="G60" s="541">
        <f ca="1">F60/$F$61</f>
        <v>0.1616364286866504</v>
      </c>
    </row>
    <row r="61" spans="2:7" ht="15" customHeight="1" x14ac:dyDescent="0.25">
      <c r="B61" s="230"/>
      <c r="C61" s="12"/>
      <c r="D61" s="231" t="s">
        <v>329</v>
      </c>
      <c r="E61" s="154">
        <f ca="1">E16+E25+E38+E52+E58</f>
        <v>270118.42000000004</v>
      </c>
      <c r="F61" s="154">
        <f ca="1">F58+F38+F52+F25+F16</f>
        <v>391968.68905600003</v>
      </c>
      <c r="G61" s="269">
        <f ca="1">G58+G38+G25+G16+G52</f>
        <v>1</v>
      </c>
    </row>
    <row r="62" spans="2:7" ht="9" customHeight="1" x14ac:dyDescent="0.25"/>
    <row r="63" spans="2:7" ht="47.25" customHeight="1" x14ac:dyDescent="0.25">
      <c r="B63" s="567" t="s">
        <v>1128</v>
      </c>
      <c r="C63" s="567"/>
      <c r="D63" s="567"/>
      <c r="E63" s="567"/>
      <c r="F63" s="567"/>
      <c r="G63" s="567"/>
    </row>
    <row r="64" spans="2:7" ht="15" customHeight="1" x14ac:dyDescent="0.25">
      <c r="G64" s="273"/>
    </row>
    <row r="65" spans="5:7" ht="15" customHeight="1" x14ac:dyDescent="0.25">
      <c r="E65" s="273"/>
      <c r="F65" s="274"/>
      <c r="G65" s="273"/>
    </row>
    <row r="66" spans="5:7" ht="15" customHeight="1" x14ac:dyDescent="0.25">
      <c r="G66" s="91"/>
    </row>
    <row r="67" spans="5:7" ht="15" customHeight="1" x14ac:dyDescent="0.25">
      <c r="E67" s="273"/>
    </row>
    <row r="68" spans="5:7" ht="15" customHeight="1" x14ac:dyDescent="0.25">
      <c r="E68" s="273"/>
    </row>
    <row r="69" spans="5:7" ht="15" customHeight="1" x14ac:dyDescent="0.25">
      <c r="E69" s="273"/>
    </row>
    <row r="70" spans="5:7" ht="15" customHeight="1" x14ac:dyDescent="0.25">
      <c r="E70" s="273"/>
    </row>
    <row r="71" spans="5:7" ht="15" customHeight="1" x14ac:dyDescent="0.25">
      <c r="E71" s="273"/>
    </row>
    <row r="72" spans="5:7" ht="15" customHeight="1" x14ac:dyDescent="0.25">
      <c r="E72" s="273"/>
    </row>
    <row r="73" spans="5:7" ht="15" customHeight="1" x14ac:dyDescent="0.25">
      <c r="E73" s="273"/>
    </row>
    <row r="74" spans="5:7" ht="15" customHeight="1" x14ac:dyDescent="0.25">
      <c r="E74" s="273"/>
    </row>
    <row r="75" spans="5:7" ht="15" customHeight="1" x14ac:dyDescent="0.25">
      <c r="E75" s="273"/>
    </row>
    <row r="76" spans="5:7" ht="15" customHeight="1" x14ac:dyDescent="0.25">
      <c r="E76" s="273"/>
    </row>
    <row r="77" spans="5:7" ht="15" customHeight="1" x14ac:dyDescent="0.25">
      <c r="E77" s="273"/>
    </row>
    <row r="78" spans="5:7" ht="15" customHeight="1" x14ac:dyDescent="0.25">
      <c r="E78" s="273"/>
    </row>
    <row r="79" spans="5:7" ht="15" customHeight="1" x14ac:dyDescent="0.25">
      <c r="E79" s="273"/>
    </row>
    <row r="80" spans="5:7" ht="15" customHeight="1" x14ac:dyDescent="0.25">
      <c r="E80" s="273"/>
    </row>
    <row r="81" spans="5:5" ht="15" customHeight="1" x14ac:dyDescent="0.25">
      <c r="E81" s="273"/>
    </row>
    <row r="82" spans="5:5" ht="15" customHeight="1" x14ac:dyDescent="0.25">
      <c r="E82" s="273"/>
    </row>
    <row r="83" spans="5:5" ht="15" customHeight="1" x14ac:dyDescent="0.25">
      <c r="E83" s="273"/>
    </row>
    <row r="84" spans="5:5" ht="15" customHeight="1" x14ac:dyDescent="0.25">
      <c r="E84" s="273"/>
    </row>
    <row r="85" spans="5:5" ht="15" customHeight="1" x14ac:dyDescent="0.25">
      <c r="E85" s="273"/>
    </row>
  </sheetData>
  <mergeCells count="12">
    <mergeCell ref="B63:G63"/>
    <mergeCell ref="C58:D58"/>
    <mergeCell ref="C25:D25"/>
    <mergeCell ref="C38:D38"/>
    <mergeCell ref="C16:D16"/>
    <mergeCell ref="C52:D52"/>
    <mergeCell ref="C5:G5"/>
    <mergeCell ref="B14:B15"/>
    <mergeCell ref="C14:D15"/>
    <mergeCell ref="G14:G15"/>
    <mergeCell ref="C10:D10"/>
    <mergeCell ref="B12:G12"/>
  </mergeCells>
  <printOptions horizontalCentered="1"/>
  <pageMargins left="0.78740157480314965" right="0.78740157480314965" top="0.39370078740157483" bottom="0.78740157480314965" header="0.19685039370078741" footer="0.19685039370078741"/>
  <pageSetup paperSize="9" scale="73" fitToHeight="0" orientation="portrait" r:id="rId1"/>
  <headerFooter>
    <oddFooter xml:space="preserve">&amp;C&amp;10Av. Des. José Nunes da Cunha, Bloco 14, Parque dos Poderes, Campo Grande (MS), CEP 79031-310
PABX: (67) 3318-5300/ Gab: 5538 – Fax (67) 3318-5386 – gabinete@seinfra.ms.gov.br
</oddFooter>
  </headerFooter>
  <ignoredErrors>
    <ignoredError sqref="F26"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5:S25"/>
  <sheetViews>
    <sheetView showWhiteSpace="0" view="pageBreakPreview" zoomScaleNormal="85" zoomScaleSheetLayoutView="100" workbookViewId="0">
      <selection activeCell="R30" sqref="R30"/>
    </sheetView>
  </sheetViews>
  <sheetFormatPr defaultRowHeight="15" x14ac:dyDescent="0.25"/>
  <cols>
    <col min="1" max="1" width="1.7109375" style="2" customWidth="1"/>
    <col min="2" max="2" width="10.5703125" style="2" bestFit="1" customWidth="1"/>
    <col min="3" max="3" width="46.140625" style="2" customWidth="1"/>
    <col min="4" max="4" width="8.5703125" style="2" bestFit="1" customWidth="1"/>
    <col min="5" max="5" width="15" style="2" bestFit="1" customWidth="1"/>
    <col min="6" max="6" width="13.85546875" style="2" bestFit="1" customWidth="1"/>
    <col min="7" max="12" width="12.7109375" style="2" bestFit="1" customWidth="1"/>
    <col min="13" max="17" width="12.7109375" style="2" customWidth="1"/>
    <col min="18" max="18" width="20.42578125" style="2" customWidth="1"/>
    <col min="19" max="19" width="14.42578125" style="2" customWidth="1"/>
  </cols>
  <sheetData>
    <row r="5" spans="1:19" x14ac:dyDescent="0.25">
      <c r="B5" s="23" t="s">
        <v>0</v>
      </c>
      <c r="C5" s="570" t="str">
        <f>'Qd abrang'!C4</f>
        <v>Contratação de Projeto Executivo de Engenharia para Implantação do Aeródromo no município de Nova Andradina</v>
      </c>
      <c r="D5" s="570"/>
      <c r="E5" s="570"/>
      <c r="F5" s="570"/>
      <c r="G5" s="570"/>
      <c r="H5" s="570"/>
      <c r="I5" s="570"/>
      <c r="J5" s="409"/>
      <c r="K5" s="409"/>
      <c r="L5" s="409"/>
      <c r="M5" s="409"/>
      <c r="N5" s="409"/>
      <c r="O5" s="409"/>
    </row>
    <row r="6" spans="1:19" x14ac:dyDescent="0.25">
      <c r="B6" s="5" t="s">
        <v>862</v>
      </c>
      <c r="C6" s="1" t="str">
        <f>'Qd abrang'!C5</f>
        <v>Nova Andradina/MS</v>
      </c>
    </row>
    <row r="7" spans="1:19" x14ac:dyDescent="0.25">
      <c r="B7" s="5" t="s">
        <v>863</v>
      </c>
      <c r="C7" s="1" t="str">
        <f>'Qd abrang'!C6</f>
        <v>Nova Andradina/MS</v>
      </c>
    </row>
    <row r="8" spans="1:19" x14ac:dyDescent="0.25">
      <c r="B8" s="5" t="s">
        <v>1</v>
      </c>
      <c r="C8" s="320" t="s">
        <v>1224</v>
      </c>
      <c r="D8" s="2" t="s">
        <v>1131</v>
      </c>
      <c r="L8" s="5"/>
      <c r="M8" s="5"/>
      <c r="Q8" s="5" t="s">
        <v>16</v>
      </c>
      <c r="R8" s="6" t="str">
        <f>'Qd abrang'!N7</f>
        <v>79.010.182-2025</v>
      </c>
    </row>
    <row r="9" spans="1:19" x14ac:dyDescent="0.25">
      <c r="B9" s="5" t="s">
        <v>2</v>
      </c>
      <c r="C9" s="321" t="s">
        <v>1102</v>
      </c>
      <c r="L9" s="5"/>
      <c r="M9" s="5"/>
      <c r="Q9" s="5" t="s">
        <v>17</v>
      </c>
      <c r="R9" s="265">
        <f>'Qd abrang'!N8</f>
        <v>45748</v>
      </c>
    </row>
    <row r="10" spans="1:19" x14ac:dyDescent="0.25">
      <c r="F10"/>
    </row>
    <row r="11" spans="1:19" ht="21" x14ac:dyDescent="0.25">
      <c r="A11" s="11"/>
      <c r="B11" s="547" t="s">
        <v>724</v>
      </c>
      <c r="C11" s="547"/>
      <c r="D11" s="547"/>
      <c r="E11" s="547"/>
      <c r="F11" s="547"/>
      <c r="G11" s="547"/>
      <c r="H11" s="547"/>
      <c r="I11" s="547"/>
      <c r="J11" s="547"/>
      <c r="K11" s="547"/>
      <c r="L11" s="547"/>
      <c r="M11" s="547"/>
      <c r="N11" s="547"/>
      <c r="O11" s="547"/>
      <c r="P11" s="547"/>
      <c r="Q11" s="547"/>
      <c r="R11" s="547"/>
      <c r="S11" s="11"/>
    </row>
    <row r="12" spans="1:19" x14ac:dyDescent="0.25">
      <c r="F12"/>
      <c r="P12" s="277"/>
      <c r="Q12" s="277"/>
      <c r="R12" s="277"/>
      <c r="S12" s="277"/>
    </row>
    <row r="13" spans="1:19" ht="30" x14ac:dyDescent="0.25">
      <c r="B13" s="411" t="s">
        <v>19</v>
      </c>
      <c r="C13" s="412" t="s">
        <v>15</v>
      </c>
      <c r="D13" s="414" t="s">
        <v>725</v>
      </c>
      <c r="E13" s="415"/>
      <c r="F13" s="411" t="s">
        <v>727</v>
      </c>
      <c r="G13" s="412">
        <v>1</v>
      </c>
      <c r="H13" s="412">
        <v>2</v>
      </c>
      <c r="I13" s="412">
        <v>3</v>
      </c>
      <c r="J13" s="412">
        <v>4</v>
      </c>
      <c r="K13" s="412">
        <v>5</v>
      </c>
      <c r="L13" s="412">
        <v>6</v>
      </c>
      <c r="M13" s="412">
        <v>7</v>
      </c>
      <c r="N13" s="412">
        <v>8</v>
      </c>
      <c r="O13" s="413">
        <v>9</v>
      </c>
      <c r="P13" s="413">
        <v>10</v>
      </c>
      <c r="Q13" s="413">
        <v>11</v>
      </c>
      <c r="R13" s="412">
        <v>12</v>
      </c>
      <c r="S13" s="278"/>
    </row>
    <row r="14" spans="1:19" ht="45" x14ac:dyDescent="0.25">
      <c r="B14" s="411"/>
      <c r="C14" s="412"/>
      <c r="D14" s="411" t="s">
        <v>414</v>
      </c>
      <c r="E14" s="411" t="s">
        <v>406</v>
      </c>
      <c r="F14" s="411" t="s">
        <v>381</v>
      </c>
      <c r="G14" s="412">
        <v>30</v>
      </c>
      <c r="H14" s="412">
        <v>60</v>
      </c>
      <c r="I14" s="412">
        <v>90</v>
      </c>
      <c r="J14" s="412">
        <v>120</v>
      </c>
      <c r="K14" s="412">
        <v>150</v>
      </c>
      <c r="L14" s="412">
        <v>180</v>
      </c>
      <c r="M14" s="412">
        <v>210</v>
      </c>
      <c r="N14" s="412">
        <v>240</v>
      </c>
      <c r="O14" s="412">
        <v>270</v>
      </c>
      <c r="P14" s="412">
        <v>300</v>
      </c>
      <c r="Q14" s="412">
        <v>330</v>
      </c>
      <c r="R14" s="412">
        <v>365</v>
      </c>
    </row>
    <row r="15" spans="1:19" x14ac:dyDescent="0.25">
      <c r="B15" s="64" t="s">
        <v>720</v>
      </c>
      <c r="C15" s="10" t="s">
        <v>528</v>
      </c>
      <c r="D15" s="280">
        <f ca="1">D16</f>
        <v>0.19287336491614282</v>
      </c>
      <c r="E15" s="235">
        <f ca="1">E16</f>
        <v>75600.320000000007</v>
      </c>
      <c r="F15" s="236">
        <f>F16</f>
        <v>57</v>
      </c>
      <c r="G15" s="279">
        <v>0.5</v>
      </c>
      <c r="H15" s="279">
        <v>0.5</v>
      </c>
      <c r="I15" s="279"/>
      <c r="J15" s="279"/>
      <c r="K15" s="279"/>
      <c r="L15" s="279"/>
      <c r="M15" s="279"/>
      <c r="N15" s="279"/>
      <c r="O15" s="279"/>
      <c r="P15" s="279"/>
      <c r="Q15" s="279"/>
      <c r="R15" s="279"/>
      <c r="S15" s="310">
        <f t="shared" ref="S15:S24" si="0">SUM(G15:R15)</f>
        <v>1</v>
      </c>
    </row>
    <row r="16" spans="1:19" x14ac:dyDescent="0.25">
      <c r="B16" s="419" t="s">
        <v>316</v>
      </c>
      <c r="C16" s="410" t="s">
        <v>956</v>
      </c>
      <c r="D16" s="281">
        <f ca="1">Orcamento!G17</f>
        <v>0.19287336491614282</v>
      </c>
      <c r="E16" s="98">
        <f ca="1">Orcamento!F17</f>
        <v>75600.320000000007</v>
      </c>
      <c r="F16" s="97">
        <f>'Crono fisico'!F14</f>
        <v>57</v>
      </c>
      <c r="G16" s="98">
        <f ca="1">TRUNC(E15*G15,2)</f>
        <v>37800.160000000003</v>
      </c>
      <c r="H16" s="98">
        <f ca="1">TRUNC(E16*H15,2)</f>
        <v>37800.160000000003</v>
      </c>
      <c r="I16" s="98"/>
      <c r="J16" s="98"/>
      <c r="K16" s="98"/>
      <c r="L16" s="98"/>
      <c r="M16" s="98"/>
      <c r="N16" s="98"/>
      <c r="O16" s="98"/>
      <c r="P16" s="422"/>
      <c r="Q16" s="422"/>
      <c r="R16" s="422"/>
      <c r="S16" s="310">
        <f ca="1">SUM(G16:R16)</f>
        <v>75600.320000000007</v>
      </c>
    </row>
    <row r="17" spans="2:19" x14ac:dyDescent="0.25">
      <c r="B17" s="64" t="s">
        <v>931</v>
      </c>
      <c r="C17" s="10" t="s">
        <v>536</v>
      </c>
      <c r="D17" s="280">
        <f ca="1">D18</f>
        <v>0.28092843401649359</v>
      </c>
      <c r="E17" s="235">
        <f ca="1">E18</f>
        <v>110115.15</v>
      </c>
      <c r="F17" s="236">
        <f>F18</f>
        <v>116</v>
      </c>
      <c r="G17" s="279">
        <v>0.2</v>
      </c>
      <c r="H17" s="279"/>
      <c r="I17" s="279">
        <v>0.3</v>
      </c>
      <c r="J17" s="279">
        <v>0.5</v>
      </c>
      <c r="K17" s="279"/>
      <c r="L17" s="279"/>
      <c r="M17" s="279"/>
      <c r="N17" s="279"/>
      <c r="O17" s="279"/>
      <c r="P17" s="279"/>
      <c r="Q17" s="279"/>
      <c r="R17" s="279"/>
      <c r="S17" s="310">
        <f t="shared" si="0"/>
        <v>1</v>
      </c>
    </row>
    <row r="18" spans="2:19" x14ac:dyDescent="0.25">
      <c r="B18" s="419" t="s">
        <v>620</v>
      </c>
      <c r="C18" s="410" t="s">
        <v>957</v>
      </c>
      <c r="D18" s="281">
        <f ca="1">Orcamento!G26</f>
        <v>0.28092843401649359</v>
      </c>
      <c r="E18" s="98">
        <f ca="1">Orcamento!F26</f>
        <v>110115.15</v>
      </c>
      <c r="F18" s="97">
        <f>'Crono fisico'!F29</f>
        <v>116</v>
      </c>
      <c r="G18" s="98">
        <v>22415.99</v>
      </c>
      <c r="H18" s="98">
        <v>0</v>
      </c>
      <c r="I18" s="98">
        <f t="shared" ref="I18" ca="1" si="1">TRUNC($E$18*I17,2)</f>
        <v>33034.54</v>
      </c>
      <c r="J18" s="98">
        <v>56039.97</v>
      </c>
      <c r="K18" s="98"/>
      <c r="L18" s="98"/>
      <c r="M18" s="98"/>
      <c r="N18" s="98"/>
      <c r="O18" s="98"/>
      <c r="P18" s="422"/>
      <c r="Q18" s="422"/>
      <c r="R18" s="422"/>
      <c r="S18" s="310">
        <f t="shared" ca="1" si="0"/>
        <v>111490.5</v>
      </c>
    </row>
    <row r="19" spans="2:19" x14ac:dyDescent="0.25">
      <c r="B19" s="64" t="s">
        <v>933</v>
      </c>
      <c r="C19" s="10" t="s">
        <v>565</v>
      </c>
      <c r="D19" s="280">
        <f ca="1">SUM(D20:D20)</f>
        <v>0.2447295222254223</v>
      </c>
      <c r="E19" s="235">
        <f ca="1">SUM(E20:E20)</f>
        <v>95926.31</v>
      </c>
      <c r="F19" s="236">
        <f>F20</f>
        <v>195</v>
      </c>
      <c r="G19" s="279"/>
      <c r="H19" s="279"/>
      <c r="I19" s="279"/>
      <c r="J19" s="279"/>
      <c r="K19" s="279">
        <v>0.5</v>
      </c>
      <c r="L19" s="279">
        <v>0.5</v>
      </c>
      <c r="M19" s="279"/>
      <c r="N19" s="279"/>
      <c r="O19" s="279"/>
      <c r="P19" s="279"/>
      <c r="Q19" s="279"/>
      <c r="R19" s="279"/>
      <c r="S19" s="310">
        <f t="shared" si="0"/>
        <v>1</v>
      </c>
    </row>
    <row r="20" spans="2:19" x14ac:dyDescent="0.25">
      <c r="B20" s="419" t="s">
        <v>934</v>
      </c>
      <c r="C20" s="410" t="s">
        <v>958</v>
      </c>
      <c r="D20" s="281">
        <f ca="1">Orcamento!G39</f>
        <v>0.2447295222254223</v>
      </c>
      <c r="E20" s="98">
        <f ca="1">Orcamento!F39</f>
        <v>95926.31</v>
      </c>
      <c r="F20" s="97">
        <f>'Crono fisico'!F48</f>
        <v>195</v>
      </c>
      <c r="G20" s="98"/>
      <c r="H20" s="98"/>
      <c r="I20" s="98"/>
      <c r="J20" s="98"/>
      <c r="K20" s="98">
        <f ca="1">TRUNC($E$20*K19,2)</f>
        <v>47963.15</v>
      </c>
      <c r="L20" s="98">
        <v>48761.73</v>
      </c>
      <c r="M20" s="98"/>
      <c r="N20" s="98"/>
      <c r="O20" s="98"/>
      <c r="P20" s="422"/>
      <c r="Q20" s="422"/>
      <c r="R20" s="422"/>
      <c r="S20" s="310">
        <f t="shared" ca="1" si="0"/>
        <v>96724.88</v>
      </c>
    </row>
    <row r="21" spans="2:19" ht="26.25" customHeight="1" x14ac:dyDescent="0.25">
      <c r="B21" s="64" t="s">
        <v>1004</v>
      </c>
      <c r="C21" s="425" t="s">
        <v>1189</v>
      </c>
      <c r="D21" s="280">
        <f ca="1">SUM(D22:D22)</f>
        <v>0.11983225015529082</v>
      </c>
      <c r="E21" s="235">
        <f ca="1">SUM(E22:E22)</f>
        <v>46970.49</v>
      </c>
      <c r="F21" s="236">
        <f>F22</f>
        <v>202</v>
      </c>
      <c r="G21" s="279"/>
      <c r="H21" s="279"/>
      <c r="I21" s="279"/>
      <c r="J21" s="279"/>
      <c r="K21" s="279"/>
      <c r="L21" s="279"/>
      <c r="M21" s="279">
        <v>0.5</v>
      </c>
      <c r="N21" s="279"/>
      <c r="O21" s="279"/>
      <c r="P21" s="279"/>
      <c r="Q21" s="279"/>
      <c r="R21" s="279">
        <v>0.5</v>
      </c>
      <c r="S21" s="310">
        <f t="shared" si="0"/>
        <v>1</v>
      </c>
    </row>
    <row r="22" spans="2:19" ht="24" x14ac:dyDescent="0.25">
      <c r="B22" s="419" t="s">
        <v>1005</v>
      </c>
      <c r="C22" s="426" t="s">
        <v>1207</v>
      </c>
      <c r="D22" s="281">
        <f ca="1">Orcamento!G53</f>
        <v>0.11983225015529082</v>
      </c>
      <c r="E22" s="98">
        <f ca="1">Orcamento!F53</f>
        <v>46970.49</v>
      </c>
      <c r="F22" s="97">
        <f>'Crono fisico'!F65</f>
        <v>202</v>
      </c>
      <c r="G22" s="98"/>
      <c r="H22" s="98"/>
      <c r="I22" s="98"/>
      <c r="J22" s="98"/>
      <c r="K22" s="98"/>
      <c r="L22" s="98"/>
      <c r="M22" s="98">
        <f ca="1">TRUNC($E$22*M21,2)</f>
        <v>23485.24</v>
      </c>
      <c r="N22" s="98"/>
      <c r="O22" s="98"/>
      <c r="P22" s="422"/>
      <c r="Q22" s="422"/>
      <c r="R22" s="98">
        <v>23734.65</v>
      </c>
      <c r="S22" s="310">
        <f t="shared" ca="1" si="0"/>
        <v>47219.89</v>
      </c>
    </row>
    <row r="23" spans="2:19" x14ac:dyDescent="0.25">
      <c r="B23" s="64" t="s">
        <v>1200</v>
      </c>
      <c r="C23" s="10" t="s">
        <v>1009</v>
      </c>
      <c r="D23" s="282">
        <f ca="1">Orcamento!G59</f>
        <v>0.1616364286866504</v>
      </c>
      <c r="E23" s="275">
        <f ca="1">Orcamento!F59</f>
        <v>63356.419055999999</v>
      </c>
      <c r="F23" s="276">
        <f>F24</f>
        <v>365</v>
      </c>
      <c r="G23" s="279"/>
      <c r="H23" s="279"/>
      <c r="I23" s="279"/>
      <c r="J23" s="279">
        <v>0.2</v>
      </c>
      <c r="K23" s="279">
        <v>0.3</v>
      </c>
      <c r="L23" s="279"/>
      <c r="M23" s="279"/>
      <c r="N23" s="279"/>
      <c r="O23" s="279"/>
      <c r="P23" s="279"/>
      <c r="Q23" s="279"/>
      <c r="R23" s="279">
        <v>0.5</v>
      </c>
      <c r="S23" s="310">
        <f t="shared" si="0"/>
        <v>1</v>
      </c>
    </row>
    <row r="24" spans="2:19" x14ac:dyDescent="0.25">
      <c r="B24" s="110" t="s">
        <v>1201</v>
      </c>
      <c r="C24" s="410" t="s">
        <v>1006</v>
      </c>
      <c r="D24" s="281">
        <f ca="1">Orcamento!G58</f>
        <v>0.1616364286866504</v>
      </c>
      <c r="E24" s="98">
        <f ca="1">Orcamento!F58</f>
        <v>63356.419055999999</v>
      </c>
      <c r="F24" s="97">
        <f>'Crono fisico'!F70</f>
        <v>365</v>
      </c>
      <c r="G24" s="98"/>
      <c r="H24" s="98"/>
      <c r="I24" s="98"/>
      <c r="J24" s="98">
        <f ca="1">TRUNC($E$24*J23,2)</f>
        <v>12671.28</v>
      </c>
      <c r="K24" s="98">
        <f ca="1">TRUNC($E$24*K23,2)</f>
        <v>19006.919999999998</v>
      </c>
      <c r="L24" s="98"/>
      <c r="M24" s="98"/>
      <c r="N24" s="98"/>
      <c r="O24" s="98"/>
      <c r="P24" s="422"/>
      <c r="Q24" s="284"/>
      <c r="R24" s="98">
        <v>32014.639999999999</v>
      </c>
      <c r="S24" s="310">
        <f t="shared" ca="1" si="0"/>
        <v>63692.84</v>
      </c>
    </row>
    <row r="25" spans="2:19" x14ac:dyDescent="0.25">
      <c r="B25" s="116"/>
      <c r="C25" s="139" t="s">
        <v>329</v>
      </c>
      <c r="D25" s="283">
        <f ca="1">D15+D17+D19+D23</f>
        <v>0.88016774984470914</v>
      </c>
      <c r="E25" s="156">
        <f ca="1">E15+E17+E19+E21+E23</f>
        <v>391968.68905600003</v>
      </c>
      <c r="F25" s="157">
        <f>F23</f>
        <v>365</v>
      </c>
      <c r="G25" s="156">
        <f ca="1">G16+G18+G20+G22+G24</f>
        <v>60216.150000000009</v>
      </c>
      <c r="H25" s="156">
        <f t="shared" ref="H25:R25" ca="1" si="2">H16+H18+H20+H22+H24</f>
        <v>37800.160000000003</v>
      </c>
      <c r="I25" s="156">
        <f t="shared" ca="1" si="2"/>
        <v>33034.54</v>
      </c>
      <c r="J25" s="156">
        <f t="shared" ca="1" si="2"/>
        <v>68711.25</v>
      </c>
      <c r="K25" s="156">
        <f t="shared" ca="1" si="2"/>
        <v>66970.070000000007</v>
      </c>
      <c r="L25" s="156">
        <f t="shared" si="2"/>
        <v>48761.73</v>
      </c>
      <c r="M25" s="156">
        <f t="shared" ca="1" si="2"/>
        <v>23485.24</v>
      </c>
      <c r="N25" s="156">
        <f t="shared" si="2"/>
        <v>0</v>
      </c>
      <c r="O25" s="156">
        <f t="shared" si="2"/>
        <v>0</v>
      </c>
      <c r="P25" s="156">
        <f t="shared" si="2"/>
        <v>0</v>
      </c>
      <c r="Q25" s="156">
        <f t="shared" si="2"/>
        <v>0</v>
      </c>
      <c r="R25" s="156">
        <f t="shared" si="2"/>
        <v>55749.29</v>
      </c>
      <c r="S25" s="310">
        <f ca="1">SUM(G25:R25)</f>
        <v>394728.43</v>
      </c>
    </row>
  </sheetData>
  <mergeCells count="2">
    <mergeCell ref="B11:R11"/>
    <mergeCell ref="C5:I5"/>
  </mergeCells>
  <pageMargins left="0.511811024" right="0.511811024" top="0.78740157499999996" bottom="0.78740157499999996" header="0.31496062000000002" footer="0.31496062000000002"/>
  <pageSetup paperSize="9" scale="53" fitToHeight="0" orientation="landscape" r:id="rId1"/>
  <colBreaks count="1" manualBreakCount="1">
    <brk id="18"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6">
    <pageSetUpPr fitToPage="1"/>
  </sheetPr>
  <dimension ref="B1:X45"/>
  <sheetViews>
    <sheetView showGridLines="0" view="pageBreakPreview" zoomScale="85" zoomScaleNormal="115" zoomScaleSheetLayoutView="85" workbookViewId="0">
      <selection activeCell="W37" sqref="W37"/>
    </sheetView>
  </sheetViews>
  <sheetFormatPr defaultColWidth="9.140625" defaultRowHeight="15" customHeight="1" zeroHeight="1" x14ac:dyDescent="0.25"/>
  <cols>
    <col min="1" max="1" width="1.7109375" style="2" customWidth="1"/>
    <col min="2" max="2" width="9.85546875" style="2" bestFit="1" customWidth="1"/>
    <col min="3" max="3" width="7.28515625" style="2" customWidth="1"/>
    <col min="4" max="4" width="41.85546875" style="2" customWidth="1"/>
    <col min="5" max="5" width="12.140625" style="2" bestFit="1" customWidth="1"/>
    <col min="6" max="7" width="11.140625" style="2" bestFit="1" customWidth="1"/>
    <col min="8" max="8" width="11.7109375" style="2" customWidth="1"/>
    <col min="9" max="9" width="14.140625" style="2" bestFit="1" customWidth="1"/>
    <col min="10" max="10" width="13.7109375" style="2" customWidth="1"/>
    <col min="11" max="11" width="12.140625" style="2" bestFit="1" customWidth="1"/>
    <col min="12" max="12" width="10.5703125" style="2" bestFit="1" customWidth="1"/>
    <col min="13" max="13" width="11.140625" style="2" bestFit="1" customWidth="1"/>
    <col min="14" max="14" width="10.28515625" style="2" bestFit="1" customWidth="1"/>
    <col min="15" max="15" width="11.7109375" style="2" customWidth="1"/>
    <col min="16" max="16" width="9.5703125" style="2" hidden="1" customWidth="1"/>
    <col min="17" max="17" width="12.140625" style="2" bestFit="1" customWidth="1"/>
    <col min="18" max="18" width="10.28515625" style="2" bestFit="1" customWidth="1"/>
    <col min="19" max="19" width="10" style="2" hidden="1" customWidth="1"/>
    <col min="20" max="20" width="11.5703125" style="2" hidden="1" customWidth="1"/>
    <col min="21" max="21" width="0.140625" style="2" customWidth="1"/>
    <col min="22" max="22" width="1.7109375" style="2" customWidth="1"/>
    <col min="23" max="23" width="20.28515625" style="2" customWidth="1"/>
    <col min="24" max="24" width="11.5703125" style="2" bestFit="1" customWidth="1"/>
    <col min="25" max="16384" width="9.140625" style="2"/>
  </cols>
  <sheetData>
    <row r="1" spans="2:21" ht="9" customHeight="1" x14ac:dyDescent="0.25"/>
    <row r="2" spans="2:21" ht="34.5" customHeight="1" x14ac:dyDescent="0.25"/>
    <row r="3" spans="2:21" ht="34.5" customHeight="1" x14ac:dyDescent="0.25"/>
    <row r="4" spans="2:21" x14ac:dyDescent="0.25">
      <c r="B4" s="23" t="s">
        <v>0</v>
      </c>
      <c r="C4" s="548" t="str">
        <f>'Qd abrang'!C4</f>
        <v>Contratação de Projeto Executivo de Engenharia para Implantação do Aeródromo no município de Nova Andradina</v>
      </c>
      <c r="D4" s="548"/>
      <c r="E4" s="548"/>
      <c r="F4" s="548"/>
      <c r="G4" s="548"/>
      <c r="H4" s="548"/>
      <c r="I4" s="548"/>
      <c r="J4" s="548"/>
      <c r="K4" s="548"/>
      <c r="L4" s="548"/>
      <c r="M4" s="548"/>
      <c r="N4" s="548"/>
      <c r="O4" s="548"/>
      <c r="P4" s="548"/>
      <c r="Q4" s="548"/>
      <c r="R4" s="548"/>
      <c r="S4" s="548"/>
      <c r="T4" s="548"/>
      <c r="U4" s="548"/>
    </row>
    <row r="5" spans="2:21" x14ac:dyDescent="0.25">
      <c r="B5" s="5" t="s">
        <v>862</v>
      </c>
      <c r="C5" s="1" t="str">
        <f>'Qd abrang'!C5</f>
        <v>Nova Andradina/MS</v>
      </c>
    </row>
    <row r="6" spans="2:21" x14ac:dyDescent="0.25">
      <c r="B6" s="5" t="s">
        <v>863</v>
      </c>
      <c r="C6" s="1" t="str">
        <f>'Qd abrang'!C6</f>
        <v>Nova Andradina/MS</v>
      </c>
    </row>
    <row r="7" spans="2:21" x14ac:dyDescent="0.25">
      <c r="B7" s="5" t="s">
        <v>1</v>
      </c>
      <c r="C7" s="239">
        <f>'Qd abrang'!C7</f>
        <v>1.7</v>
      </c>
      <c r="D7" s="2" t="s">
        <v>3</v>
      </c>
      <c r="E7" s="332" t="s">
        <v>1133</v>
      </c>
      <c r="N7" s="5" t="s">
        <v>16</v>
      </c>
      <c r="O7" s="6" t="str">
        <f>'Qd abrang'!N7</f>
        <v>79.010.182-2025</v>
      </c>
    </row>
    <row r="8" spans="2:21" x14ac:dyDescent="0.25">
      <c r="B8" s="5" t="s">
        <v>2</v>
      </c>
      <c r="C8" s="264">
        <f>'Qd abrang'!C8</f>
        <v>365</v>
      </c>
      <c r="D8" s="2" t="s">
        <v>4</v>
      </c>
      <c r="K8" s="323"/>
      <c r="N8" s="5" t="s">
        <v>17</v>
      </c>
      <c r="O8" s="265">
        <f>'Qd abrang'!N8</f>
        <v>45748</v>
      </c>
    </row>
    <row r="9" spans="2:21" ht="15" customHeight="1" x14ac:dyDescent="0.25"/>
    <row r="10" spans="2:21" s="11" customFormat="1" ht="21" x14ac:dyDescent="0.25">
      <c r="B10" s="547" t="s">
        <v>22</v>
      </c>
      <c r="C10" s="547"/>
      <c r="D10" s="547"/>
      <c r="E10" s="547"/>
      <c r="F10" s="547"/>
      <c r="G10" s="547"/>
      <c r="H10" s="547"/>
      <c r="I10" s="547"/>
      <c r="J10" s="547"/>
      <c r="K10" s="547"/>
      <c r="L10" s="547"/>
      <c r="M10" s="547"/>
      <c r="N10" s="547"/>
      <c r="O10" s="547"/>
      <c r="P10" s="547"/>
      <c r="Q10" s="547"/>
      <c r="R10" s="547"/>
      <c r="S10" s="547"/>
      <c r="T10" s="547"/>
      <c r="U10" s="547"/>
    </row>
    <row r="11" spans="2:21" ht="15" customHeight="1" x14ac:dyDescent="0.25"/>
    <row r="12" spans="2:21" ht="60" customHeight="1" x14ac:dyDescent="0.25">
      <c r="B12" s="562" t="s">
        <v>19</v>
      </c>
      <c r="C12" s="564" t="s">
        <v>15</v>
      </c>
      <c r="D12" s="565"/>
      <c r="E12" s="562" t="s">
        <v>415</v>
      </c>
      <c r="F12" s="562" t="s">
        <v>416</v>
      </c>
      <c r="G12" s="562" t="s">
        <v>480</v>
      </c>
      <c r="H12" s="562" t="s">
        <v>417</v>
      </c>
      <c r="I12" s="562" t="s">
        <v>418</v>
      </c>
      <c r="J12" s="562" t="s">
        <v>419</v>
      </c>
      <c r="K12" s="579" t="s">
        <v>374</v>
      </c>
      <c r="L12" s="580"/>
      <c r="M12" s="562" t="s">
        <v>683</v>
      </c>
      <c r="N12" s="562" t="s">
        <v>696</v>
      </c>
      <c r="O12" s="562" t="s">
        <v>697</v>
      </c>
      <c r="P12" s="562" t="s">
        <v>714</v>
      </c>
      <c r="Q12" s="579" t="s">
        <v>362</v>
      </c>
      <c r="R12" s="580"/>
      <c r="S12" s="120" t="s">
        <v>715</v>
      </c>
      <c r="T12" s="579" t="s">
        <v>716</v>
      </c>
      <c r="U12" s="580"/>
    </row>
    <row r="13" spans="2:21" ht="15" customHeight="1" x14ac:dyDescent="0.25">
      <c r="B13" s="562"/>
      <c r="C13" s="564"/>
      <c r="D13" s="565"/>
      <c r="E13" s="562"/>
      <c r="F13" s="562"/>
      <c r="G13" s="562"/>
      <c r="H13" s="562"/>
      <c r="I13" s="562"/>
      <c r="J13" s="562"/>
      <c r="K13" s="120" t="s">
        <v>406</v>
      </c>
      <c r="L13" s="120" t="s">
        <v>414</v>
      </c>
      <c r="M13" s="562"/>
      <c r="N13" s="562"/>
      <c r="O13" s="562"/>
      <c r="P13" s="562"/>
      <c r="Q13" s="120" t="s">
        <v>406</v>
      </c>
      <c r="R13" s="120" t="s">
        <v>414</v>
      </c>
      <c r="S13" s="120" t="s">
        <v>406</v>
      </c>
      <c r="T13" s="120" t="s">
        <v>406</v>
      </c>
      <c r="U13" s="120" t="s">
        <v>414</v>
      </c>
    </row>
    <row r="14" spans="2:21" ht="15" customHeight="1" x14ac:dyDescent="0.25">
      <c r="B14" s="299">
        <v>1</v>
      </c>
      <c r="C14" s="577" t="s">
        <v>206</v>
      </c>
      <c r="D14" s="578"/>
      <c r="E14" s="226">
        <f ca="1">MO!M19</f>
        <v>1044.29</v>
      </c>
      <c r="F14" s="226">
        <v>0</v>
      </c>
      <c r="G14" s="226">
        <v>0</v>
      </c>
      <c r="H14" s="227">
        <v>0</v>
      </c>
      <c r="I14" s="227">
        <v>0</v>
      </c>
      <c r="J14" s="227">
        <v>0</v>
      </c>
      <c r="K14" s="227">
        <f t="shared" ref="K14:K30" ca="1" si="0">SUM(E14:J14)</f>
        <v>1044.29</v>
      </c>
      <c r="L14" s="228">
        <f t="shared" ref="L14:L21" ca="1" si="1">K14/$K$37</f>
        <v>8.4502478900678815E-3</v>
      </c>
      <c r="M14" s="179">
        <f ca="1">M37-SUM(M15:M36)</f>
        <v>450.16999999999825</v>
      </c>
      <c r="N14" s="179">
        <f ca="1">N37-SUM(N15:N36)</f>
        <v>648.64000000001397</v>
      </c>
      <c r="O14" s="179">
        <f ca="1">O37-SUM(O15:O36)</f>
        <v>139.77999999999884</v>
      </c>
      <c r="P14" s="179">
        <v>0</v>
      </c>
      <c r="Q14" s="92">
        <f ca="1">K14+SUM(M14:P14)</f>
        <v>2282.880000000011</v>
      </c>
      <c r="R14" s="50">
        <f ca="1">R37-(SUM(R15:R36))</f>
        <v>8.4000000000000741E-3</v>
      </c>
      <c r="S14" s="62">
        <v>0</v>
      </c>
      <c r="T14" s="92">
        <f ca="1">Q14-S14</f>
        <v>2282.880000000011</v>
      </c>
      <c r="U14" s="50">
        <f ca="1">TRUNC(T14/$Q$37, 4)</f>
        <v>8.3999999999999995E-3</v>
      </c>
    </row>
    <row r="15" spans="2:21" ht="15" customHeight="1" x14ac:dyDescent="0.25">
      <c r="B15" s="110">
        <v>2</v>
      </c>
      <c r="C15" s="573" t="s">
        <v>207</v>
      </c>
      <c r="D15" s="574"/>
      <c r="E15" s="145">
        <f ca="1">MO!M22+MO!M25</f>
        <v>5291.77</v>
      </c>
      <c r="F15" s="145">
        <f ca="1">Veículos!I17</f>
        <v>212.45</v>
      </c>
      <c r="G15" s="145">
        <v>0</v>
      </c>
      <c r="H15" s="146">
        <f>'Diárias + passagens'!L20</f>
        <v>625</v>
      </c>
      <c r="I15" s="146">
        <v>0</v>
      </c>
      <c r="J15" s="146">
        <f ca="1">'Mob desmob equip rod'!Q18</f>
        <v>446.81</v>
      </c>
      <c r="K15" s="146">
        <f ca="1">SUM(E15:J15)</f>
        <v>6576.0300000000007</v>
      </c>
      <c r="L15" s="228">
        <f t="shared" ca="1" si="1"/>
        <v>5.3212310404698981E-2</v>
      </c>
      <c r="M15" s="180">
        <f t="shared" ref="M15:M19" ca="1" si="2">TRUNC(L15*$M$37,2)</f>
        <v>2834.12</v>
      </c>
      <c r="N15" s="180">
        <f t="shared" ref="N15:N21" ca="1" si="3">TRUNC(L15*$N$37,2)</f>
        <v>4083.96</v>
      </c>
      <c r="O15" s="180">
        <f t="shared" ref="O15:O21" ca="1" si="4">TRUNC(L15*$O$37, 2)</f>
        <v>879.5</v>
      </c>
      <c r="P15" s="179">
        <v>0</v>
      </c>
      <c r="Q15" s="92">
        <f t="shared" ref="Q15:Q36" ca="1" si="5">K15+SUM(M15:P15)</f>
        <v>14373.61</v>
      </c>
      <c r="R15" s="50">
        <f t="shared" ref="R15:R21" ca="1" si="6">ROUND(Q15/$Q$37, 4)</f>
        <v>5.3199999999999997E-2</v>
      </c>
      <c r="S15" s="62">
        <v>0</v>
      </c>
      <c r="T15" s="46">
        <f ca="1">Q15-S15</f>
        <v>14373.61</v>
      </c>
      <c r="U15" s="50">
        <f t="shared" ref="U15:U20" ca="1" si="7">ROUND(T15/$Q$37, 4)</f>
        <v>5.3199999999999997E-2</v>
      </c>
    </row>
    <row r="16" spans="2:21" ht="15" customHeight="1" x14ac:dyDescent="0.25">
      <c r="B16" s="110">
        <v>3</v>
      </c>
      <c r="C16" s="573" t="s">
        <v>209</v>
      </c>
      <c r="D16" s="574"/>
      <c r="E16" s="145">
        <f ca="1">MO!M28</f>
        <v>1914.82</v>
      </c>
      <c r="F16" s="145">
        <v>0</v>
      </c>
      <c r="G16" s="145">
        <v>0</v>
      </c>
      <c r="H16" s="146">
        <v>0</v>
      </c>
      <c r="I16" s="146">
        <v>0</v>
      </c>
      <c r="J16" s="146">
        <v>0</v>
      </c>
      <c r="K16" s="146">
        <f t="shared" ca="1" si="0"/>
        <v>1914.82</v>
      </c>
      <c r="L16" s="228">
        <f t="shared" ca="1" si="1"/>
        <v>1.5494454284595066E-2</v>
      </c>
      <c r="M16" s="180">
        <f t="shared" ca="1" si="2"/>
        <v>825.24</v>
      </c>
      <c r="N16" s="180">
        <f t="shared" ca="1" si="3"/>
        <v>1189.17</v>
      </c>
      <c r="O16" s="180">
        <f t="shared" ca="1" si="4"/>
        <v>256.08999999999997</v>
      </c>
      <c r="P16" s="179">
        <v>0</v>
      </c>
      <c r="Q16" s="92">
        <f t="shared" ca="1" si="5"/>
        <v>4185.32</v>
      </c>
      <c r="R16" s="50">
        <f t="shared" ca="1" si="6"/>
        <v>1.55E-2</v>
      </c>
      <c r="S16" s="62">
        <v>0</v>
      </c>
      <c r="T16" s="46">
        <f t="shared" ref="T16:T30" ca="1" si="8">Q16-S16</f>
        <v>4185.32</v>
      </c>
      <c r="U16" s="50">
        <f t="shared" ca="1" si="7"/>
        <v>1.55E-2</v>
      </c>
    </row>
    <row r="17" spans="2:23" ht="15" customHeight="1" x14ac:dyDescent="0.25">
      <c r="B17" s="110">
        <v>4</v>
      </c>
      <c r="C17" s="573" t="s">
        <v>210</v>
      </c>
      <c r="D17" s="574"/>
      <c r="E17" s="145">
        <f ca="1">MO!M32</f>
        <v>1022.65</v>
      </c>
      <c r="F17" s="145">
        <v>0</v>
      </c>
      <c r="G17" s="145">
        <v>0</v>
      </c>
      <c r="H17" s="146">
        <v>0</v>
      </c>
      <c r="I17" s="146">
        <v>0</v>
      </c>
      <c r="J17" s="146">
        <v>0</v>
      </c>
      <c r="K17" s="146">
        <f t="shared" ca="1" si="0"/>
        <v>1022.65</v>
      </c>
      <c r="L17" s="228">
        <f t="shared" ca="1" si="1"/>
        <v>8.275140051880148E-3</v>
      </c>
      <c r="M17" s="180">
        <f t="shared" ca="1" si="2"/>
        <v>440.73</v>
      </c>
      <c r="N17" s="180">
        <f t="shared" ca="1" si="3"/>
        <v>635.1</v>
      </c>
      <c r="O17" s="180">
        <f t="shared" ca="1" si="4"/>
        <v>136.77000000000001</v>
      </c>
      <c r="P17" s="179">
        <v>0</v>
      </c>
      <c r="Q17" s="92">
        <f t="shared" ca="1" si="5"/>
        <v>2235.25</v>
      </c>
      <c r="R17" s="50">
        <f t="shared" ca="1" si="6"/>
        <v>8.3000000000000001E-3</v>
      </c>
      <c r="S17" s="62">
        <v>0</v>
      </c>
      <c r="T17" s="46">
        <f t="shared" ca="1" si="8"/>
        <v>2235.25</v>
      </c>
      <c r="U17" s="50">
        <f t="shared" ca="1" si="7"/>
        <v>8.3000000000000001E-3</v>
      </c>
    </row>
    <row r="18" spans="2:23" ht="15" customHeight="1" x14ac:dyDescent="0.25">
      <c r="B18" s="110">
        <v>5</v>
      </c>
      <c r="C18" s="573" t="s">
        <v>208</v>
      </c>
      <c r="D18" s="574"/>
      <c r="E18" s="145">
        <f ca="1">MO!M35</f>
        <v>1070.3499999999999</v>
      </c>
      <c r="F18" s="145">
        <v>0</v>
      </c>
      <c r="G18" s="145">
        <v>0</v>
      </c>
      <c r="H18" s="146">
        <v>0</v>
      </c>
      <c r="I18" s="146">
        <v>0</v>
      </c>
      <c r="J18" s="146">
        <v>0</v>
      </c>
      <c r="K18" s="146">
        <f t="shared" ca="1" si="0"/>
        <v>1070.3499999999999</v>
      </c>
      <c r="L18" s="228">
        <f t="shared" ca="1" si="1"/>
        <v>8.6611217469612437E-3</v>
      </c>
      <c r="M18" s="180">
        <f t="shared" ca="1" si="2"/>
        <v>461.29</v>
      </c>
      <c r="N18" s="180">
        <f t="shared" ca="1" si="3"/>
        <v>664.72</v>
      </c>
      <c r="O18" s="180">
        <f t="shared" ca="1" si="4"/>
        <v>143.15</v>
      </c>
      <c r="P18" s="179">
        <v>0</v>
      </c>
      <c r="Q18" s="92">
        <f t="shared" ca="1" si="5"/>
        <v>2339.5100000000002</v>
      </c>
      <c r="R18" s="50">
        <f t="shared" ca="1" si="6"/>
        <v>8.6999999999999994E-3</v>
      </c>
      <c r="S18" s="62">
        <v>0</v>
      </c>
      <c r="T18" s="46">
        <f t="shared" ca="1" si="8"/>
        <v>2339.5100000000002</v>
      </c>
      <c r="U18" s="50">
        <f t="shared" ca="1" si="7"/>
        <v>8.6999999999999994E-3</v>
      </c>
    </row>
    <row r="19" spans="2:23" ht="15" customHeight="1" x14ac:dyDescent="0.25">
      <c r="B19" s="110">
        <v>6</v>
      </c>
      <c r="C19" s="573" t="s">
        <v>211</v>
      </c>
      <c r="D19" s="574"/>
      <c r="E19" s="145">
        <f ca="1">MO!M38+MO!M41</f>
        <v>3960.34</v>
      </c>
      <c r="F19" s="145">
        <f ca="1">Veículos!I19</f>
        <v>264</v>
      </c>
      <c r="G19" s="145">
        <f>'Equip + materiais'!J14</f>
        <v>171.67</v>
      </c>
      <c r="H19" s="146">
        <f>'Diárias + passagens'!L22</f>
        <v>625</v>
      </c>
      <c r="I19" s="146">
        <v>0</v>
      </c>
      <c r="J19" s="146">
        <f ca="1">'Mob desmob equip rod'!Q20</f>
        <v>883.06</v>
      </c>
      <c r="K19" s="146">
        <f t="shared" ca="1" si="0"/>
        <v>5904.07</v>
      </c>
      <c r="L19" s="228">
        <f t="shared" ca="1" si="1"/>
        <v>4.7774904538311271E-2</v>
      </c>
      <c r="M19" s="180">
        <f t="shared" ca="1" si="2"/>
        <v>2544.52</v>
      </c>
      <c r="N19" s="180">
        <f t="shared" ca="1" si="3"/>
        <v>3666.65</v>
      </c>
      <c r="O19" s="180">
        <f t="shared" ca="1" si="4"/>
        <v>789.63</v>
      </c>
      <c r="P19" s="179">
        <v>0</v>
      </c>
      <c r="Q19" s="92">
        <f t="shared" ca="1" si="5"/>
        <v>12904.869999999999</v>
      </c>
      <c r="R19" s="50">
        <f t="shared" ca="1" si="6"/>
        <v>4.7800000000000002E-2</v>
      </c>
      <c r="S19" s="62">
        <v>0</v>
      </c>
      <c r="T19" s="46">
        <f t="shared" ca="1" si="8"/>
        <v>12904.869999999999</v>
      </c>
      <c r="U19" s="50">
        <f t="shared" ca="1" si="7"/>
        <v>4.7800000000000002E-2</v>
      </c>
    </row>
    <row r="20" spans="2:23" ht="15" customHeight="1" x14ac:dyDescent="0.25">
      <c r="B20" s="110">
        <v>7</v>
      </c>
      <c r="C20" s="573" t="s">
        <v>212</v>
      </c>
      <c r="D20" s="574"/>
      <c r="E20" s="145">
        <f ca="1">MO!M45+MO!M48+MO!M51</f>
        <v>8088.85</v>
      </c>
      <c r="F20" s="145">
        <f ca="1">Veículos!I21</f>
        <v>528</v>
      </c>
      <c r="G20" s="145">
        <f>'Equip + materiais'!J16+'Equip + materiais'!J20</f>
        <v>6322.9</v>
      </c>
      <c r="H20" s="146">
        <f>'Diárias + passagens'!L24</f>
        <v>1125</v>
      </c>
      <c r="I20" s="146">
        <v>0</v>
      </c>
      <c r="J20" s="146">
        <f ca="1">'Mob desmob equip rod'!Q22</f>
        <v>883.06</v>
      </c>
      <c r="K20" s="146">
        <f ca="1">SUM(E20:J20)</f>
        <v>16947.810000000001</v>
      </c>
      <c r="L20" s="228">
        <f t="shared" ca="1" si="1"/>
        <v>0.1371392962623135</v>
      </c>
      <c r="M20" s="180">
        <f ca="1">TRUNC(L20*$M$37,2)</f>
        <v>7304.13</v>
      </c>
      <c r="N20" s="180">
        <f t="shared" ca="1" si="3"/>
        <v>10525.22</v>
      </c>
      <c r="O20" s="180">
        <f t="shared" ca="1" si="4"/>
        <v>2266.67</v>
      </c>
      <c r="P20" s="179">
        <v>0</v>
      </c>
      <c r="Q20" s="92">
        <f t="shared" ca="1" si="5"/>
        <v>37043.83</v>
      </c>
      <c r="R20" s="50">
        <f t="shared" ca="1" si="6"/>
        <v>0.1371</v>
      </c>
      <c r="S20" s="62">
        <v>0</v>
      </c>
      <c r="T20" s="46">
        <f t="shared" ca="1" si="8"/>
        <v>37043.83</v>
      </c>
      <c r="U20" s="50">
        <f t="shared" ca="1" si="7"/>
        <v>0.1371</v>
      </c>
    </row>
    <row r="21" spans="2:23" ht="15" customHeight="1" x14ac:dyDescent="0.25">
      <c r="B21" s="110">
        <v>8</v>
      </c>
      <c r="C21" s="573" t="s">
        <v>1225</v>
      </c>
      <c r="D21" s="574"/>
      <c r="E21" s="145">
        <f ca="1">MO!M54+MO!M57+MO!M60+MO!M63+MO!M67</f>
        <v>4822.9699999999993</v>
      </c>
      <c r="F21" s="145">
        <f ca="1">Veículos!I23+Veículos!I25+Veículos!I27</f>
        <v>527.18999999999994</v>
      </c>
      <c r="G21" s="145">
        <f ca="1">'Equip + materiais'!J22+'Equip + materiais'!J24+'Equip + materiais'!J26+'Equip + materiais'!J29</f>
        <v>773.36</v>
      </c>
      <c r="H21" s="146">
        <f>'Diárias + passagens'!L26+'Diárias + passagens'!L28+'Diárias + passagens'!L30+'Diárias + passagens'!L32</f>
        <v>625</v>
      </c>
      <c r="I21" s="146">
        <f>'Mob desmob MO'!O15</f>
        <v>844.12</v>
      </c>
      <c r="J21" s="146">
        <f ca="1">'Mob desmob equip rod'!Q24+'Mob desmob equip rod'!Q26+'Mob desmob equip rod'!Q28</f>
        <v>1633.21</v>
      </c>
      <c r="K21" s="146">
        <f ca="1">SUM(E21:J21)</f>
        <v>9225.8499999999985</v>
      </c>
      <c r="L21" s="228">
        <f t="shared" ca="1" si="1"/>
        <v>7.4654281374505901E-2</v>
      </c>
      <c r="M21" s="180">
        <f ca="1">TRUNC(L21*$M$37,2)</f>
        <v>3976.14</v>
      </c>
      <c r="N21" s="180">
        <f t="shared" ca="1" si="3"/>
        <v>5729.6</v>
      </c>
      <c r="O21" s="180">
        <f t="shared" ca="1" si="4"/>
        <v>1233.9000000000001</v>
      </c>
      <c r="P21" s="179"/>
      <c r="Q21" s="92">
        <f t="shared" ca="1" si="5"/>
        <v>20165.489999999998</v>
      </c>
      <c r="R21" s="50">
        <f t="shared" ca="1" si="6"/>
        <v>7.4700000000000003E-2</v>
      </c>
      <c r="S21" s="62"/>
      <c r="T21" s="46"/>
      <c r="U21" s="50"/>
    </row>
    <row r="22" spans="2:23" ht="15" customHeight="1" x14ac:dyDescent="0.25">
      <c r="B22" s="110">
        <v>9</v>
      </c>
      <c r="C22" s="573" t="s">
        <v>213</v>
      </c>
      <c r="D22" s="574"/>
      <c r="E22" s="145">
        <f ca="1">MO!M73</f>
        <v>4816.57</v>
      </c>
      <c r="F22" s="145">
        <v>0</v>
      </c>
      <c r="G22" s="145">
        <v>0</v>
      </c>
      <c r="H22" s="146">
        <v>0</v>
      </c>
      <c r="I22" s="146">
        <v>0</v>
      </c>
      <c r="J22" s="146">
        <v>0</v>
      </c>
      <c r="K22" s="146">
        <f t="shared" ca="1" si="0"/>
        <v>4816.57</v>
      </c>
      <c r="L22" s="228">
        <f t="shared" ref="L22:L31" ca="1" si="9">K22/$K$37</f>
        <v>3.8975007402028417E-2</v>
      </c>
      <c r="M22" s="180">
        <f t="shared" ref="M22:M36" ca="1" si="10">TRUNC(L22*$M$37,2)</f>
        <v>2075.83</v>
      </c>
      <c r="N22" s="180">
        <f t="shared" ref="N22:N36" ca="1" si="11">TRUNC(L22*$N$37,2)</f>
        <v>2991.27</v>
      </c>
      <c r="O22" s="180">
        <f t="shared" ref="O22:O36" ca="1" si="12">TRUNC(L22*$O$37, 2)</f>
        <v>644.17999999999995</v>
      </c>
      <c r="P22" s="179">
        <v>0</v>
      </c>
      <c r="Q22" s="92">
        <f t="shared" ca="1" si="5"/>
        <v>10527.85</v>
      </c>
      <c r="R22" s="50">
        <f t="shared" ref="R22:R36" ca="1" si="13">ROUND(Q22/$Q$37, 4)</f>
        <v>3.9E-2</v>
      </c>
      <c r="S22" s="62">
        <v>0</v>
      </c>
      <c r="T22" s="46">
        <f t="shared" ca="1" si="8"/>
        <v>10527.85</v>
      </c>
      <c r="U22" s="50">
        <f t="shared" ref="U22:U31" ca="1" si="14">ROUND(T22/$Q$37, 4)</f>
        <v>3.9E-2</v>
      </c>
    </row>
    <row r="23" spans="2:23" ht="15" customHeight="1" x14ac:dyDescent="0.25">
      <c r="B23" s="110">
        <v>10</v>
      </c>
      <c r="C23" s="573" t="s">
        <v>214</v>
      </c>
      <c r="D23" s="574"/>
      <c r="E23" s="145">
        <f ca="1">MO!M76</f>
        <v>7798.26</v>
      </c>
      <c r="F23" s="145">
        <v>0</v>
      </c>
      <c r="G23" s="145">
        <v>0</v>
      </c>
      <c r="H23" s="146">
        <v>0</v>
      </c>
      <c r="I23" s="146">
        <v>0</v>
      </c>
      <c r="J23" s="146">
        <v>0</v>
      </c>
      <c r="K23" s="146">
        <f t="shared" ca="1" si="0"/>
        <v>7798.26</v>
      </c>
      <c r="L23" s="228">
        <f t="shared" ca="1" si="9"/>
        <v>6.3102423762748633E-2</v>
      </c>
      <c r="M23" s="180">
        <f t="shared" ca="1" si="10"/>
        <v>3360.88</v>
      </c>
      <c r="N23" s="180">
        <f t="shared" ca="1" si="11"/>
        <v>4843.01</v>
      </c>
      <c r="O23" s="180">
        <f t="shared" ca="1" si="12"/>
        <v>1042.97</v>
      </c>
      <c r="P23" s="179">
        <v>0</v>
      </c>
      <c r="Q23" s="92">
        <f t="shared" ca="1" si="5"/>
        <v>17045.12</v>
      </c>
      <c r="R23" s="50">
        <f t="shared" ca="1" si="13"/>
        <v>6.3100000000000003E-2</v>
      </c>
      <c r="S23" s="62">
        <v>0</v>
      </c>
      <c r="T23" s="46">
        <f t="shared" ca="1" si="8"/>
        <v>17045.12</v>
      </c>
      <c r="U23" s="50">
        <f t="shared" ca="1" si="14"/>
        <v>6.3100000000000003E-2</v>
      </c>
    </row>
    <row r="24" spans="2:23" ht="15" customHeight="1" x14ac:dyDescent="0.25">
      <c r="B24" s="110">
        <v>11</v>
      </c>
      <c r="C24" s="573" t="s">
        <v>783</v>
      </c>
      <c r="D24" s="574"/>
      <c r="E24" s="145">
        <f ca="1">MO!M79</f>
        <v>7798.26</v>
      </c>
      <c r="F24" s="145">
        <v>0</v>
      </c>
      <c r="G24" s="145">
        <v>0</v>
      </c>
      <c r="H24" s="146">
        <v>0</v>
      </c>
      <c r="I24" s="146">
        <v>0</v>
      </c>
      <c r="J24" s="146">
        <v>0</v>
      </c>
      <c r="K24" s="146">
        <f t="shared" ca="1" si="0"/>
        <v>7798.26</v>
      </c>
      <c r="L24" s="228">
        <f t="shared" ca="1" si="9"/>
        <v>6.3102423762748633E-2</v>
      </c>
      <c r="M24" s="180">
        <f t="shared" ca="1" si="10"/>
        <v>3360.88</v>
      </c>
      <c r="N24" s="180">
        <f t="shared" ca="1" si="11"/>
        <v>4843.01</v>
      </c>
      <c r="O24" s="180">
        <f t="shared" ca="1" si="12"/>
        <v>1042.97</v>
      </c>
      <c r="P24" s="179">
        <v>0</v>
      </c>
      <c r="Q24" s="92">
        <f t="shared" ca="1" si="5"/>
        <v>17045.12</v>
      </c>
      <c r="R24" s="50">
        <f t="shared" ca="1" si="13"/>
        <v>6.3100000000000003E-2</v>
      </c>
      <c r="S24" s="62">
        <v>0</v>
      </c>
      <c r="T24" s="46">
        <f t="shared" ca="1" si="8"/>
        <v>17045.12</v>
      </c>
      <c r="U24" s="50">
        <f t="shared" ca="1" si="14"/>
        <v>6.3100000000000003E-2</v>
      </c>
    </row>
    <row r="25" spans="2:23" ht="15" customHeight="1" x14ac:dyDescent="0.25">
      <c r="B25" s="110">
        <v>12</v>
      </c>
      <c r="C25" s="573" t="s">
        <v>216</v>
      </c>
      <c r="D25" s="574"/>
      <c r="E25" s="145">
        <f ca="1">MO!M82</f>
        <v>4816.57</v>
      </c>
      <c r="F25" s="145">
        <v>0</v>
      </c>
      <c r="G25" s="145">
        <v>0</v>
      </c>
      <c r="H25" s="146">
        <v>0</v>
      </c>
      <c r="I25" s="146">
        <v>0</v>
      </c>
      <c r="J25" s="146">
        <v>0</v>
      </c>
      <c r="K25" s="146">
        <f t="shared" ca="1" si="0"/>
        <v>4816.57</v>
      </c>
      <c r="L25" s="228">
        <f t="shared" ca="1" si="9"/>
        <v>3.8975007402028417E-2</v>
      </c>
      <c r="M25" s="180">
        <f t="shared" ca="1" si="10"/>
        <v>2075.83</v>
      </c>
      <c r="N25" s="180">
        <f t="shared" ca="1" si="11"/>
        <v>2991.27</v>
      </c>
      <c r="O25" s="180">
        <f t="shared" ca="1" si="12"/>
        <v>644.17999999999995</v>
      </c>
      <c r="P25" s="179">
        <v>0</v>
      </c>
      <c r="Q25" s="92">
        <f t="shared" ca="1" si="5"/>
        <v>10527.85</v>
      </c>
      <c r="R25" s="50">
        <f t="shared" ca="1" si="13"/>
        <v>3.9E-2</v>
      </c>
      <c r="S25" s="62">
        <v>0</v>
      </c>
      <c r="T25" s="46">
        <f t="shared" ca="1" si="8"/>
        <v>10527.85</v>
      </c>
      <c r="U25" s="50">
        <f t="shared" ca="1" si="14"/>
        <v>3.9E-2</v>
      </c>
    </row>
    <row r="26" spans="2:23" ht="15" customHeight="1" x14ac:dyDescent="0.25">
      <c r="B26" s="110">
        <v>13</v>
      </c>
      <c r="C26" s="573" t="s">
        <v>217</v>
      </c>
      <c r="D26" s="574"/>
      <c r="E26" s="145">
        <f ca="1">MO!M85</f>
        <v>3746.2200000000003</v>
      </c>
      <c r="F26" s="145">
        <v>0</v>
      </c>
      <c r="G26" s="145">
        <v>0</v>
      </c>
      <c r="H26" s="146">
        <v>0</v>
      </c>
      <c r="I26" s="146">
        <v>0</v>
      </c>
      <c r="J26" s="146">
        <v>0</v>
      </c>
      <c r="K26" s="146">
        <f t="shared" ca="1" si="0"/>
        <v>3746.2200000000003</v>
      </c>
      <c r="L26" s="228">
        <f t="shared" ca="1" si="9"/>
        <v>3.031388565506718E-2</v>
      </c>
      <c r="M26" s="180">
        <f t="shared" ca="1" si="10"/>
        <v>1614.53</v>
      </c>
      <c r="N26" s="180">
        <f t="shared" ca="1" si="11"/>
        <v>2326.54</v>
      </c>
      <c r="O26" s="180">
        <f t="shared" ca="1" si="12"/>
        <v>501.03</v>
      </c>
      <c r="P26" s="179">
        <v>0</v>
      </c>
      <c r="Q26" s="92">
        <f t="shared" ca="1" si="5"/>
        <v>8188.32</v>
      </c>
      <c r="R26" s="50">
        <f t="shared" ca="1" si="13"/>
        <v>3.0300000000000001E-2</v>
      </c>
      <c r="S26" s="62">
        <v>0</v>
      </c>
      <c r="T26" s="46">
        <f t="shared" ca="1" si="8"/>
        <v>8188.32</v>
      </c>
      <c r="U26" s="50">
        <f t="shared" ca="1" si="14"/>
        <v>3.0300000000000001E-2</v>
      </c>
    </row>
    <row r="27" spans="2:23" ht="15" customHeight="1" x14ac:dyDescent="0.25">
      <c r="B27" s="110">
        <v>14</v>
      </c>
      <c r="C27" s="573" t="s">
        <v>218</v>
      </c>
      <c r="D27" s="574"/>
      <c r="E27" s="145">
        <f ca="1">MO!M88</f>
        <v>4228.54</v>
      </c>
      <c r="F27" s="145">
        <v>0</v>
      </c>
      <c r="G27" s="145">
        <v>0</v>
      </c>
      <c r="H27" s="146">
        <v>0</v>
      </c>
      <c r="I27" s="146">
        <v>0</v>
      </c>
      <c r="J27" s="146">
        <v>0</v>
      </c>
      <c r="K27" s="146">
        <f t="shared" ca="1" si="0"/>
        <v>4228.54</v>
      </c>
      <c r="L27" s="228">
        <f t="shared" ca="1" si="9"/>
        <v>3.4216751298075866E-2</v>
      </c>
      <c r="M27" s="180">
        <f t="shared" ca="1" si="10"/>
        <v>1822.4</v>
      </c>
      <c r="N27" s="180">
        <f t="shared" ca="1" si="11"/>
        <v>2626.08</v>
      </c>
      <c r="O27" s="180">
        <f t="shared" ca="1" si="12"/>
        <v>565.54</v>
      </c>
      <c r="P27" s="179">
        <v>0</v>
      </c>
      <c r="Q27" s="92">
        <f t="shared" ca="1" si="5"/>
        <v>9242.56</v>
      </c>
      <c r="R27" s="50">
        <f t="shared" ca="1" si="13"/>
        <v>3.4200000000000001E-2</v>
      </c>
      <c r="S27" s="62">
        <v>0</v>
      </c>
      <c r="T27" s="46">
        <f t="shared" ca="1" si="8"/>
        <v>9242.56</v>
      </c>
      <c r="U27" s="50">
        <f t="shared" ca="1" si="14"/>
        <v>3.4200000000000001E-2</v>
      </c>
    </row>
    <row r="28" spans="2:23" s="1" customFormat="1" ht="15" customHeight="1" x14ac:dyDescent="0.25">
      <c r="B28" s="110">
        <v>15</v>
      </c>
      <c r="C28" s="575" t="s">
        <v>219</v>
      </c>
      <c r="D28" s="576"/>
      <c r="E28" s="181">
        <f ca="1">MO!M91</f>
        <v>2140.69</v>
      </c>
      <c r="F28" s="181">
        <v>0</v>
      </c>
      <c r="G28" s="181">
        <v>0</v>
      </c>
      <c r="H28" s="182">
        <v>0</v>
      </c>
      <c r="I28" s="182">
        <v>0</v>
      </c>
      <c r="J28" s="182">
        <v>0</v>
      </c>
      <c r="K28" s="182">
        <f t="shared" ca="1" si="0"/>
        <v>2140.69</v>
      </c>
      <c r="L28" s="228">
        <f t="shared" ca="1" si="9"/>
        <v>1.7322162575328134E-2</v>
      </c>
      <c r="M28" s="180">
        <f t="shared" ca="1" si="10"/>
        <v>922.59</v>
      </c>
      <c r="N28" s="180">
        <f t="shared" ca="1" si="11"/>
        <v>1329.44</v>
      </c>
      <c r="O28" s="180">
        <f t="shared" ca="1" si="12"/>
        <v>286.3</v>
      </c>
      <c r="P28" s="179">
        <v>0</v>
      </c>
      <c r="Q28" s="92">
        <f t="shared" ca="1" si="5"/>
        <v>4679.0200000000004</v>
      </c>
      <c r="R28" s="184">
        <f t="shared" ca="1" si="13"/>
        <v>1.7299999999999999E-2</v>
      </c>
      <c r="S28" s="62">
        <v>0</v>
      </c>
      <c r="T28" s="183">
        <f t="shared" ca="1" si="8"/>
        <v>4679.0200000000004</v>
      </c>
      <c r="U28" s="184">
        <f t="shared" ca="1" si="14"/>
        <v>1.7299999999999999E-2</v>
      </c>
    </row>
    <row r="29" spans="2:23" ht="15" customHeight="1" x14ac:dyDescent="0.25">
      <c r="B29" s="110">
        <v>16</v>
      </c>
      <c r="C29" s="573" t="s">
        <v>220</v>
      </c>
      <c r="D29" s="574"/>
      <c r="E29" s="145">
        <f ca="1">MO!M94</f>
        <v>1078.1600000000001</v>
      </c>
      <c r="F29" s="145">
        <v>0</v>
      </c>
      <c r="G29" s="145">
        <v>0</v>
      </c>
      <c r="H29" s="146">
        <v>0</v>
      </c>
      <c r="I29" s="146">
        <v>0</v>
      </c>
      <c r="J29" s="146">
        <v>0</v>
      </c>
      <c r="K29" s="146">
        <f t="shared" ca="1" si="0"/>
        <v>1078.1600000000001</v>
      </c>
      <c r="L29" s="228">
        <f t="shared" ca="1" si="9"/>
        <v>8.7243191691537686E-3</v>
      </c>
      <c r="M29" s="180">
        <f t="shared" ca="1" si="10"/>
        <v>464.66</v>
      </c>
      <c r="N29" s="180">
        <f t="shared" ca="1" si="11"/>
        <v>669.57</v>
      </c>
      <c r="O29" s="180">
        <f t="shared" ca="1" si="12"/>
        <v>144.19</v>
      </c>
      <c r="P29" s="179">
        <v>0</v>
      </c>
      <c r="Q29" s="92">
        <f t="shared" ca="1" si="5"/>
        <v>2356.58</v>
      </c>
      <c r="R29" s="50">
        <f t="shared" ca="1" si="13"/>
        <v>8.6999999999999994E-3</v>
      </c>
      <c r="S29" s="62">
        <v>0</v>
      </c>
      <c r="T29" s="46">
        <f t="shared" ca="1" si="8"/>
        <v>2356.58</v>
      </c>
      <c r="U29" s="50">
        <f t="shared" ca="1" si="14"/>
        <v>8.6999999999999994E-3</v>
      </c>
    </row>
    <row r="30" spans="2:23" ht="15" customHeight="1" x14ac:dyDescent="0.25">
      <c r="B30" s="110">
        <v>17</v>
      </c>
      <c r="C30" s="571" t="s">
        <v>221</v>
      </c>
      <c r="D30" s="572"/>
      <c r="E30" s="147">
        <f ca="1">MO!M97</f>
        <v>3446.17</v>
      </c>
      <c r="F30" s="147">
        <v>0</v>
      </c>
      <c r="G30" s="147">
        <v>0</v>
      </c>
      <c r="H30" s="148">
        <v>0</v>
      </c>
      <c r="I30" s="148">
        <v>0</v>
      </c>
      <c r="J30" s="148">
        <v>0</v>
      </c>
      <c r="K30" s="148">
        <f t="shared" ca="1" si="0"/>
        <v>3446.17</v>
      </c>
      <c r="L30" s="228">
        <f t="shared" ca="1" si="9"/>
        <v>2.7885923231396676E-2</v>
      </c>
      <c r="M30" s="180">
        <f t="shared" ca="1" si="10"/>
        <v>1485.22</v>
      </c>
      <c r="N30" s="180">
        <f t="shared" ca="1" si="11"/>
        <v>2140.1999999999998</v>
      </c>
      <c r="O30" s="180">
        <f t="shared" ca="1" si="12"/>
        <v>460.9</v>
      </c>
      <c r="P30" s="179">
        <v>0</v>
      </c>
      <c r="Q30" s="92">
        <f t="shared" ca="1" si="5"/>
        <v>7532.49</v>
      </c>
      <c r="R30" s="93">
        <f t="shared" ca="1" si="13"/>
        <v>2.7900000000000001E-2</v>
      </c>
      <c r="S30" s="62">
        <v>0</v>
      </c>
      <c r="T30" s="80">
        <f t="shared" ca="1" si="8"/>
        <v>7532.49</v>
      </c>
      <c r="U30" s="93">
        <f t="shared" ca="1" si="14"/>
        <v>2.7900000000000001E-2</v>
      </c>
    </row>
    <row r="31" spans="2:23" ht="15" customHeight="1" x14ac:dyDescent="0.25">
      <c r="B31" s="110">
        <v>18</v>
      </c>
      <c r="C31" s="571" t="s">
        <v>925</v>
      </c>
      <c r="D31" s="572"/>
      <c r="E31" s="147">
        <f ca="1">MO!M100</f>
        <v>5221.4799999999996</v>
      </c>
      <c r="F31" s="147">
        <v>0</v>
      </c>
      <c r="G31" s="147">
        <v>0</v>
      </c>
      <c r="H31" s="148">
        <v>0</v>
      </c>
      <c r="I31" s="148">
        <v>0</v>
      </c>
      <c r="J31" s="148">
        <v>0</v>
      </c>
      <c r="K31" s="148">
        <f ca="1">SUM(E31:J31)</f>
        <v>5221.4799999999996</v>
      </c>
      <c r="L31" s="228">
        <f t="shared" ca="1" si="9"/>
        <v>4.225148220612248E-2</v>
      </c>
      <c r="M31" s="180">
        <f t="shared" ca="1" si="10"/>
        <v>2250.34</v>
      </c>
      <c r="N31" s="180">
        <f t="shared" ca="1" si="11"/>
        <v>3242.73</v>
      </c>
      <c r="O31" s="180">
        <f t="shared" ca="1" si="12"/>
        <v>698.34</v>
      </c>
      <c r="P31" s="179">
        <v>0</v>
      </c>
      <c r="Q31" s="92">
        <f t="shared" ca="1" si="5"/>
        <v>11412.89</v>
      </c>
      <c r="R31" s="93">
        <f t="shared" ca="1" si="13"/>
        <v>4.2299999999999997E-2</v>
      </c>
      <c r="S31" s="62">
        <v>0</v>
      </c>
      <c r="T31" s="80">
        <f ca="1">Q31-S31</f>
        <v>11412.89</v>
      </c>
      <c r="U31" s="93">
        <f t="shared" ca="1" si="14"/>
        <v>4.2299999999999997E-2</v>
      </c>
      <c r="W31" s="322"/>
    </row>
    <row r="32" spans="2:23" ht="15" customHeight="1" x14ac:dyDescent="0.25">
      <c r="B32" s="110">
        <v>19</v>
      </c>
      <c r="C32" s="571" t="s">
        <v>1187</v>
      </c>
      <c r="D32" s="572"/>
      <c r="E32" s="147">
        <f ca="1">MO!M103</f>
        <v>3638.9900000000002</v>
      </c>
      <c r="F32" s="147">
        <v>0</v>
      </c>
      <c r="G32" s="147">
        <v>0</v>
      </c>
      <c r="H32" s="148">
        <v>0</v>
      </c>
      <c r="I32" s="148">
        <v>0</v>
      </c>
      <c r="J32" s="148">
        <v>0</v>
      </c>
      <c r="K32" s="148">
        <f t="shared" ref="K32:K35" ca="1" si="15">SUM(E32:J32)</f>
        <v>3638.9900000000002</v>
      </c>
      <c r="L32" s="228">
        <f t="shared" ref="L32:L35" ca="1" si="16">K32/$K$37</f>
        <v>2.9446195567781101E-2</v>
      </c>
      <c r="M32" s="180">
        <f t="shared" ca="1" si="10"/>
        <v>1568.32</v>
      </c>
      <c r="N32" s="180">
        <f t="shared" ca="1" si="11"/>
        <v>2259.9499999999998</v>
      </c>
      <c r="O32" s="180">
        <f t="shared" ca="1" si="12"/>
        <v>486.69</v>
      </c>
      <c r="P32" s="179"/>
      <c r="Q32" s="92">
        <f t="shared" ca="1" si="5"/>
        <v>7953.9499999999989</v>
      </c>
      <c r="R32" s="93">
        <f t="shared" ca="1" si="13"/>
        <v>2.9399999999999999E-2</v>
      </c>
      <c r="S32" s="62"/>
      <c r="T32" s="80"/>
      <c r="U32" s="93"/>
      <c r="W32" s="322"/>
    </row>
    <row r="33" spans="2:24" ht="15" customHeight="1" x14ac:dyDescent="0.25">
      <c r="B33" s="110">
        <v>20</v>
      </c>
      <c r="C33" s="571" t="s">
        <v>1211</v>
      </c>
      <c r="D33" s="572"/>
      <c r="E33" s="147">
        <f ca="1">MO!M108</f>
        <v>1027.83</v>
      </c>
      <c r="F33" s="147">
        <v>0</v>
      </c>
      <c r="G33" s="147">
        <v>0</v>
      </c>
      <c r="H33" s="148">
        <v>0</v>
      </c>
      <c r="I33" s="148">
        <v>0</v>
      </c>
      <c r="J33" s="148">
        <v>0</v>
      </c>
      <c r="K33" s="148">
        <f t="shared" ref="K33" ca="1" si="17">SUM(E33:J33)</f>
        <v>1027.83</v>
      </c>
      <c r="L33" s="228">
        <f t="shared" ca="1" si="16"/>
        <v>8.3170558837568787E-3</v>
      </c>
      <c r="M33" s="180">
        <f t="shared" ca="1" si="10"/>
        <v>442.97</v>
      </c>
      <c r="N33" s="180">
        <f t="shared" ca="1" si="11"/>
        <v>638.32000000000005</v>
      </c>
      <c r="O33" s="180">
        <f t="shared" ca="1" si="12"/>
        <v>137.46</v>
      </c>
      <c r="P33" s="179"/>
      <c r="Q33" s="92">
        <f t="shared" ref="Q33" ca="1" si="18">K33+SUM(M33:P33)</f>
        <v>2246.58</v>
      </c>
      <c r="R33" s="93">
        <f t="shared" ca="1" si="13"/>
        <v>8.3000000000000001E-3</v>
      </c>
      <c r="S33" s="62"/>
      <c r="T33" s="80"/>
      <c r="U33" s="93"/>
      <c r="W33" s="322"/>
    </row>
    <row r="34" spans="2:24" ht="15" customHeight="1" x14ac:dyDescent="0.25">
      <c r="B34" s="110">
        <v>21</v>
      </c>
      <c r="C34" s="571" t="s">
        <v>1188</v>
      </c>
      <c r="D34" s="572"/>
      <c r="E34" s="147">
        <f ca="1">MO!M111</f>
        <v>9256.9</v>
      </c>
      <c r="F34" s="147">
        <v>0</v>
      </c>
      <c r="G34" s="147">
        <v>0</v>
      </c>
      <c r="H34" s="148">
        <v>0</v>
      </c>
      <c r="I34" s="148">
        <v>0</v>
      </c>
      <c r="J34" s="148">
        <v>0</v>
      </c>
      <c r="K34" s="148">
        <f t="shared" ca="1" si="15"/>
        <v>9256.9</v>
      </c>
      <c r="L34" s="228">
        <f t="shared" ca="1" si="16"/>
        <v>7.4905533609983227E-2</v>
      </c>
      <c r="M34" s="180">
        <f t="shared" ca="1" si="10"/>
        <v>3989.52</v>
      </c>
      <c r="N34" s="180">
        <f t="shared" ca="1" si="11"/>
        <v>5748.88</v>
      </c>
      <c r="O34" s="180">
        <f t="shared" ca="1" si="12"/>
        <v>1238.05</v>
      </c>
      <c r="P34" s="179"/>
      <c r="Q34" s="92">
        <f t="shared" ca="1" si="5"/>
        <v>20233.349999999999</v>
      </c>
      <c r="R34" s="93">
        <f t="shared" ca="1" si="13"/>
        <v>7.4899999999999994E-2</v>
      </c>
      <c r="S34" s="62"/>
      <c r="T34" s="80"/>
      <c r="U34" s="93"/>
      <c r="W34" s="322"/>
    </row>
    <row r="35" spans="2:24" ht="15" customHeight="1" x14ac:dyDescent="0.25">
      <c r="B35" s="110">
        <v>22</v>
      </c>
      <c r="C35" s="571" t="s">
        <v>1191</v>
      </c>
      <c r="D35" s="572"/>
      <c r="E35" s="147">
        <f ca="1">MO!M116</f>
        <v>885.29</v>
      </c>
      <c r="F35" s="147">
        <v>0</v>
      </c>
      <c r="G35" s="147">
        <v>0</v>
      </c>
      <c r="H35" s="148">
        <v>0</v>
      </c>
      <c r="I35" s="148">
        <v>0</v>
      </c>
      <c r="J35" s="148">
        <v>0</v>
      </c>
      <c r="K35" s="148">
        <f t="shared" ca="1" si="15"/>
        <v>885.29</v>
      </c>
      <c r="L35" s="228">
        <f t="shared" ca="1" si="16"/>
        <v>7.1636422397975616E-3</v>
      </c>
      <c r="M35" s="180">
        <f t="shared" ca="1" si="10"/>
        <v>381.54</v>
      </c>
      <c r="N35" s="180">
        <f t="shared" ca="1" si="11"/>
        <v>549.79</v>
      </c>
      <c r="O35" s="180">
        <f t="shared" ca="1" si="12"/>
        <v>118.4</v>
      </c>
      <c r="P35" s="179"/>
      <c r="Q35" s="92">
        <f t="shared" ca="1" si="5"/>
        <v>1935.02</v>
      </c>
      <c r="R35" s="93">
        <f t="shared" ca="1" si="13"/>
        <v>7.1999999999999998E-3</v>
      </c>
      <c r="S35" s="62"/>
      <c r="T35" s="80"/>
      <c r="U35" s="93"/>
      <c r="W35" s="322"/>
    </row>
    <row r="36" spans="2:24" ht="15" customHeight="1" x14ac:dyDescent="0.25">
      <c r="B36" s="110">
        <v>23</v>
      </c>
      <c r="C36" s="571" t="s">
        <v>1105</v>
      </c>
      <c r="D36" s="572"/>
      <c r="E36" s="147">
        <f ca="1">MO!M118</f>
        <v>19975.190000000002</v>
      </c>
      <c r="F36" s="147">
        <v>0</v>
      </c>
      <c r="G36" s="147">
        <v>0</v>
      </c>
      <c r="H36" s="148">
        <v>0</v>
      </c>
      <c r="I36" s="148">
        <v>0</v>
      </c>
      <c r="J36" s="148">
        <v>0</v>
      </c>
      <c r="K36" s="148">
        <f ca="1">SUM(E36:J36)</f>
        <v>19975.190000000002</v>
      </c>
      <c r="L36" s="228">
        <f ca="1">K36/$K$37</f>
        <v>0.16163642968064915</v>
      </c>
      <c r="M36" s="180">
        <f t="shared" ca="1" si="10"/>
        <v>8608.8700000000008</v>
      </c>
      <c r="N36" s="180">
        <f t="shared" ca="1" si="11"/>
        <v>12405.34</v>
      </c>
      <c r="O36" s="180">
        <f t="shared" ca="1" si="12"/>
        <v>2671.56</v>
      </c>
      <c r="P36" s="179"/>
      <c r="Q36" s="92">
        <f t="shared" ca="1" si="5"/>
        <v>43660.960000000006</v>
      </c>
      <c r="R36" s="93">
        <f t="shared" ca="1" si="13"/>
        <v>0.16159999999999999</v>
      </c>
      <c r="S36" s="62"/>
      <c r="T36" s="80"/>
      <c r="U36" s="93"/>
      <c r="W36" s="323"/>
      <c r="X36" s="323"/>
    </row>
    <row r="37" spans="2:24" ht="15" customHeight="1" x14ac:dyDescent="0.25">
      <c r="B37" s="116"/>
      <c r="C37" s="117"/>
      <c r="D37" s="139" t="s">
        <v>329</v>
      </c>
      <c r="E37" s="140">
        <f t="shared" ref="E37:L37" ca="1" si="19">SUM(E14:E36)</f>
        <v>107091.16</v>
      </c>
      <c r="F37" s="140">
        <f t="shared" ca="1" si="19"/>
        <v>1531.6399999999999</v>
      </c>
      <c r="G37" s="140">
        <f t="shared" ca="1" si="19"/>
        <v>7267.9299999999994</v>
      </c>
      <c r="H37" s="140">
        <f t="shared" si="19"/>
        <v>3000</v>
      </c>
      <c r="I37" s="140">
        <f t="shared" si="19"/>
        <v>844.12</v>
      </c>
      <c r="J37" s="140">
        <f t="shared" ca="1" si="19"/>
        <v>3846.14</v>
      </c>
      <c r="K37" s="140">
        <f t="shared" ca="1" si="19"/>
        <v>123580.98999999999</v>
      </c>
      <c r="L37" s="141">
        <f t="shared" ca="1" si="19"/>
        <v>1.0000000000000002</v>
      </c>
      <c r="M37" s="142">
        <f>'Inst + diversos'!M30</f>
        <v>53260.72</v>
      </c>
      <c r="N37" s="142">
        <f ca="1">MO!M14+'Diárias + passagens'!L15</f>
        <v>76748.460000000006</v>
      </c>
      <c r="O37" s="142">
        <f ca="1">MO!M16+Veículos!I15+'Diárias + passagens'!L17+'Mob desmob equip rod'!Q16</f>
        <v>16528.25</v>
      </c>
      <c r="P37" s="142">
        <v>0</v>
      </c>
      <c r="Q37" s="140">
        <f ca="1">SUM(Q14:Q36)</f>
        <v>270118.42</v>
      </c>
      <c r="R37" s="141">
        <v>1</v>
      </c>
      <c r="S37" s="142">
        <f ca="1">ROUND(Q37*0,2)</f>
        <v>0</v>
      </c>
      <c r="T37" s="140">
        <f ca="1">SUM(T14:T31)</f>
        <v>173923.07</v>
      </c>
      <c r="U37" s="141">
        <f ca="1">SUM(U14:U31)</f>
        <v>0.64390000000000003</v>
      </c>
      <c r="W37" s="323"/>
    </row>
    <row r="38" spans="2:24" ht="9" customHeight="1" x14ac:dyDescent="0.25"/>
    <row r="39" spans="2:24" ht="15" hidden="1" customHeight="1" x14ac:dyDescent="0.25">
      <c r="T39" s="91"/>
    </row>
    <row r="40" spans="2:24" ht="15" hidden="1" customHeight="1" x14ac:dyDescent="0.25"/>
    <row r="41" spans="2:24" ht="15" hidden="1" customHeight="1" x14ac:dyDescent="0.25"/>
    <row r="42" spans="2:24" ht="15" hidden="1" customHeight="1" x14ac:dyDescent="0.25"/>
    <row r="43" spans="2:24" ht="15" hidden="1" customHeight="1" x14ac:dyDescent="0.25"/>
    <row r="44" spans="2:24" ht="15" hidden="1" customHeight="1" x14ac:dyDescent="0.25"/>
    <row r="45" spans="2:24" ht="15" customHeight="1" x14ac:dyDescent="0.25">
      <c r="K45" s="91"/>
      <c r="M45" s="305"/>
      <c r="N45" s="273"/>
      <c r="Q45" s="91"/>
      <c r="R45" s="91"/>
    </row>
  </sheetData>
  <mergeCells count="40">
    <mergeCell ref="C36:D36"/>
    <mergeCell ref="C4:U4"/>
    <mergeCell ref="T12:U12"/>
    <mergeCell ref="B10:U10"/>
    <mergeCell ref="M12:M13"/>
    <mergeCell ref="N12:N13"/>
    <mergeCell ref="O12:O13"/>
    <mergeCell ref="P12:P13"/>
    <mergeCell ref="Q12:R12"/>
    <mergeCell ref="B12:B13"/>
    <mergeCell ref="C12:D13"/>
    <mergeCell ref="E12:E13"/>
    <mergeCell ref="K12:L12"/>
    <mergeCell ref="F12:F13"/>
    <mergeCell ref="G12:G13"/>
    <mergeCell ref="H12:H13"/>
    <mergeCell ref="I12:I13"/>
    <mergeCell ref="J12:J13"/>
    <mergeCell ref="C25:D25"/>
    <mergeCell ref="C14:D14"/>
    <mergeCell ref="C16:D16"/>
    <mergeCell ref="C17:D17"/>
    <mergeCell ref="C18:D18"/>
    <mergeCell ref="C15:D15"/>
    <mergeCell ref="C19:D19"/>
    <mergeCell ref="C20:D20"/>
    <mergeCell ref="C22:D22"/>
    <mergeCell ref="C23:D23"/>
    <mergeCell ref="C24:D24"/>
    <mergeCell ref="C21:D21"/>
    <mergeCell ref="C29:D29"/>
    <mergeCell ref="C30:D30"/>
    <mergeCell ref="C26:D26"/>
    <mergeCell ref="C27:D27"/>
    <mergeCell ref="C28:D28"/>
    <mergeCell ref="C32:D32"/>
    <mergeCell ref="C34:D34"/>
    <mergeCell ref="C35:D35"/>
    <mergeCell ref="C33:D33"/>
    <mergeCell ref="C31:D31"/>
  </mergeCells>
  <printOptions horizontalCentered="1"/>
  <pageMargins left="0.78740157480314965" right="0.78740157480314965" top="0.39370078740157483" bottom="0.78740157480314965" header="0.19685039370078741" footer="0.19685039370078741"/>
  <pageSetup paperSize="9" scale="60" fitToHeight="0" orientation="landscape" r:id="rId1"/>
  <headerFooter>
    <oddFooter xml:space="preserve">&amp;C&amp;10Av. Des. José Nunes da Cunha, Bloco 14, Parque dos Poderes, Campo Grande (MS), CEP 79031-310
PABX: (67) 3318-5300/ Gab: 5538 – Fax (67) 3318-5386 – gabinete@seinfra.ms.gov.br
</oddFooter>
  </headerFooter>
  <ignoredErrors>
    <ignoredError sqref="Q14 T14"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7">
    <pageSetUpPr fitToPage="1"/>
  </sheetPr>
  <dimension ref="A1:N131"/>
  <sheetViews>
    <sheetView showGridLines="0" view="pageBreakPreview" zoomScaleNormal="100" zoomScaleSheetLayoutView="100" workbookViewId="0">
      <pane ySplit="12" topLeftCell="A107" activePane="bottomLeft" state="frozen"/>
      <selection pane="bottomLeft" activeCell="B68" sqref="B68:M72"/>
    </sheetView>
  </sheetViews>
  <sheetFormatPr defaultColWidth="0" defaultRowHeight="15" customHeight="1" x14ac:dyDescent="0.25"/>
  <cols>
    <col min="1" max="1" width="1.7109375" style="2" customWidth="1"/>
    <col min="2" max="2" width="9.85546875" style="2" bestFit="1" customWidth="1"/>
    <col min="3" max="3" width="7.28515625" style="2" customWidth="1"/>
    <col min="4" max="4" width="28.7109375" style="2" customWidth="1"/>
    <col min="5" max="5" width="8.7109375" style="2" customWidth="1"/>
    <col min="6" max="6" width="8.28515625" style="2" bestFit="1" customWidth="1"/>
    <col min="7" max="7" width="9.7109375" style="2" bestFit="1" customWidth="1"/>
    <col min="8" max="8" width="8" style="2" bestFit="1" customWidth="1"/>
    <col min="9" max="9" width="14.140625" style="2" bestFit="1" customWidth="1"/>
    <col min="10" max="10" width="10.28515625" style="2" bestFit="1" customWidth="1"/>
    <col min="11" max="11" width="9.7109375" style="2" bestFit="1" customWidth="1"/>
    <col min="12" max="12" width="14.7109375" style="2" bestFit="1" customWidth="1"/>
    <col min="13" max="13" width="16.28515625" style="2" bestFit="1" customWidth="1"/>
    <col min="14" max="14" width="1.7109375" style="2" customWidth="1"/>
    <col min="15" max="16384" width="9.140625" style="2" hidden="1"/>
  </cols>
  <sheetData>
    <row r="1" spans="2:13" ht="9" customHeight="1" x14ac:dyDescent="0.25"/>
    <row r="2" spans="2:13" ht="34.5" customHeight="1" x14ac:dyDescent="0.25"/>
    <row r="3" spans="2:13" ht="26.25" customHeight="1" x14ac:dyDescent="0.25"/>
    <row r="4" spans="2:13" x14ac:dyDescent="0.25">
      <c r="B4" s="23" t="s">
        <v>0</v>
      </c>
      <c r="C4" s="548" t="str">
        <f>'Qd abrang'!C4</f>
        <v>Contratação de Projeto Executivo de Engenharia para Implantação do Aeródromo no município de Nova Andradina</v>
      </c>
      <c r="D4" s="548"/>
      <c r="E4" s="548"/>
      <c r="F4" s="548"/>
      <c r="G4" s="548"/>
      <c r="H4" s="548"/>
      <c r="I4" s="548"/>
      <c r="J4" s="548"/>
      <c r="K4" s="548"/>
      <c r="L4" s="548"/>
      <c r="M4" s="548"/>
    </row>
    <row r="5" spans="2:13" x14ac:dyDescent="0.25">
      <c r="B5" s="5" t="s">
        <v>862</v>
      </c>
      <c r="C5" s="1" t="str">
        <f>'Qd abrang'!C5</f>
        <v>Nova Andradina/MS</v>
      </c>
    </row>
    <row r="6" spans="2:13" x14ac:dyDescent="0.25">
      <c r="B6" s="5" t="s">
        <v>863</v>
      </c>
      <c r="C6" s="1" t="str">
        <f>'Qd abrang'!C6</f>
        <v>Nova Andradina/MS</v>
      </c>
    </row>
    <row r="7" spans="2:13" x14ac:dyDescent="0.25">
      <c r="B7" s="5" t="s">
        <v>1</v>
      </c>
      <c r="C7" s="239">
        <f>'Qd abrang'!C7</f>
        <v>1.7</v>
      </c>
      <c r="D7" s="2" t="s">
        <v>3</v>
      </c>
      <c r="E7" s="2" t="s">
        <v>1131</v>
      </c>
      <c r="L7" s="5" t="s">
        <v>16</v>
      </c>
      <c r="M7" s="6" t="str">
        <f>'Qd abrang'!N7</f>
        <v>79.010.182-2025</v>
      </c>
    </row>
    <row r="8" spans="2:13" x14ac:dyDescent="0.25">
      <c r="B8" s="5" t="s">
        <v>2</v>
      </c>
      <c r="C8" s="264">
        <f>'Qd abrang'!C8</f>
        <v>365</v>
      </c>
      <c r="D8" s="2" t="s">
        <v>4</v>
      </c>
      <c r="L8" s="5" t="s">
        <v>17</v>
      </c>
      <c r="M8" s="265">
        <f>'Qd abrang'!N8</f>
        <v>45748</v>
      </c>
    </row>
    <row r="9" spans="2:13" ht="8.25" customHeight="1" x14ac:dyDescent="0.25"/>
    <row r="10" spans="2:13" s="11" customFormat="1" ht="21" x14ac:dyDescent="0.25">
      <c r="B10" s="547" t="s">
        <v>23</v>
      </c>
      <c r="C10" s="547"/>
      <c r="D10" s="547"/>
      <c r="E10" s="547"/>
      <c r="F10" s="547"/>
      <c r="G10" s="547"/>
      <c r="H10" s="547"/>
      <c r="I10" s="547"/>
      <c r="J10" s="547"/>
      <c r="K10" s="547"/>
      <c r="L10" s="547"/>
      <c r="M10" s="547"/>
    </row>
    <row r="11" spans="2:13" ht="6.75" customHeight="1" x14ac:dyDescent="0.25">
      <c r="M11" s="91"/>
    </row>
    <row r="12" spans="2:13" ht="30" customHeight="1" x14ac:dyDescent="0.25">
      <c r="B12" s="562" t="s">
        <v>29</v>
      </c>
      <c r="C12" s="564" t="s">
        <v>15</v>
      </c>
      <c r="D12" s="565"/>
      <c r="E12" s="562" t="s">
        <v>390</v>
      </c>
      <c r="F12" s="120" t="s">
        <v>391</v>
      </c>
      <c r="G12" s="120" t="s">
        <v>392</v>
      </c>
      <c r="H12" s="120" t="s">
        <v>393</v>
      </c>
      <c r="I12" s="120" t="s">
        <v>325</v>
      </c>
      <c r="J12" s="120" t="s">
        <v>326</v>
      </c>
      <c r="K12" s="120" t="s">
        <v>394</v>
      </c>
      <c r="L12" s="120" t="s">
        <v>395</v>
      </c>
      <c r="M12" s="120" t="s">
        <v>396</v>
      </c>
    </row>
    <row r="13" spans="2:13" s="248" customFormat="1" ht="15" customHeight="1" x14ac:dyDescent="0.25">
      <c r="B13" s="562"/>
      <c r="C13" s="564"/>
      <c r="D13" s="565"/>
      <c r="E13" s="562"/>
      <c r="F13" s="247" t="s">
        <v>330</v>
      </c>
      <c r="G13" s="247" t="s">
        <v>331</v>
      </c>
      <c r="H13" s="247" t="s">
        <v>332</v>
      </c>
      <c r="I13" s="247" t="s">
        <v>333</v>
      </c>
      <c r="J13" s="247" t="s">
        <v>334</v>
      </c>
      <c r="K13" s="247" t="s">
        <v>335</v>
      </c>
      <c r="L13" s="247" t="s">
        <v>336</v>
      </c>
      <c r="M13" s="247" t="s">
        <v>337</v>
      </c>
    </row>
    <row r="14" spans="2:13" s="21" customFormat="1" ht="15" customHeight="1" x14ac:dyDescent="0.25">
      <c r="B14" s="244" t="s">
        <v>397</v>
      </c>
      <c r="C14" s="12"/>
      <c r="D14" s="12"/>
      <c r="E14" s="12"/>
      <c r="F14" s="12"/>
      <c r="G14" s="12"/>
      <c r="H14" s="12"/>
      <c r="I14" s="12"/>
      <c r="J14" s="12"/>
      <c r="K14" s="12"/>
      <c r="L14" s="12"/>
      <c r="M14" s="47">
        <f ca="1">M15</f>
        <v>75873.460000000006</v>
      </c>
    </row>
    <row r="15" spans="2:13" s="21" customFormat="1" ht="15" customHeight="1" x14ac:dyDescent="0.25">
      <c r="B15" s="110" t="str">
        <f>'Memo calc'!B1635</f>
        <v>P8061</v>
      </c>
      <c r="C15" s="581" t="str">
        <f ca="1">IFERROR(VLOOKUP(B15,MO_Matriz,2,0),"")</f>
        <v>Engenheiro coordenador</v>
      </c>
      <c r="D15" s="582" t="str">
        <f ca="1">IFERROR(VLOOKUP(C15,MO_Matriz,2,0),"")</f>
        <v/>
      </c>
      <c r="E15" s="110" t="str">
        <f ca="1">IFERROR(VLOOKUP(B15,MO_Matriz,3,0),"")</f>
        <v>S</v>
      </c>
      <c r="F15" s="110">
        <f>'Memo calc'!H1635</f>
        <v>1</v>
      </c>
      <c r="G15" s="110">
        <f>'Memo calc'!I1635</f>
        <v>1</v>
      </c>
      <c r="H15" s="245">
        <f>'Memo calc'!K1635</f>
        <v>3.6666666666666665</v>
      </c>
      <c r="I15" s="246">
        <f>'Memo calc'!M1635</f>
        <v>129.42857142857142</v>
      </c>
      <c r="J15" s="246">
        <f>F15*G15*H15*I15</f>
        <v>474.5714285714285</v>
      </c>
      <c r="K15" s="246">
        <f>J15/220</f>
        <v>2.157142857142857</v>
      </c>
      <c r="L15" s="146">
        <f ca="1">IFERROR(VLOOKUP(B15,MO_Matriz,5,0),"")</f>
        <v>35173.129999999997</v>
      </c>
      <c r="M15" s="146">
        <f ca="1">TRUNC(K15*L15,2)</f>
        <v>75873.460000000006</v>
      </c>
    </row>
    <row r="16" spans="2:13" s="21" customFormat="1" ht="15" customHeight="1" x14ac:dyDescent="0.25">
      <c r="B16" s="244" t="s">
        <v>398</v>
      </c>
      <c r="C16" s="12"/>
      <c r="D16" s="12"/>
      <c r="E16" s="12"/>
      <c r="F16" s="12"/>
      <c r="G16" s="12"/>
      <c r="H16" s="12"/>
      <c r="I16" s="12"/>
      <c r="J16" s="12"/>
      <c r="K16" s="12"/>
      <c r="L16" s="12"/>
      <c r="M16" s="47">
        <f ca="1">SUM(M17:M18)</f>
        <v>9849.75</v>
      </c>
    </row>
    <row r="17" spans="2:13" s="21" customFormat="1" ht="15" customHeight="1" x14ac:dyDescent="0.25">
      <c r="B17" s="110" t="str">
        <f>'Memo calc'!B1081</f>
        <v>P8061</v>
      </c>
      <c r="C17" s="581" t="str">
        <f ca="1">IFERROR(VLOOKUP(B17,MO_Matriz,2,0),"")</f>
        <v>Engenheiro coordenador</v>
      </c>
      <c r="D17" s="582" t="str">
        <f ca="1">IFERROR(VLOOKUP(C17,MO_Matriz,2,0),"")</f>
        <v/>
      </c>
      <c r="E17" s="110" t="str">
        <f ca="1">IFERROR(VLOOKUP(B17,MO_Matriz,3,0),"")</f>
        <v>S</v>
      </c>
      <c r="F17" s="110">
        <f>'Memo calc'!H1081</f>
        <v>1</v>
      </c>
      <c r="G17" s="110">
        <f>'Memo calc'!I1081</f>
        <v>1</v>
      </c>
      <c r="H17" s="245">
        <f>'Memo calc'!K1081</f>
        <v>7.333333333333333</v>
      </c>
      <c r="I17" s="246">
        <f>'Memo calc'!M1081</f>
        <v>7</v>
      </c>
      <c r="J17" s="246">
        <f>F17*G17*H17*I17</f>
        <v>51.333333333333329</v>
      </c>
      <c r="K17" s="246">
        <f>J17/220</f>
        <v>0.23333333333333331</v>
      </c>
      <c r="L17" s="146">
        <f ca="1">IFERROR(VLOOKUP(B17,MO_Matriz,5,0),"")</f>
        <v>35173.129999999997</v>
      </c>
      <c r="M17" s="146">
        <f ca="1">TRUNC(K17*L17,2)</f>
        <v>8207.06</v>
      </c>
    </row>
    <row r="18" spans="2:13" s="21" customFormat="1" ht="15" customHeight="1" x14ac:dyDescent="0.25">
      <c r="B18" s="110" t="str">
        <f>'Memo calc'!B1082</f>
        <v>P8147</v>
      </c>
      <c r="C18" s="581" t="str">
        <f ca="1">IFERROR(VLOOKUP(B18,MO_Matriz,2,0),"")</f>
        <v>Técnico de obras</v>
      </c>
      <c r="D18" s="582" t="str">
        <f ca="1">IFERROR(VLOOKUP(C18,MO_Matriz,2,0),"")</f>
        <v/>
      </c>
      <c r="E18" s="110" t="str">
        <f ca="1">IFERROR(VLOOKUP(B18,MO_Matriz,3,0),"")</f>
        <v>T</v>
      </c>
      <c r="F18" s="110">
        <f>'Memo calc'!H1082</f>
        <v>1</v>
      </c>
      <c r="G18" s="110">
        <f>'Memo calc'!I1082</f>
        <v>1</v>
      </c>
      <c r="H18" s="245">
        <f>'Memo calc'!K1082</f>
        <v>7.333333333333333</v>
      </c>
      <c r="I18" s="246">
        <f>'Memo calc'!M1082</f>
        <v>7</v>
      </c>
      <c r="J18" s="246">
        <f t="shared" ref="J18" si="0">F18*G18*H18*I18</f>
        <v>51.333333333333329</v>
      </c>
      <c r="K18" s="246">
        <f t="shared" ref="K18" si="1">J18/220</f>
        <v>0.23333333333333331</v>
      </c>
      <c r="L18" s="146">
        <f ca="1">IFERROR(VLOOKUP(B18,MO_Matriz,5,0),"")</f>
        <v>7040.14</v>
      </c>
      <c r="M18" s="146">
        <f t="shared" ref="M18" ca="1" si="2">TRUNC(K18*L18,2)</f>
        <v>1642.69</v>
      </c>
    </row>
    <row r="19" spans="2:13" s="21" customFormat="1" ht="15" customHeight="1" x14ac:dyDescent="0.25">
      <c r="B19" s="244" t="s">
        <v>399</v>
      </c>
      <c r="C19" s="12"/>
      <c r="D19" s="12"/>
      <c r="E19" s="12"/>
      <c r="F19" s="12"/>
      <c r="G19" s="12"/>
      <c r="H19" s="12"/>
      <c r="I19" s="12"/>
      <c r="J19" s="12"/>
      <c r="K19" s="12"/>
      <c r="L19" s="12"/>
      <c r="M19" s="47">
        <f ca="1">SUM(M20:M21)</f>
        <v>1044.29</v>
      </c>
    </row>
    <row r="20" spans="2:13" s="21" customFormat="1" ht="15" customHeight="1" x14ac:dyDescent="0.25">
      <c r="B20" s="110" t="str">
        <f>'Memo calc'!B29</f>
        <v>P8065</v>
      </c>
      <c r="C20" s="581" t="str">
        <f ca="1">IFERROR(VLOOKUP(B20,MO_Matriz,2,0),"")</f>
        <v>Engenheiro de projetos júnior</v>
      </c>
      <c r="D20" s="582" t="str">
        <f ca="1">IFERROR(VLOOKUP(C20,MO_Matriz,2,0),"")</f>
        <v/>
      </c>
      <c r="E20" s="110" t="str">
        <f ca="1">IFERROR(VLOOKUP(B20,MO_Matriz,3,0),"")</f>
        <v>S</v>
      </c>
      <c r="F20" s="110">
        <f>'Memo calc'!I29</f>
        <v>1</v>
      </c>
      <c r="G20" s="110">
        <f>'Memo calc'!K29</f>
        <v>1</v>
      </c>
      <c r="H20" s="245">
        <f>'Memo calc'!N29</f>
        <v>7.333333333333333</v>
      </c>
      <c r="I20" s="246">
        <f>'Memo calc'!Q29</f>
        <v>1</v>
      </c>
      <c r="J20" s="246">
        <f>F20*G20*H20*I20</f>
        <v>7.333333333333333</v>
      </c>
      <c r="K20" s="246">
        <f>J20/220</f>
        <v>3.3333333333333333E-2</v>
      </c>
      <c r="L20" s="146">
        <f ca="1">IFERROR(VLOOKUP(B20,MO_Matriz,5,0),"")</f>
        <v>24288.81</v>
      </c>
      <c r="M20" s="146">
        <f ca="1">TRUNC(K20*L20,2)</f>
        <v>809.62</v>
      </c>
    </row>
    <row r="21" spans="2:13" s="21" customFormat="1" ht="15" customHeight="1" x14ac:dyDescent="0.25">
      <c r="B21" s="110" t="str">
        <f>'Memo calc'!B30</f>
        <v>P8147</v>
      </c>
      <c r="C21" s="581" t="str">
        <f ca="1">IFERROR(VLOOKUP(B21,MO_Matriz,2,0),"")</f>
        <v>Técnico de obras</v>
      </c>
      <c r="D21" s="582" t="str">
        <f ca="1">IFERROR(VLOOKUP(C21,MO_Matriz,2,0),"")</f>
        <v/>
      </c>
      <c r="E21" s="110" t="str">
        <f ca="1">IFERROR(VLOOKUP(B21,MO_Matriz,3,0),"")</f>
        <v>T</v>
      </c>
      <c r="F21" s="110">
        <f>'Memo calc'!I30</f>
        <v>1</v>
      </c>
      <c r="G21" s="110">
        <f>'Memo calc'!K30</f>
        <v>1</v>
      </c>
      <c r="H21" s="245">
        <f>'Memo calc'!N30</f>
        <v>7.333333333333333</v>
      </c>
      <c r="I21" s="246">
        <f>'Memo calc'!Q30</f>
        <v>1</v>
      </c>
      <c r="J21" s="246">
        <f>F21*G21*H21*I21</f>
        <v>7.333333333333333</v>
      </c>
      <c r="K21" s="246">
        <f>J21/220</f>
        <v>3.3333333333333333E-2</v>
      </c>
      <c r="L21" s="146">
        <f ca="1">IFERROR(VLOOKUP(B21,MO_Matriz,5,0),"")</f>
        <v>7040.14</v>
      </c>
      <c r="M21" s="146">
        <f ca="1">TRUNC(K21*L21,2)</f>
        <v>234.67</v>
      </c>
    </row>
    <row r="22" spans="2:13" s="21" customFormat="1" ht="15" customHeight="1" x14ac:dyDescent="0.25">
      <c r="B22" s="244" t="s">
        <v>732</v>
      </c>
      <c r="C22" s="12"/>
      <c r="D22" s="12"/>
      <c r="E22" s="12"/>
      <c r="F22" s="12"/>
      <c r="G22" s="12"/>
      <c r="H22" s="12"/>
      <c r="I22" s="12"/>
      <c r="J22" s="12"/>
      <c r="K22" s="12"/>
      <c r="L22" s="12"/>
      <c r="M22" s="47">
        <f ca="1">SUM(M23:M24)</f>
        <v>3083.52</v>
      </c>
    </row>
    <row r="23" spans="2:13" s="21" customFormat="1" ht="15" customHeight="1" x14ac:dyDescent="0.25">
      <c r="B23" s="110" t="str">
        <f>'Memo calc'!B80</f>
        <v>P8058</v>
      </c>
      <c r="C23" s="581" t="str">
        <f t="shared" ref="C23:D24" ca="1" si="3">IFERROR(VLOOKUP(B23,MO_Matriz,2,0),"")</f>
        <v>Engenheiro ambiental pleno</v>
      </c>
      <c r="D23" s="582" t="str">
        <f t="shared" ca="1" si="3"/>
        <v/>
      </c>
      <c r="E23" s="110" t="str">
        <f ca="1">IFERROR(VLOOKUP(B23,MO_Matriz,3,0),"")</f>
        <v>S</v>
      </c>
      <c r="F23" s="110">
        <f>'Memo calc'!H80</f>
        <v>1</v>
      </c>
      <c r="G23" s="110">
        <f>'Memo calc'!J80</f>
        <v>1</v>
      </c>
      <c r="H23" s="245">
        <f>'Memo calc'!M80</f>
        <v>7.333333333333333</v>
      </c>
      <c r="I23" s="246">
        <f>'Memo calc'!O80</f>
        <v>3</v>
      </c>
      <c r="J23" s="246">
        <f>F23*G23*H23*I23</f>
        <v>22</v>
      </c>
      <c r="K23" s="246">
        <f>J23/220</f>
        <v>0.1</v>
      </c>
      <c r="L23" s="146">
        <f ca="1">IFERROR(VLOOKUP(B23,MO_Matriz,5,0),"")</f>
        <v>26558.86</v>
      </c>
      <c r="M23" s="146">
        <f ca="1">TRUNC(K23*L23,2)</f>
        <v>2655.88</v>
      </c>
    </row>
    <row r="24" spans="2:13" s="21" customFormat="1" ht="15" customHeight="1" x14ac:dyDescent="0.25">
      <c r="B24" s="110" t="str">
        <f>'Memo calc'!B81</f>
        <v>P8025</v>
      </c>
      <c r="C24" s="581" t="str">
        <f t="shared" ca="1" si="3"/>
        <v>Auxiliar</v>
      </c>
      <c r="D24" s="582" t="str">
        <f t="shared" ca="1" si="3"/>
        <v/>
      </c>
      <c r="E24" s="110" t="str">
        <f ca="1">IFERROR(VLOOKUP(B24,MO_Matriz,3,0),"")</f>
        <v>A</v>
      </c>
      <c r="F24" s="110">
        <f>'Memo calc'!H81</f>
        <v>1</v>
      </c>
      <c r="G24" s="110">
        <f>'Memo calc'!J81</f>
        <v>1</v>
      </c>
      <c r="H24" s="245">
        <f>'Memo calc'!M81</f>
        <v>7.333333333333333</v>
      </c>
      <c r="I24" s="246">
        <f>'Memo calc'!O81</f>
        <v>3</v>
      </c>
      <c r="J24" s="246">
        <f>F24*G24*H24*I24</f>
        <v>22</v>
      </c>
      <c r="K24" s="246">
        <f>J24/220</f>
        <v>0.1</v>
      </c>
      <c r="L24" s="146">
        <f ca="1">IFERROR(VLOOKUP(B24,MO_Matriz,5,0),"")</f>
        <v>4276.41</v>
      </c>
      <c r="M24" s="146">
        <f t="shared" ref="M24" ca="1" si="4">TRUNC(K24*L24,2)</f>
        <v>427.64</v>
      </c>
    </row>
    <row r="25" spans="2:13" s="21" customFormat="1" ht="15" customHeight="1" x14ac:dyDescent="0.25">
      <c r="B25" s="244" t="s">
        <v>734</v>
      </c>
      <c r="C25" s="12"/>
      <c r="D25" s="12"/>
      <c r="E25" s="12"/>
      <c r="F25" s="12"/>
      <c r="G25" s="12"/>
      <c r="H25" s="12"/>
      <c r="I25" s="12"/>
      <c r="J25" s="12"/>
      <c r="K25" s="12"/>
      <c r="L25" s="12"/>
      <c r="M25" s="47">
        <f ca="1">SUM(M26:M27)</f>
        <v>2208.25</v>
      </c>
    </row>
    <row r="26" spans="2:13" s="21" customFormat="1" ht="15" customHeight="1" x14ac:dyDescent="0.25">
      <c r="B26" s="110" t="str">
        <f>'Memo calc'!B159</f>
        <v>P8058</v>
      </c>
      <c r="C26" s="581" t="str">
        <f t="shared" ref="C26:D27" ca="1" si="5">IFERROR(VLOOKUP(B26,MO_Matriz,2,0),"")</f>
        <v>Engenheiro ambiental pleno</v>
      </c>
      <c r="D26" s="582" t="str">
        <f t="shared" ca="1" si="5"/>
        <v/>
      </c>
      <c r="E26" s="110" t="str">
        <f ca="1">IFERROR(VLOOKUP(B26,MO_Matriz,3,0),"")</f>
        <v>S</v>
      </c>
      <c r="F26" s="110">
        <f>'Memo calc'!H159</f>
        <v>1</v>
      </c>
      <c r="G26" s="110">
        <f>'Memo calc'!J159</f>
        <v>1</v>
      </c>
      <c r="H26" s="245">
        <f>'Memo calc'!L159</f>
        <v>7.333333333333333</v>
      </c>
      <c r="I26" s="246">
        <f>'Memo calc'!O159</f>
        <v>2</v>
      </c>
      <c r="J26" s="246">
        <f>F26*G26*H26*I26</f>
        <v>14.666666666666666</v>
      </c>
      <c r="K26" s="246">
        <f>J26/220</f>
        <v>6.6666666666666666E-2</v>
      </c>
      <c r="L26" s="146">
        <f ca="1">IFERROR(VLOOKUP(B26,MO_Matriz,5,0),"")</f>
        <v>26558.86</v>
      </c>
      <c r="M26" s="146">
        <f ca="1">TRUNC(K26*L26,2)</f>
        <v>1770.59</v>
      </c>
    </row>
    <row r="27" spans="2:13" s="21" customFormat="1" ht="15" customHeight="1" x14ac:dyDescent="0.25">
      <c r="B27" s="110" t="str">
        <f>'Memo calc'!B160</f>
        <v>P8143</v>
      </c>
      <c r="C27" s="581" t="str">
        <f t="shared" ca="1" si="5"/>
        <v>Técnico ambiental</v>
      </c>
      <c r="D27" s="582" t="str">
        <f t="shared" ca="1" si="5"/>
        <v/>
      </c>
      <c r="E27" s="110" t="str">
        <f ca="1">IFERROR(VLOOKUP(B27,MO_Matriz,3,0),"")</f>
        <v>T</v>
      </c>
      <c r="F27" s="110">
        <f>'Memo calc'!H160</f>
        <v>1</v>
      </c>
      <c r="G27" s="110">
        <f>'Memo calc'!J160</f>
        <v>1</v>
      </c>
      <c r="H27" s="245">
        <f>'Memo calc'!L160</f>
        <v>7.333333333333333</v>
      </c>
      <c r="I27" s="246">
        <f>'Memo calc'!O160</f>
        <v>2</v>
      </c>
      <c r="J27" s="246">
        <f t="shared" ref="J27" si="6">F27*G27*H27*I27</f>
        <v>14.666666666666666</v>
      </c>
      <c r="K27" s="246">
        <f t="shared" ref="K27" si="7">J27/220</f>
        <v>6.6666666666666666E-2</v>
      </c>
      <c r="L27" s="146">
        <f ca="1">IFERROR(VLOOKUP(B27,MO_Matriz,5,0),"")</f>
        <v>6565.04</v>
      </c>
      <c r="M27" s="146">
        <f t="shared" ref="M27" ca="1" si="8">TRUNC(K27*L27,2)</f>
        <v>437.66</v>
      </c>
    </row>
    <row r="28" spans="2:13" s="21" customFormat="1" ht="15" customHeight="1" x14ac:dyDescent="0.25">
      <c r="B28" s="244" t="s">
        <v>425</v>
      </c>
      <c r="C28" s="12"/>
      <c r="D28" s="12"/>
      <c r="E28" s="12"/>
      <c r="F28" s="12"/>
      <c r="G28" s="12"/>
      <c r="H28" s="12"/>
      <c r="I28" s="12"/>
      <c r="J28" s="12"/>
      <c r="K28" s="12"/>
      <c r="L28" s="12"/>
      <c r="M28" s="47">
        <f ca="1">SUM(M29:M31)</f>
        <v>1914.82</v>
      </c>
    </row>
    <row r="29" spans="2:13" s="21" customFormat="1" ht="15" customHeight="1" x14ac:dyDescent="0.25">
      <c r="B29" s="110" t="str">
        <f>'Memo calc'!B201</f>
        <v>P8058</v>
      </c>
      <c r="C29" s="581" t="str">
        <f t="shared" ref="C29:D31" ca="1" si="9">IFERROR(VLOOKUP(B29,MO_Matriz,2,0),"")</f>
        <v>Engenheiro ambiental pleno</v>
      </c>
      <c r="D29" s="582" t="str">
        <f t="shared" ca="1" si="9"/>
        <v/>
      </c>
      <c r="E29" s="110" t="str">
        <f ca="1">IFERROR(VLOOKUP(B29,MO_Matriz,3,0),"")</f>
        <v>S</v>
      </c>
      <c r="F29" s="110">
        <f>'Memo calc'!H201</f>
        <v>1</v>
      </c>
      <c r="G29" s="110">
        <f>'Memo calc'!J201</f>
        <v>1</v>
      </c>
      <c r="H29" s="245">
        <f>'Memo calc'!M201</f>
        <v>7.333333333333333</v>
      </c>
      <c r="I29" s="246">
        <f>'Memo calc'!P201</f>
        <v>1</v>
      </c>
      <c r="J29" s="246">
        <f>F29*G29*H29*I29</f>
        <v>7.333333333333333</v>
      </c>
      <c r="K29" s="246">
        <f>J29/220</f>
        <v>3.3333333333333333E-2</v>
      </c>
      <c r="L29" s="146">
        <f ca="1">IFERROR(VLOOKUP(B29,MO_Matriz,5,0),"")</f>
        <v>26558.86</v>
      </c>
      <c r="M29" s="146">
        <f ca="1">TRUNC(K29*L29,2)</f>
        <v>885.29</v>
      </c>
    </row>
    <row r="30" spans="2:13" s="21" customFormat="1" ht="15" customHeight="1" x14ac:dyDescent="0.25">
      <c r="B30" s="110" t="str">
        <f>'Memo calc'!B202</f>
        <v>P8080</v>
      </c>
      <c r="C30" s="581" t="str">
        <f t="shared" ca="1" si="9"/>
        <v>Geólogo júnior</v>
      </c>
      <c r="D30" s="582" t="str">
        <f t="shared" ca="1" si="9"/>
        <v/>
      </c>
      <c r="E30" s="110" t="str">
        <f ca="1">IFERROR(VLOOKUP(B30,MO_Matriz,3,0),"")</f>
        <v>S</v>
      </c>
      <c r="F30" s="110">
        <f>'Memo calc'!H202</f>
        <v>1</v>
      </c>
      <c r="G30" s="110">
        <f>'Memo calc'!J202</f>
        <v>1</v>
      </c>
      <c r="H30" s="245">
        <f>'Memo calc'!M202</f>
        <v>7.333333333333333</v>
      </c>
      <c r="I30" s="246">
        <f>'Memo calc'!P202</f>
        <v>1</v>
      </c>
      <c r="J30" s="246">
        <f t="shared" ref="J30:J31" si="10">F30*G30*H30*I30</f>
        <v>7.333333333333333</v>
      </c>
      <c r="K30" s="246">
        <f t="shared" ref="K30:K31" si="11">J30/220</f>
        <v>3.3333333333333333E-2</v>
      </c>
      <c r="L30" s="146">
        <f ca="1">IFERROR(VLOOKUP(B30,MO_Matriz,5,0),"")</f>
        <v>24321.09</v>
      </c>
      <c r="M30" s="146">
        <f t="shared" ref="M30:M31" ca="1" si="12">TRUNC(K30*L30,2)</f>
        <v>810.7</v>
      </c>
    </row>
    <row r="31" spans="2:13" s="21" customFormat="1" ht="15" customHeight="1" x14ac:dyDescent="0.25">
      <c r="B31" s="110" t="str">
        <f>'Memo calc'!B203</f>
        <v>P8143</v>
      </c>
      <c r="C31" s="581" t="str">
        <f t="shared" ca="1" si="9"/>
        <v>Técnico ambiental</v>
      </c>
      <c r="D31" s="582" t="str">
        <f t="shared" ca="1" si="9"/>
        <v/>
      </c>
      <c r="E31" s="110" t="str">
        <f ca="1">IFERROR(VLOOKUP(B31,MO_Matriz,3,0),"")</f>
        <v>T</v>
      </c>
      <c r="F31" s="110">
        <f>'Memo calc'!H203</f>
        <v>1</v>
      </c>
      <c r="G31" s="110">
        <f>'Memo calc'!J203</f>
        <v>1</v>
      </c>
      <c r="H31" s="245">
        <f>'Memo calc'!M203</f>
        <v>7.333333333333333</v>
      </c>
      <c r="I31" s="246">
        <f>'Memo calc'!P203</f>
        <v>1</v>
      </c>
      <c r="J31" s="246">
        <f t="shared" si="10"/>
        <v>7.333333333333333</v>
      </c>
      <c r="K31" s="246">
        <f t="shared" si="11"/>
        <v>3.3333333333333333E-2</v>
      </c>
      <c r="L31" s="146">
        <f ca="1">IFERROR(VLOOKUP(B31,MO_Matriz,5,0),"")</f>
        <v>6565.04</v>
      </c>
      <c r="M31" s="146">
        <f t="shared" ca="1" si="12"/>
        <v>218.83</v>
      </c>
    </row>
    <row r="32" spans="2:13" s="21" customFormat="1" ht="15" customHeight="1" x14ac:dyDescent="0.25">
      <c r="B32" s="244" t="s">
        <v>426</v>
      </c>
      <c r="C32" s="12"/>
      <c r="D32" s="12"/>
      <c r="E32" s="12"/>
      <c r="F32" s="12"/>
      <c r="G32" s="12"/>
      <c r="H32" s="12"/>
      <c r="I32" s="12"/>
      <c r="J32" s="12"/>
      <c r="K32" s="12"/>
      <c r="L32" s="12"/>
      <c r="M32" s="47">
        <f ca="1">SUM(M33:M34)</f>
        <v>1022.65</v>
      </c>
    </row>
    <row r="33" spans="2:13" s="21" customFormat="1" ht="15" customHeight="1" x14ac:dyDescent="0.25">
      <c r="B33" s="110" t="str">
        <f>'Memo calc'!B245</f>
        <v>P8065</v>
      </c>
      <c r="C33" s="581" t="str">
        <f t="shared" ref="C33:D34" ca="1" si="13">IFERROR(VLOOKUP(B33,MO_Matriz,2,0),"")</f>
        <v>Engenheiro de projetos júnior</v>
      </c>
      <c r="D33" s="582" t="str">
        <f t="shared" ca="1" si="13"/>
        <v/>
      </c>
      <c r="E33" s="110" t="str">
        <f ca="1">IFERROR(VLOOKUP(B33,MO_Matriz,3,0),"")</f>
        <v>S</v>
      </c>
      <c r="F33" s="110">
        <f>'Memo calc'!H245</f>
        <v>1</v>
      </c>
      <c r="G33" s="110">
        <f>'Memo calc'!J245</f>
        <v>1</v>
      </c>
      <c r="H33" s="245">
        <f>'Memo calc'!M245</f>
        <v>7.333333333333333</v>
      </c>
      <c r="I33" s="246">
        <f>'Memo calc'!P245</f>
        <v>1</v>
      </c>
      <c r="J33" s="246">
        <f>F33*G33*H33*I33</f>
        <v>7.333333333333333</v>
      </c>
      <c r="K33" s="246">
        <f>J33/220</f>
        <v>3.3333333333333333E-2</v>
      </c>
      <c r="L33" s="146">
        <f ca="1">IFERROR(VLOOKUP(B33,MO_Matriz,5,0),"")</f>
        <v>24288.81</v>
      </c>
      <c r="M33" s="146">
        <f ca="1">ROUND(K33*L33,2)</f>
        <v>809.63</v>
      </c>
    </row>
    <row r="34" spans="2:13" s="21" customFormat="1" ht="15" customHeight="1" x14ac:dyDescent="0.25">
      <c r="B34" s="110" t="str">
        <f>'Memo calc'!B246</f>
        <v>P8155</v>
      </c>
      <c r="C34" s="581" t="str">
        <f t="shared" ca="1" si="13"/>
        <v>Técnico em geoprocessamento</v>
      </c>
      <c r="D34" s="582" t="str">
        <f t="shared" ca="1" si="13"/>
        <v/>
      </c>
      <c r="E34" s="110" t="str">
        <f ca="1">IFERROR(VLOOKUP(B34,MO_Matriz,3,0),"")</f>
        <v>T</v>
      </c>
      <c r="F34" s="110">
        <f>'Memo calc'!H246</f>
        <v>1</v>
      </c>
      <c r="G34" s="110">
        <f>'Memo calc'!J246</f>
        <v>1</v>
      </c>
      <c r="H34" s="245">
        <f>'Memo calc'!M246</f>
        <v>7.333333333333333</v>
      </c>
      <c r="I34" s="246">
        <f>'Memo calc'!P246</f>
        <v>1</v>
      </c>
      <c r="J34" s="246">
        <f t="shared" ref="J34" si="14">F34*G34*H34*I34</f>
        <v>7.333333333333333</v>
      </c>
      <c r="K34" s="246">
        <f t="shared" ref="K34" si="15">J34/220</f>
        <v>3.3333333333333333E-2</v>
      </c>
      <c r="L34" s="146">
        <f ca="1">IFERROR(VLOOKUP(B34,MO_Matriz,5,0),"")</f>
        <v>6390.65</v>
      </c>
      <c r="M34" s="146">
        <f t="shared" ref="M34" ca="1" si="16">ROUND(K34*L34,2)</f>
        <v>213.02</v>
      </c>
    </row>
    <row r="35" spans="2:13" s="21" customFormat="1" ht="15" customHeight="1" x14ac:dyDescent="0.25">
      <c r="B35" s="244" t="s">
        <v>427</v>
      </c>
      <c r="C35" s="12"/>
      <c r="D35" s="12"/>
      <c r="E35" s="12"/>
      <c r="F35" s="12"/>
      <c r="G35" s="12"/>
      <c r="H35" s="12"/>
      <c r="I35" s="12"/>
      <c r="J35" s="12"/>
      <c r="K35" s="12"/>
      <c r="L35" s="12"/>
      <c r="M35" s="47">
        <f ca="1">SUM(M36:M37)</f>
        <v>1070.3499999999999</v>
      </c>
    </row>
    <row r="36" spans="2:13" s="21" customFormat="1" ht="15" customHeight="1" x14ac:dyDescent="0.25">
      <c r="B36" s="110" t="str">
        <f>'Memo calc'!B287</f>
        <v>P8065</v>
      </c>
      <c r="C36" s="581" t="str">
        <f t="shared" ref="C36:D37" ca="1" si="17">IFERROR(VLOOKUP(B36,MO_Matriz,2,0),"")</f>
        <v>Engenheiro de projetos júnior</v>
      </c>
      <c r="D36" s="582" t="str">
        <f t="shared" ca="1" si="17"/>
        <v/>
      </c>
      <c r="E36" s="110" t="str">
        <f ca="1">IFERROR(VLOOKUP(B36,MO_Matriz,3,0),"")</f>
        <v>S</v>
      </c>
      <c r="F36" s="110">
        <f>'Memo calc'!H287</f>
        <v>1</v>
      </c>
      <c r="G36" s="110">
        <f>'Memo calc'!J287</f>
        <v>1</v>
      </c>
      <c r="H36" s="245">
        <f>'Memo calc'!M287</f>
        <v>7.333333333333333</v>
      </c>
      <c r="I36" s="246">
        <f>'Memo calc'!P287</f>
        <v>1</v>
      </c>
      <c r="J36" s="246">
        <f>F36*G36*H36*I36</f>
        <v>7.333333333333333</v>
      </c>
      <c r="K36" s="246">
        <f>J36/220</f>
        <v>3.3333333333333333E-2</v>
      </c>
      <c r="L36" s="146">
        <f ca="1">IFERROR(VLOOKUP(B36,MO_Matriz,5,0),"")</f>
        <v>24288.81</v>
      </c>
      <c r="M36" s="146">
        <f ca="1">ROUND(K36*L36,2)</f>
        <v>809.63</v>
      </c>
    </row>
    <row r="37" spans="2:13" s="21" customFormat="1" ht="15" customHeight="1" x14ac:dyDescent="0.25">
      <c r="B37" s="110" t="str">
        <f>'Memo calc'!B288</f>
        <v>P9848</v>
      </c>
      <c r="C37" s="581" t="str">
        <f t="shared" ca="1" si="17"/>
        <v>Desenhista</v>
      </c>
      <c r="D37" s="582" t="str">
        <f t="shared" ca="1" si="17"/>
        <v/>
      </c>
      <c r="E37" s="110" t="str">
        <f ca="1">IFERROR(VLOOKUP(B37,MO_Matriz,3,0),"")</f>
        <v>T</v>
      </c>
      <c r="F37" s="110">
        <f>'Memo calc'!H288</f>
        <v>1</v>
      </c>
      <c r="G37" s="110">
        <f>'Memo calc'!J288</f>
        <v>1</v>
      </c>
      <c r="H37" s="245">
        <f>'Memo calc'!M288</f>
        <v>7.333333333333333</v>
      </c>
      <c r="I37" s="246">
        <f>'Memo calc'!P288</f>
        <v>1</v>
      </c>
      <c r="J37" s="246">
        <f>F37*G37*H37*I37</f>
        <v>7.333333333333333</v>
      </c>
      <c r="K37" s="246">
        <f>J37/220</f>
        <v>3.3333333333333333E-2</v>
      </c>
      <c r="L37" s="146">
        <f ca="1">IFERROR(VLOOKUP(B37,MO_Matriz,5,0),"")</f>
        <v>7821.6815999999999</v>
      </c>
      <c r="M37" s="146">
        <f ca="1">ROUND(K37*L37,2)</f>
        <v>260.72000000000003</v>
      </c>
    </row>
    <row r="38" spans="2:13" s="21" customFormat="1" ht="15" customHeight="1" x14ac:dyDescent="0.25">
      <c r="B38" s="244" t="s">
        <v>735</v>
      </c>
      <c r="C38" s="12"/>
      <c r="D38" s="12"/>
      <c r="E38" s="12"/>
      <c r="F38" s="12"/>
      <c r="G38" s="12"/>
      <c r="H38" s="12"/>
      <c r="I38" s="12"/>
      <c r="J38" s="12"/>
      <c r="K38" s="12"/>
      <c r="L38" s="12"/>
      <c r="M38" s="47">
        <f ca="1">SUM(M39:M40)</f>
        <v>1432.2600000000002</v>
      </c>
    </row>
    <row r="39" spans="2:13" s="21" customFormat="1" ht="15" customHeight="1" x14ac:dyDescent="0.25">
      <c r="B39" s="110" t="str">
        <f>'Memo calc'!B332</f>
        <v>P8163</v>
      </c>
      <c r="C39" s="581" t="str">
        <f t="shared" ref="C39:D40" ca="1" si="18">IFERROR(VLOOKUP(B39,MO_Matriz,2,0),"")</f>
        <v>Topógrafo</v>
      </c>
      <c r="D39" s="582" t="str">
        <f t="shared" ca="1" si="18"/>
        <v/>
      </c>
      <c r="E39" s="110" t="str">
        <f ca="1">IFERROR(VLOOKUP(B39,MO_Matriz,3,0),"")</f>
        <v>T</v>
      </c>
      <c r="F39" s="110">
        <f>'Memo calc'!H332</f>
        <v>1</v>
      </c>
      <c r="G39" s="110">
        <f>'Memo calc'!J332</f>
        <v>1</v>
      </c>
      <c r="H39" s="245">
        <f>'Memo calc'!L332</f>
        <v>7.333333333333333</v>
      </c>
      <c r="I39" s="246">
        <f>'Memo calc'!N332</f>
        <v>3</v>
      </c>
      <c r="J39" s="246">
        <f>F39*G39*H39*I39</f>
        <v>22</v>
      </c>
      <c r="K39" s="246">
        <f>J39/220</f>
        <v>0.1</v>
      </c>
      <c r="L39" s="146">
        <f ca="1">IFERROR(VLOOKUP(B39,MO_Matriz,5,0),"")</f>
        <v>5810.76</v>
      </c>
      <c r="M39" s="146">
        <f ca="1">TRUNC(K39*L39,2)</f>
        <v>581.07000000000005</v>
      </c>
    </row>
    <row r="40" spans="2:13" s="21" customFormat="1" ht="15" customHeight="1" x14ac:dyDescent="0.25">
      <c r="B40" s="110" t="str">
        <f>'Memo calc'!B333</f>
        <v>P8028</v>
      </c>
      <c r="C40" s="581" t="str">
        <f t="shared" ca="1" si="18"/>
        <v>Auxiliar de topografia</v>
      </c>
      <c r="D40" s="582" t="str">
        <f t="shared" ca="1" si="18"/>
        <v/>
      </c>
      <c r="E40" s="110" t="str">
        <f ca="1">IFERROR(VLOOKUP(B40,MO_Matriz,3,0),"")</f>
        <v>A</v>
      </c>
      <c r="F40" s="110">
        <f>'Memo calc'!H333</f>
        <v>1</v>
      </c>
      <c r="G40" s="110">
        <f>'Memo calc'!J333</f>
        <v>2</v>
      </c>
      <c r="H40" s="245">
        <f>'Memo calc'!L333</f>
        <v>7.333333333333333</v>
      </c>
      <c r="I40" s="246">
        <f>'Memo calc'!N333</f>
        <v>3</v>
      </c>
      <c r="J40" s="246">
        <f>F40*G40*H40*I40</f>
        <v>44</v>
      </c>
      <c r="K40" s="246">
        <f>J40/220</f>
        <v>0.2</v>
      </c>
      <c r="L40" s="146">
        <f ca="1">IFERROR(VLOOKUP(B40,MO_Matriz,5,0),"")</f>
        <v>4255.96</v>
      </c>
      <c r="M40" s="146">
        <f ca="1">TRUNC(K40*L40,2)</f>
        <v>851.19</v>
      </c>
    </row>
    <row r="41" spans="2:13" s="21" customFormat="1" ht="15" customHeight="1" x14ac:dyDescent="0.25">
      <c r="B41" s="244" t="s">
        <v>736</v>
      </c>
      <c r="C41" s="12"/>
      <c r="D41" s="12"/>
      <c r="E41" s="12"/>
      <c r="F41" s="12"/>
      <c r="G41" s="12"/>
      <c r="H41" s="12"/>
      <c r="I41" s="12"/>
      <c r="J41" s="12"/>
      <c r="K41" s="12"/>
      <c r="L41" s="12"/>
      <c r="M41" s="47">
        <f ca="1">SUM(M42:M44)</f>
        <v>2528.08</v>
      </c>
    </row>
    <row r="42" spans="2:13" s="21" customFormat="1" ht="15" customHeight="1" x14ac:dyDescent="0.25">
      <c r="B42" s="110" t="str">
        <f>'Memo calc'!B410</f>
        <v>P8065</v>
      </c>
      <c r="C42" s="587" t="str">
        <f t="shared" ref="C42:D43" ca="1" si="19">IFERROR(VLOOKUP(B42,MO_Matriz,2,0),"")</f>
        <v>Engenheiro de projetos júnior</v>
      </c>
      <c r="D42" s="588"/>
      <c r="E42" s="110" t="str">
        <f ca="1">IFERROR(VLOOKUP(B42,MO_Matriz,3,0),"")</f>
        <v>S</v>
      </c>
      <c r="F42" s="110">
        <f>'Memo calc'!H410</f>
        <v>1</v>
      </c>
      <c r="G42" s="110">
        <f>'Memo calc'!J410</f>
        <v>1</v>
      </c>
      <c r="H42" s="245">
        <f>'Memo calc'!L410</f>
        <v>7.333333333333333</v>
      </c>
      <c r="I42" s="246">
        <f>'Memo calc'!N410</f>
        <v>2</v>
      </c>
      <c r="J42" s="246">
        <f>F42*G42*H42*I42</f>
        <v>14.666666666666666</v>
      </c>
      <c r="K42" s="246">
        <f>J42/220</f>
        <v>6.6666666666666666E-2</v>
      </c>
      <c r="L42" s="146">
        <f ca="1">IFERROR(VLOOKUP(B42,MO_Matriz,5,0),"")</f>
        <v>24288.81</v>
      </c>
      <c r="M42" s="146">
        <f ca="1">ROUND(K42*L42,2)</f>
        <v>1619.25</v>
      </c>
    </row>
    <row r="43" spans="2:13" s="21" customFormat="1" ht="15" customHeight="1" x14ac:dyDescent="0.25">
      <c r="B43" s="110" t="str">
        <f>'Memo calc'!B411</f>
        <v>P8163</v>
      </c>
      <c r="C43" s="581" t="str">
        <f t="shared" ca="1" si="19"/>
        <v>Topógrafo</v>
      </c>
      <c r="D43" s="582" t="str">
        <f t="shared" ca="1" si="19"/>
        <v/>
      </c>
      <c r="E43" s="110" t="str">
        <f ca="1">IFERROR(VLOOKUP(B43,MO_Matriz,3,0),"")</f>
        <v>T</v>
      </c>
      <c r="F43" s="110">
        <f>'Memo calc'!H411</f>
        <v>1</v>
      </c>
      <c r="G43" s="110">
        <f>'Memo calc'!J411</f>
        <v>1</v>
      </c>
      <c r="H43" s="245">
        <f>'Memo calc'!L411</f>
        <v>7.333333333333333</v>
      </c>
      <c r="I43" s="246">
        <f>'Memo calc'!N411</f>
        <v>2</v>
      </c>
      <c r="J43" s="246">
        <f>F43*G43*H43*I43</f>
        <v>14.666666666666666</v>
      </c>
      <c r="K43" s="246">
        <f>J43/220</f>
        <v>6.6666666666666666E-2</v>
      </c>
      <c r="L43" s="146">
        <f ca="1">IFERROR(VLOOKUP(B43,MO_Matriz,5,0),"")</f>
        <v>5810.76</v>
      </c>
      <c r="M43" s="146">
        <f ca="1">ROUND(K43*L43,2)</f>
        <v>387.38</v>
      </c>
    </row>
    <row r="44" spans="2:13" s="21" customFormat="1" ht="15" customHeight="1" x14ac:dyDescent="0.25">
      <c r="B44" s="110" t="str">
        <f>'Memo calc'!B412</f>
        <v>P9848</v>
      </c>
      <c r="C44" s="581" t="str">
        <f t="shared" ref="C44" ca="1" si="20">IFERROR(VLOOKUP(B44,MO_Matriz,2,0),"")</f>
        <v>Desenhista</v>
      </c>
      <c r="D44" s="582" t="str">
        <f t="shared" ref="D44" ca="1" si="21">IFERROR(VLOOKUP(C44,MO_Matriz,2,0),"")</f>
        <v/>
      </c>
      <c r="E44" s="110" t="str">
        <f ca="1">IFERROR(VLOOKUP(B44,MO_Matriz,3,0),"")</f>
        <v>T</v>
      </c>
      <c r="F44" s="110">
        <f>'Memo calc'!H412</f>
        <v>1</v>
      </c>
      <c r="G44" s="110">
        <f>'Memo calc'!J412</f>
        <v>1</v>
      </c>
      <c r="H44" s="245">
        <f>'Memo calc'!L412</f>
        <v>7.333333333333333</v>
      </c>
      <c r="I44" s="246">
        <f>'Memo calc'!N412</f>
        <v>2</v>
      </c>
      <c r="J44" s="246">
        <f>F44*G44*H44*I44</f>
        <v>14.666666666666666</v>
      </c>
      <c r="K44" s="246">
        <f>J44/220</f>
        <v>6.6666666666666666E-2</v>
      </c>
      <c r="L44" s="146">
        <f ca="1">IFERROR(VLOOKUP(B44,MO_Matriz,5,0),"")</f>
        <v>7821.6815999999999</v>
      </c>
      <c r="M44" s="146">
        <f ca="1">ROUND(K44*L44,2)</f>
        <v>521.45000000000005</v>
      </c>
    </row>
    <row r="45" spans="2:13" s="21" customFormat="1" ht="15" customHeight="1" x14ac:dyDescent="0.25">
      <c r="B45" s="244" t="s">
        <v>1212</v>
      </c>
      <c r="C45" s="12"/>
      <c r="D45" s="12"/>
      <c r="E45" s="12"/>
      <c r="F45" s="12"/>
      <c r="G45" s="12"/>
      <c r="H45" s="12"/>
      <c r="I45" s="12"/>
      <c r="J45" s="12"/>
      <c r="K45" s="12"/>
      <c r="L45" s="12"/>
      <c r="M45" s="47">
        <f ca="1">SUM(M46:M47)</f>
        <v>2273.4300000000003</v>
      </c>
    </row>
    <row r="46" spans="2:13" s="21" customFormat="1" ht="15" customHeight="1" x14ac:dyDescent="0.25">
      <c r="B46" s="110" t="str">
        <f>'Memo calc'!B887</f>
        <v>P8139</v>
      </c>
      <c r="C46" s="581" t="str">
        <f t="shared" ref="C46:D47" ca="1" si="22">IFERROR(VLOOKUP(B46,MO_Matriz,2,0),"")</f>
        <v>Sondador</v>
      </c>
      <c r="D46" s="582" t="str">
        <f t="shared" ca="1" si="22"/>
        <v/>
      </c>
      <c r="E46" s="110" t="str">
        <f ca="1">IFERROR(VLOOKUP(B46,MO_Matriz,3,0),"")</f>
        <v>T</v>
      </c>
      <c r="F46" s="110">
        <f>'Memo calc'!H887</f>
        <v>1</v>
      </c>
      <c r="G46" s="110">
        <f>'Memo calc'!J887</f>
        <v>1</v>
      </c>
      <c r="H46" s="245">
        <f>'Memo calc'!L887</f>
        <v>7.333333333333333</v>
      </c>
      <c r="I46" s="246">
        <f>'Memo calc'!N887</f>
        <v>5</v>
      </c>
      <c r="J46" s="246">
        <f>F46*G46*H46*I46</f>
        <v>36.666666666666664</v>
      </c>
      <c r="K46" s="246">
        <f>J46/220</f>
        <v>0.16666666666666666</v>
      </c>
      <c r="L46" s="146">
        <f ca="1">IFERROR(VLOOKUP(B46,MO_Matriz,5,0),"")</f>
        <v>5087.7700000000004</v>
      </c>
      <c r="M46" s="146">
        <f ca="1">ROUND(K46*L46,2)</f>
        <v>847.96</v>
      </c>
    </row>
    <row r="47" spans="2:13" s="21" customFormat="1" ht="15" customHeight="1" x14ac:dyDescent="0.25">
      <c r="B47" s="110" t="str">
        <f>'Memo calc'!B888</f>
        <v>P8025</v>
      </c>
      <c r="C47" s="581" t="str">
        <f t="shared" ca="1" si="22"/>
        <v>Auxiliar</v>
      </c>
      <c r="D47" s="582" t="str">
        <f t="shared" ca="1" si="22"/>
        <v/>
      </c>
      <c r="E47" s="110" t="str">
        <f ca="1">IFERROR(VLOOKUP(B47,MO_Matriz,3,0),"")</f>
        <v>A</v>
      </c>
      <c r="F47" s="110">
        <f>'Memo calc'!H888</f>
        <v>1</v>
      </c>
      <c r="G47" s="110">
        <f>'Memo calc'!J888</f>
        <v>2</v>
      </c>
      <c r="H47" s="245">
        <f>'Memo calc'!L888</f>
        <v>7.333333333333333</v>
      </c>
      <c r="I47" s="246">
        <f>'Memo calc'!N888</f>
        <v>5</v>
      </c>
      <c r="J47" s="246">
        <f>F47*G47*H47*I47</f>
        <v>73.333333333333329</v>
      </c>
      <c r="K47" s="246">
        <f>J47/220</f>
        <v>0.33333333333333331</v>
      </c>
      <c r="L47" s="146">
        <f ca="1">IFERROR(VLOOKUP(B47,MO_Matriz,5,0),"")</f>
        <v>4276.41</v>
      </c>
      <c r="M47" s="146">
        <f ca="1">ROUND(K47*L47,2)</f>
        <v>1425.47</v>
      </c>
    </row>
    <row r="48" spans="2:13" s="21" customFormat="1" ht="15" customHeight="1" x14ac:dyDescent="0.25">
      <c r="B48" s="244" t="s">
        <v>539</v>
      </c>
      <c r="C48" s="12"/>
      <c r="D48" s="12"/>
      <c r="E48" s="12"/>
      <c r="F48" s="12"/>
      <c r="G48" s="12"/>
      <c r="H48" s="12"/>
      <c r="I48" s="12"/>
      <c r="J48" s="12"/>
      <c r="K48" s="12"/>
      <c r="L48" s="12"/>
      <c r="M48" s="47">
        <f ca="1">SUM(M49:M50)</f>
        <v>2542.5100000000002</v>
      </c>
    </row>
    <row r="49" spans="2:13" s="21" customFormat="1" ht="15" customHeight="1" x14ac:dyDescent="0.25">
      <c r="B49" s="110" t="str">
        <f>'Memo calc'!B976</f>
        <v>P8098</v>
      </c>
      <c r="C49" s="581" t="str">
        <f t="shared" ref="C49:D50" ca="1" si="23">IFERROR(VLOOKUP(B49,MO_Matriz,2,0),"")</f>
        <v>Laboratorista</v>
      </c>
      <c r="D49" s="582" t="str">
        <f t="shared" ca="1" si="23"/>
        <v/>
      </c>
      <c r="E49" s="110" t="str">
        <f ca="1">IFERROR(VLOOKUP(B49,MO_Matriz,3,0),"")</f>
        <v>T</v>
      </c>
      <c r="F49" s="110">
        <f>'Memo calc'!H976</f>
        <v>1</v>
      </c>
      <c r="G49" s="110">
        <f>'Memo calc'!J976</f>
        <v>1</v>
      </c>
      <c r="H49" s="245">
        <f>'Memo calc'!L976</f>
        <v>7.333333333333333</v>
      </c>
      <c r="I49" s="246">
        <f>'Memo calc'!N976</f>
        <v>7.5</v>
      </c>
      <c r="J49" s="246">
        <f>F49*G49*H49*I49</f>
        <v>55</v>
      </c>
      <c r="K49" s="246">
        <f>J49/220</f>
        <v>0.25</v>
      </c>
      <c r="L49" s="146">
        <f ca="1">IFERROR(VLOOKUP(B49,MO_Matriz,5,0),"")</f>
        <v>5615.95</v>
      </c>
      <c r="M49" s="146">
        <f ca="1">ROUND(K49*L49,2)</f>
        <v>1403.99</v>
      </c>
    </row>
    <row r="50" spans="2:13" s="21" customFormat="1" ht="15" customHeight="1" x14ac:dyDescent="0.25">
      <c r="B50" s="110" t="str">
        <f>'Memo calc'!B977</f>
        <v>P8027</v>
      </c>
      <c r="C50" s="581" t="str">
        <f t="shared" ca="1" si="23"/>
        <v>Auxiliar de laboratório</v>
      </c>
      <c r="D50" s="582" t="str">
        <f t="shared" ca="1" si="23"/>
        <v/>
      </c>
      <c r="E50" s="110" t="str">
        <f ca="1">IFERROR(VLOOKUP(B50,MO_Matriz,3,0),"")</f>
        <v>A</v>
      </c>
      <c r="F50" s="110">
        <f>'Memo calc'!H977</f>
        <v>1</v>
      </c>
      <c r="G50" s="110">
        <f>'Memo calc'!J977</f>
        <v>1</v>
      </c>
      <c r="H50" s="245">
        <f>'Memo calc'!L977</f>
        <v>7.333333333333333</v>
      </c>
      <c r="I50" s="246">
        <f>'Memo calc'!N977</f>
        <v>7.5</v>
      </c>
      <c r="J50" s="246">
        <f>F50*G50*H50*I50</f>
        <v>55</v>
      </c>
      <c r="K50" s="246">
        <f>J50/220</f>
        <v>0.25</v>
      </c>
      <c r="L50" s="146">
        <f ca="1">IFERROR(VLOOKUP(B50,MO_Matriz,5,0),"")</f>
        <v>4554.09</v>
      </c>
      <c r="M50" s="146">
        <f ca="1">ROUND(K50*L50,2)</f>
        <v>1138.52</v>
      </c>
    </row>
    <row r="51" spans="2:13" s="21" customFormat="1" ht="15" customHeight="1" x14ac:dyDescent="0.25">
      <c r="B51" s="244" t="s">
        <v>507</v>
      </c>
      <c r="C51" s="12"/>
      <c r="D51" s="12"/>
      <c r="E51" s="12"/>
      <c r="F51" s="12"/>
      <c r="G51" s="12"/>
      <c r="H51" s="12"/>
      <c r="I51" s="12"/>
      <c r="J51" s="12"/>
      <c r="K51" s="12"/>
      <c r="L51" s="12"/>
      <c r="M51" s="47">
        <f ca="1">SUM(M52:M53)</f>
        <v>3272.9100000000003</v>
      </c>
    </row>
    <row r="52" spans="2:13" s="21" customFormat="1" ht="15" customHeight="1" x14ac:dyDescent="0.25">
      <c r="B52" s="110" t="str">
        <f>'Memo calc'!B1038</f>
        <v>P8065</v>
      </c>
      <c r="C52" s="581" t="str">
        <f t="shared" ref="C52:D53" ca="1" si="24">IFERROR(VLOOKUP(B52,MO_Matriz,2,0),"")</f>
        <v>Engenheiro de projetos júnior</v>
      </c>
      <c r="D52" s="582" t="str">
        <f t="shared" ca="1" si="24"/>
        <v/>
      </c>
      <c r="E52" s="110" t="str">
        <f ca="1">IFERROR(VLOOKUP(B52,MO_Matriz,3,0),"")</f>
        <v>S</v>
      </c>
      <c r="F52" s="110">
        <f>'Memo calc'!H1038</f>
        <v>1</v>
      </c>
      <c r="G52" s="110">
        <f>'Memo calc'!J1038</f>
        <v>1</v>
      </c>
      <c r="H52" s="245">
        <f>'Memo calc'!L1038</f>
        <v>7.333333333333333</v>
      </c>
      <c r="I52" s="246">
        <f>'Memo calc'!N1038</f>
        <v>3.2833333333333332</v>
      </c>
      <c r="J52" s="246">
        <f>F52*G52*H52*I52</f>
        <v>24.077777777777776</v>
      </c>
      <c r="K52" s="246">
        <f>J52/220</f>
        <v>0.10944444444444444</v>
      </c>
      <c r="L52" s="146">
        <f ca="1">IFERROR(VLOOKUP(B52,MO_Matriz,5,0),"")</f>
        <v>24288.81</v>
      </c>
      <c r="M52" s="146">
        <f ca="1">ROUND(K52*L52,2)</f>
        <v>2658.28</v>
      </c>
    </row>
    <row r="53" spans="2:13" s="21" customFormat="1" ht="15" customHeight="1" x14ac:dyDescent="0.25">
      <c r="B53" s="110" t="str">
        <f>'Memo calc'!B1039</f>
        <v>P8098</v>
      </c>
      <c r="C53" s="581" t="str">
        <f t="shared" ca="1" si="24"/>
        <v>Laboratorista</v>
      </c>
      <c r="D53" s="582" t="str">
        <f t="shared" ca="1" si="24"/>
        <v/>
      </c>
      <c r="E53" s="110" t="str">
        <f ca="1">IFERROR(VLOOKUP(B53,MO_Matriz,3,0),"")</f>
        <v>T</v>
      </c>
      <c r="F53" s="110">
        <f>'Memo calc'!H1039</f>
        <v>1</v>
      </c>
      <c r="G53" s="110">
        <f>'Memo calc'!J1039</f>
        <v>1</v>
      </c>
      <c r="H53" s="245">
        <f>'Memo calc'!L1039</f>
        <v>7.333333333333333</v>
      </c>
      <c r="I53" s="246">
        <f>'Memo calc'!N1039</f>
        <v>3.2833333333333332</v>
      </c>
      <c r="J53" s="246">
        <f t="shared" ref="J53" si="25">F53*G53*H53*I53</f>
        <v>24.077777777777776</v>
      </c>
      <c r="K53" s="246">
        <f t="shared" ref="K53" si="26">J53/220</f>
        <v>0.10944444444444444</v>
      </c>
      <c r="L53" s="146">
        <f ca="1">IFERROR(VLOOKUP(B53,MO_Matriz,5,0),"")</f>
        <v>5615.95</v>
      </c>
      <c r="M53" s="146">
        <f t="shared" ref="M53" ca="1" si="27">ROUND(K53*L53,2)</f>
        <v>614.63</v>
      </c>
    </row>
    <row r="54" spans="2:13" s="21" customFormat="1" ht="15" customHeight="1" x14ac:dyDescent="0.25">
      <c r="B54" s="437" t="s">
        <v>1227</v>
      </c>
      <c r="C54" s="12"/>
      <c r="D54" s="12"/>
      <c r="E54" s="12"/>
      <c r="F54" s="12"/>
      <c r="G54" s="12"/>
      <c r="H54" s="12"/>
      <c r="I54" s="12"/>
      <c r="J54" s="12"/>
      <c r="K54" s="12"/>
      <c r="L54" s="12"/>
      <c r="M54" s="467">
        <f ca="1">SUM(M55:M56)</f>
        <v>144.87</v>
      </c>
    </row>
    <row r="55" spans="2:13" s="21" customFormat="1" ht="15" customHeight="1" x14ac:dyDescent="0.25">
      <c r="B55" s="110" t="str">
        <f>'[1]Memo calc'!B424</f>
        <v>P8147</v>
      </c>
      <c r="C55" s="581" t="str">
        <f t="shared" ref="C55:D55" ca="1" si="28">IFERROR(VLOOKUP(B55,MO_Matriz,2,0),"")</f>
        <v>Técnico de obras</v>
      </c>
      <c r="D55" s="582" t="str">
        <f t="shared" ca="1" si="28"/>
        <v/>
      </c>
      <c r="E55" s="110" t="str">
        <f ca="1">IFERROR(VLOOKUP(B55,MO_Matriz,3,0),"")</f>
        <v>T</v>
      </c>
      <c r="F55" s="110">
        <f>'[1]Memo calc'!H424</f>
        <v>1</v>
      </c>
      <c r="G55" s="110">
        <f>'[1]Memo calc'!J424</f>
        <v>1</v>
      </c>
      <c r="H55" s="245">
        <f>'[1]Memo calc'!L424</f>
        <v>7.333333333333333</v>
      </c>
      <c r="I55" s="246">
        <f>'Memo calc'!N459</f>
        <v>0.18</v>
      </c>
      <c r="J55" s="246">
        <f t="shared" ref="J55:J56" si="29">F55*G55*H55*I55</f>
        <v>1.3199999999999998</v>
      </c>
      <c r="K55" s="246">
        <f t="shared" ref="K55:K56" si="30">J55/220</f>
        <v>5.9999999999999993E-3</v>
      </c>
      <c r="L55" s="543">
        <f ca="1">IFERROR(VLOOKUP(B55,MO_Matriz,5,0),"")</f>
        <v>7040.14</v>
      </c>
      <c r="M55" s="543">
        <f t="shared" ref="M55:M56" ca="1" si="31">ROUND(K55*L55,2)</f>
        <v>42.24</v>
      </c>
    </row>
    <row r="56" spans="2:13" s="21" customFormat="1" ht="15" customHeight="1" x14ac:dyDescent="0.25">
      <c r="B56" s="110" t="str">
        <f>'[1]Memo calc'!B425</f>
        <v>P8025</v>
      </c>
      <c r="C56" s="581" t="str">
        <f t="shared" ref="C56" ca="1" si="32">IFERROR(VLOOKUP(B56,MO_Matriz,2,0),"")</f>
        <v>Auxiliar</v>
      </c>
      <c r="D56" s="582" t="str">
        <f t="shared" ref="D56" ca="1" si="33">IFERROR(VLOOKUP(C56,MO_Matriz,2,0),"")</f>
        <v/>
      </c>
      <c r="E56" s="110" t="str">
        <f ca="1">IFERROR(VLOOKUP(B56,MO_Matriz,3,0),"")</f>
        <v>A</v>
      </c>
      <c r="F56" s="110">
        <f>'[1]Memo calc'!H425</f>
        <v>1</v>
      </c>
      <c r="G56" s="110">
        <f>'[1]Memo calc'!J425</f>
        <v>4</v>
      </c>
      <c r="H56" s="245">
        <f>'[1]Memo calc'!L425</f>
        <v>7.333333333333333</v>
      </c>
      <c r="I56" s="246">
        <f>'Memo calc'!N460</f>
        <v>0.18</v>
      </c>
      <c r="J56" s="246">
        <f t="shared" si="29"/>
        <v>5.2799999999999994</v>
      </c>
      <c r="K56" s="246">
        <f t="shared" si="30"/>
        <v>2.3999999999999997E-2</v>
      </c>
      <c r="L56" s="543">
        <f ca="1">IFERROR(VLOOKUP(B56,MO_Matriz,5,0),"")</f>
        <v>4276.41</v>
      </c>
      <c r="M56" s="543">
        <f t="shared" ca="1" si="31"/>
        <v>102.63</v>
      </c>
    </row>
    <row r="57" spans="2:13" s="21" customFormat="1" ht="15" customHeight="1" x14ac:dyDescent="0.25">
      <c r="B57" s="437" t="s">
        <v>1239</v>
      </c>
      <c r="C57" s="12"/>
      <c r="D57" s="12"/>
      <c r="E57" s="12"/>
      <c r="F57" s="12"/>
      <c r="G57" s="12"/>
      <c r="H57" s="12"/>
      <c r="I57" s="12"/>
      <c r="J57" s="12"/>
      <c r="K57" s="12"/>
      <c r="L57" s="12"/>
      <c r="M57" s="467">
        <f ca="1">SUM(M58:M59)</f>
        <v>10.39</v>
      </c>
    </row>
    <row r="58" spans="2:13" s="21" customFormat="1" ht="15" customHeight="1" x14ac:dyDescent="0.25">
      <c r="B58" s="110" t="str">
        <f>'[1]Memo calc'!B512</f>
        <v>P8147</v>
      </c>
      <c r="C58" s="581" t="str">
        <f t="shared" ref="C58" ca="1" si="34">IFERROR(VLOOKUP(B58,MO_Matriz,2,0),"")</f>
        <v>Técnico de obras</v>
      </c>
      <c r="D58" s="582" t="str">
        <f t="shared" ref="D58" ca="1" si="35">IFERROR(VLOOKUP(C58,MO_Matriz,2,0),"")</f>
        <v/>
      </c>
      <c r="E58" s="110" t="str">
        <f ca="1">IFERROR(VLOOKUP(B58,MO_Matriz,3,0),"")</f>
        <v>T</v>
      </c>
      <c r="F58" s="110">
        <f>'[1]Memo calc'!H512</f>
        <v>1</v>
      </c>
      <c r="G58" s="110">
        <f>'[1]Memo calc'!J512</f>
        <v>1</v>
      </c>
      <c r="H58" s="245">
        <f>'[1]Memo calc'!L512</f>
        <v>7.333333333333333</v>
      </c>
      <c r="I58" s="246">
        <f>'Memo calc'!N547</f>
        <v>0.02</v>
      </c>
      <c r="J58" s="246">
        <f t="shared" ref="J58:J59" si="36">F58*G58*H58*I58</f>
        <v>0.14666666666666667</v>
      </c>
      <c r="K58" s="246">
        <f t="shared" ref="K58:K59" si="37">J58/220</f>
        <v>6.6666666666666664E-4</v>
      </c>
      <c r="L58" s="543">
        <f ca="1">IFERROR(VLOOKUP(B58,MO_Matriz,5,0),"")</f>
        <v>7040.14</v>
      </c>
      <c r="M58" s="543">
        <f t="shared" ref="M58:M59" ca="1" si="38">ROUND(K58*L58,2)</f>
        <v>4.6900000000000004</v>
      </c>
    </row>
    <row r="59" spans="2:13" s="21" customFormat="1" ht="15" customHeight="1" x14ac:dyDescent="0.25">
      <c r="B59" s="110" t="str">
        <f>'[1]Memo calc'!B513</f>
        <v>P8025</v>
      </c>
      <c r="C59" s="581" t="str">
        <f t="shared" ref="C59" ca="1" si="39">IFERROR(VLOOKUP(B59,MO_Matriz,2,0),"")</f>
        <v>Auxiliar</v>
      </c>
      <c r="D59" s="582" t="str">
        <f t="shared" ref="D59" ca="1" si="40">IFERROR(VLOOKUP(C59,MO_Matriz,2,0),"")</f>
        <v/>
      </c>
      <c r="E59" s="110" t="str">
        <f ca="1">IFERROR(VLOOKUP(B59,MO_Matriz,3,0),"")</f>
        <v>A</v>
      </c>
      <c r="F59" s="110">
        <f>'[1]Memo calc'!H513</f>
        <v>1</v>
      </c>
      <c r="G59" s="110">
        <f>'[1]Memo calc'!J513</f>
        <v>2</v>
      </c>
      <c r="H59" s="245">
        <f>'[1]Memo calc'!L513</f>
        <v>7.333333333333333</v>
      </c>
      <c r="I59" s="246">
        <f>'Memo calc'!N548</f>
        <v>0.02</v>
      </c>
      <c r="J59" s="246">
        <f t="shared" si="36"/>
        <v>0.29333333333333333</v>
      </c>
      <c r="K59" s="246">
        <f t="shared" si="37"/>
        <v>1.3333333333333333E-3</v>
      </c>
      <c r="L59" s="543">
        <f ca="1">IFERROR(VLOOKUP(B59,MO_Matriz,5,0),"")</f>
        <v>4276.41</v>
      </c>
      <c r="M59" s="543">
        <f t="shared" ca="1" si="38"/>
        <v>5.7</v>
      </c>
    </row>
    <row r="60" spans="2:13" s="21" customFormat="1" ht="15" customHeight="1" x14ac:dyDescent="0.25">
      <c r="B60" s="437" t="s">
        <v>1241</v>
      </c>
      <c r="C60" s="12"/>
      <c r="D60" s="12"/>
      <c r="E60" s="12"/>
      <c r="F60" s="12"/>
      <c r="G60" s="12"/>
      <c r="H60" s="12"/>
      <c r="I60" s="12"/>
      <c r="J60" s="12"/>
      <c r="K60" s="12"/>
      <c r="L60" s="12"/>
      <c r="M60" s="467">
        <f ca="1">SUM(M61:M62)</f>
        <v>425.81</v>
      </c>
    </row>
    <row r="61" spans="2:13" s="21" customFormat="1" ht="15" customHeight="1" x14ac:dyDescent="0.25">
      <c r="B61" s="110" t="str">
        <f>'[1]Memo calc'!B618</f>
        <v>P8139</v>
      </c>
      <c r="C61" s="581" t="str">
        <f t="shared" ref="C61" ca="1" si="41">IFERROR(VLOOKUP(B61,MO_Matriz,2,0),"")</f>
        <v>Sondador</v>
      </c>
      <c r="D61" s="582" t="str">
        <f t="shared" ref="D61" ca="1" si="42">IFERROR(VLOOKUP(C61,MO_Matriz,2,0),"")</f>
        <v/>
      </c>
      <c r="E61" s="110" t="str">
        <f ca="1">IFERROR(VLOOKUP(B61,MO_Matriz,3,0),"")</f>
        <v>T</v>
      </c>
      <c r="F61" s="110">
        <f>'[1]Memo calc'!H618</f>
        <v>1</v>
      </c>
      <c r="G61" s="110">
        <f>'[1]Memo calc'!J618</f>
        <v>1</v>
      </c>
      <c r="H61" s="245">
        <f>'[1]Memo calc'!L618</f>
        <v>7.333333333333333</v>
      </c>
      <c r="I61" s="246">
        <f>'Memo calc'!N654</f>
        <v>1.25</v>
      </c>
      <c r="J61" s="246">
        <f t="shared" ref="J61:J62" si="43">F61*G61*H61*I61</f>
        <v>9.1666666666666661</v>
      </c>
      <c r="K61" s="246">
        <f t="shared" ref="K61:K62" si="44">J61/220</f>
        <v>4.1666666666666664E-2</v>
      </c>
      <c r="L61" s="543">
        <f ca="1">IFERROR(VLOOKUP(B61,MO_Matriz,5,0),"")</f>
        <v>5087.7700000000004</v>
      </c>
      <c r="M61" s="543">
        <f t="shared" ref="M61:M62" ca="1" si="45">ROUND(K61*L61,2)</f>
        <v>211.99</v>
      </c>
    </row>
    <row r="62" spans="2:13" s="21" customFormat="1" ht="15" customHeight="1" x14ac:dyDescent="0.25">
      <c r="B62" s="110" t="str">
        <f>'[1]Memo calc'!B619</f>
        <v>P8025</v>
      </c>
      <c r="C62" s="581" t="str">
        <f t="shared" ref="C62" ca="1" si="46">IFERROR(VLOOKUP(B62,MO_Matriz,2,0),"")</f>
        <v>Auxiliar</v>
      </c>
      <c r="D62" s="582" t="str">
        <f t="shared" ref="D62" ca="1" si="47">IFERROR(VLOOKUP(C62,MO_Matriz,2,0),"")</f>
        <v/>
      </c>
      <c r="E62" s="110" t="str">
        <f ca="1">IFERROR(VLOOKUP(B62,MO_Matriz,3,0),"")</f>
        <v>A</v>
      </c>
      <c r="F62" s="110">
        <f>'[1]Memo calc'!H619</f>
        <v>1</v>
      </c>
      <c r="G62" s="110">
        <f>'[1]Memo calc'!J619</f>
        <v>6</v>
      </c>
      <c r="H62" s="245">
        <f>'[1]Memo calc'!L619</f>
        <v>7.333333333333333</v>
      </c>
      <c r="I62" s="246">
        <f>'Memo calc'!N655</f>
        <v>0.25</v>
      </c>
      <c r="J62" s="246">
        <f t="shared" si="43"/>
        <v>11</v>
      </c>
      <c r="K62" s="246">
        <f t="shared" si="44"/>
        <v>0.05</v>
      </c>
      <c r="L62" s="543">
        <f ca="1">IFERROR(VLOOKUP(B62,MO_Matriz,5,0),"")</f>
        <v>4276.41</v>
      </c>
      <c r="M62" s="543">
        <f t="shared" ca="1" si="45"/>
        <v>213.82</v>
      </c>
    </row>
    <row r="63" spans="2:13" s="21" customFormat="1" ht="15" customHeight="1" x14ac:dyDescent="0.25">
      <c r="B63" s="437" t="s">
        <v>1257</v>
      </c>
      <c r="C63" s="12"/>
      <c r="D63" s="12"/>
      <c r="E63" s="12"/>
      <c r="F63" s="12"/>
      <c r="G63" s="12"/>
      <c r="H63" s="12"/>
      <c r="I63" s="12"/>
      <c r="J63" s="12"/>
      <c r="K63" s="12"/>
      <c r="L63" s="12"/>
      <c r="M63" s="467">
        <f ca="1">SUM(M64:M66)</f>
        <v>624.08999999999992</v>
      </c>
    </row>
    <row r="64" spans="2:13" s="21" customFormat="1" ht="15" customHeight="1" x14ac:dyDescent="0.25">
      <c r="B64" s="110" t="str">
        <f>'[1]Memo calc'!B713</f>
        <v>P8098</v>
      </c>
      <c r="C64" s="581" t="str">
        <f t="shared" ref="C64" ca="1" si="48">IFERROR(VLOOKUP(B64,MO_Matriz,2,0),"")</f>
        <v>Laboratorista</v>
      </c>
      <c r="D64" s="582" t="str">
        <f t="shared" ref="D64" ca="1" si="49">IFERROR(VLOOKUP(C64,MO_Matriz,2,0),"")</f>
        <v/>
      </c>
      <c r="E64" s="110" t="str">
        <f ca="1">IFERROR(VLOOKUP(B64,MO_Matriz,3,0),"")</f>
        <v>T</v>
      </c>
      <c r="F64" s="110">
        <f>'[1]Memo calc'!H713</f>
        <v>2</v>
      </c>
      <c r="G64" s="110">
        <f>'[1]Memo calc'!J713</f>
        <v>1</v>
      </c>
      <c r="H64" s="245">
        <f>'[1]Memo calc'!L713</f>
        <v>7.333333333333333</v>
      </c>
      <c r="I64" s="246">
        <f>'Memo calc'!N749</f>
        <v>0.5</v>
      </c>
      <c r="J64" s="246">
        <f t="shared" ref="J64:J66" si="50">F64*G64*H64*I64</f>
        <v>7.333333333333333</v>
      </c>
      <c r="K64" s="246">
        <f t="shared" ref="K64:K66" si="51">J64/220</f>
        <v>3.3333333333333333E-2</v>
      </c>
      <c r="L64" s="543">
        <f ca="1">IFERROR(VLOOKUP(B64,MO_Matriz,5,0),"")</f>
        <v>5615.95</v>
      </c>
      <c r="M64" s="543">
        <f t="shared" ref="M64:M66" ca="1" si="52">ROUND(K64*L64,2)</f>
        <v>187.2</v>
      </c>
    </row>
    <row r="65" spans="2:13" s="21" customFormat="1" ht="15" customHeight="1" x14ac:dyDescent="0.25">
      <c r="B65" s="110" t="str">
        <f>'[1]Memo calc'!B714</f>
        <v>P8027</v>
      </c>
      <c r="C65" s="581" t="str">
        <f t="shared" ref="C65:C66" ca="1" si="53">IFERROR(VLOOKUP(B65,MO_Matriz,2,0),"")</f>
        <v>Auxiliar de laboratório</v>
      </c>
      <c r="D65" s="582" t="str">
        <f t="shared" ref="D65:D66" ca="1" si="54">IFERROR(VLOOKUP(C65,MO_Matriz,2,0),"")</f>
        <v/>
      </c>
      <c r="E65" s="110" t="str">
        <f ca="1">IFERROR(VLOOKUP(B65,MO_Matriz,3,0),"")</f>
        <v>A</v>
      </c>
      <c r="F65" s="110">
        <f>'[1]Memo calc'!H714</f>
        <v>2</v>
      </c>
      <c r="G65" s="110">
        <f>'[1]Memo calc'!J714</f>
        <v>1</v>
      </c>
      <c r="H65" s="245">
        <f>'[1]Memo calc'!L714</f>
        <v>7.333333333333333</v>
      </c>
      <c r="I65" s="246">
        <f>'Memo calc'!N750</f>
        <v>0.5</v>
      </c>
      <c r="J65" s="246">
        <f t="shared" si="50"/>
        <v>7.333333333333333</v>
      </c>
      <c r="K65" s="246">
        <f t="shared" si="51"/>
        <v>3.3333333333333333E-2</v>
      </c>
      <c r="L65" s="543">
        <f ca="1">IFERROR(VLOOKUP(B65,MO_Matriz,5,0),"")</f>
        <v>4554.09</v>
      </c>
      <c r="M65" s="543">
        <f t="shared" ca="1" si="52"/>
        <v>151.80000000000001</v>
      </c>
    </row>
    <row r="66" spans="2:13" s="21" customFormat="1" ht="15" customHeight="1" x14ac:dyDescent="0.25">
      <c r="B66" s="110" t="str">
        <f>'[1]Memo calc'!B715</f>
        <v>P8025</v>
      </c>
      <c r="C66" s="581" t="str">
        <f t="shared" ca="1" si="53"/>
        <v>Auxiliar</v>
      </c>
      <c r="D66" s="582" t="str">
        <f t="shared" ca="1" si="54"/>
        <v/>
      </c>
      <c r="E66" s="110" t="str">
        <f ca="1">IFERROR(VLOOKUP(B66,MO_Matriz,3,0),"")</f>
        <v>A</v>
      </c>
      <c r="F66" s="110">
        <f>'[1]Memo calc'!H715</f>
        <v>2</v>
      </c>
      <c r="G66" s="110">
        <f>'[1]Memo calc'!J715</f>
        <v>2</v>
      </c>
      <c r="H66" s="245">
        <f>'[1]Memo calc'!L715</f>
        <v>7.333333333333333</v>
      </c>
      <c r="I66" s="246">
        <f>'Memo calc'!N751</f>
        <v>0.5</v>
      </c>
      <c r="J66" s="246">
        <f t="shared" si="50"/>
        <v>14.666666666666666</v>
      </c>
      <c r="K66" s="246">
        <f t="shared" si="51"/>
        <v>6.6666666666666666E-2</v>
      </c>
      <c r="L66" s="543">
        <f ca="1">IFERROR(VLOOKUP(B66,MO_Matriz,5,0),"")</f>
        <v>4276.41</v>
      </c>
      <c r="M66" s="543">
        <f t="shared" ca="1" si="52"/>
        <v>285.08999999999997</v>
      </c>
    </row>
    <row r="67" spans="2:13" s="21" customFormat="1" ht="15" customHeight="1" x14ac:dyDescent="0.25">
      <c r="B67" s="437" t="s">
        <v>1268</v>
      </c>
      <c r="C67" s="12"/>
      <c r="D67" s="12"/>
      <c r="E67" s="12"/>
      <c r="F67" s="12"/>
      <c r="G67" s="12"/>
      <c r="H67" s="12"/>
      <c r="I67" s="12"/>
      <c r="J67" s="12"/>
      <c r="K67" s="12"/>
      <c r="L67" s="12"/>
      <c r="M67" s="467">
        <f ca="1">SUM(M68:M72)</f>
        <v>3617.81</v>
      </c>
    </row>
    <row r="68" spans="2:13" s="21" customFormat="1" ht="15" customHeight="1" x14ac:dyDescent="0.25">
      <c r="B68" s="110" t="str">
        <f>'[1]Memo calc'!B805</f>
        <v>P8066</v>
      </c>
      <c r="C68" s="581" t="str">
        <f t="shared" ref="C68" ca="1" si="55">IFERROR(VLOOKUP(B68,MO_Matriz,2,0),"")</f>
        <v>Engenheiro de projetos pleno</v>
      </c>
      <c r="D68" s="582" t="str">
        <f t="shared" ref="D68" ca="1" si="56">IFERROR(VLOOKUP(C68,MO_Matriz,2,0),"")</f>
        <v/>
      </c>
      <c r="E68" s="110" t="str">
        <f ca="1">IFERROR(VLOOKUP(B68,MO_Matriz,3,0),"")</f>
        <v>S</v>
      </c>
      <c r="F68" s="110">
        <f>'[1]Memo calc'!H805</f>
        <v>1</v>
      </c>
      <c r="G68" s="110">
        <f>'[1]Memo calc'!J805</f>
        <v>1</v>
      </c>
      <c r="H68" s="245">
        <f>'[1]Memo calc'!L805</f>
        <v>7.333333333333333</v>
      </c>
      <c r="I68" s="246">
        <f>'Memo calc'!N841</f>
        <v>1.58</v>
      </c>
      <c r="J68" s="246">
        <f t="shared" ref="J68:J72" si="57">F68*G68*H68*I68</f>
        <v>11.586666666666666</v>
      </c>
      <c r="K68" s="246">
        <f t="shared" ref="K68:K72" si="58">J68/220</f>
        <v>5.266666666666666E-2</v>
      </c>
      <c r="L68" s="543">
        <f ca="1">IFERROR(VLOOKUP(B68,MO_Matriz,5,0),"")</f>
        <v>27591.759999999998</v>
      </c>
      <c r="M68" s="543">
        <f t="shared" ref="M68:M72" ca="1" si="59">ROUND(K68*L68,2)</f>
        <v>1453.17</v>
      </c>
    </row>
    <row r="69" spans="2:13" s="21" customFormat="1" ht="15" customHeight="1" x14ac:dyDescent="0.25">
      <c r="B69" s="110" t="str">
        <f>'[1]Memo calc'!B806</f>
        <v>P8080</v>
      </c>
      <c r="C69" s="581" t="str">
        <f t="shared" ref="C69:C71" ca="1" si="60">IFERROR(VLOOKUP(B69,MO_Matriz,2,0),"")</f>
        <v>Geólogo júnior</v>
      </c>
      <c r="D69" s="582" t="str">
        <f t="shared" ref="D69:D71" ca="1" si="61">IFERROR(VLOOKUP(C69,MO_Matriz,2,0),"")</f>
        <v/>
      </c>
      <c r="E69" s="110" t="str">
        <f ca="1">IFERROR(VLOOKUP(B69,MO_Matriz,3,0),"")</f>
        <v>S</v>
      </c>
      <c r="F69" s="110">
        <f>'[1]Memo calc'!H806</f>
        <v>1</v>
      </c>
      <c r="G69" s="110">
        <f>'[1]Memo calc'!J806</f>
        <v>1</v>
      </c>
      <c r="H69" s="245">
        <f>'[1]Memo calc'!L806</f>
        <v>7.333333333333333</v>
      </c>
      <c r="I69" s="246">
        <f>'Memo calc'!N842</f>
        <v>1.58</v>
      </c>
      <c r="J69" s="246">
        <f t="shared" si="57"/>
        <v>11.586666666666666</v>
      </c>
      <c r="K69" s="246">
        <f t="shared" si="58"/>
        <v>5.266666666666666E-2</v>
      </c>
      <c r="L69" s="543">
        <f ca="1">IFERROR(VLOOKUP(B69,MO_Matriz,5,0),"")</f>
        <v>24321.09</v>
      </c>
      <c r="M69" s="543">
        <f t="shared" ca="1" si="59"/>
        <v>1280.9100000000001</v>
      </c>
    </row>
    <row r="70" spans="2:13" s="21" customFormat="1" ht="15" customHeight="1" x14ac:dyDescent="0.25">
      <c r="B70" s="110" t="str">
        <f>'[1]Memo calc'!B807</f>
        <v>P9848</v>
      </c>
      <c r="C70" s="581" t="str">
        <f t="shared" ca="1" si="60"/>
        <v>Desenhista</v>
      </c>
      <c r="D70" s="582" t="str">
        <f t="shared" ca="1" si="61"/>
        <v/>
      </c>
      <c r="E70" s="110" t="str">
        <f ca="1">IFERROR(VLOOKUP(B70,MO_Matriz,3,0),"")</f>
        <v>T</v>
      </c>
      <c r="F70" s="110">
        <f>'[1]Memo calc'!H807</f>
        <v>1</v>
      </c>
      <c r="G70" s="110">
        <f>'[1]Memo calc'!J807</f>
        <v>1</v>
      </c>
      <c r="H70" s="245">
        <f>'[1]Memo calc'!L807</f>
        <v>7.333333333333333</v>
      </c>
      <c r="I70" s="246">
        <f>'Memo calc'!N843</f>
        <v>1.58</v>
      </c>
      <c r="J70" s="246">
        <f t="shared" si="57"/>
        <v>11.586666666666666</v>
      </c>
      <c r="K70" s="246">
        <f t="shared" si="58"/>
        <v>5.266666666666666E-2</v>
      </c>
      <c r="L70" s="543">
        <f ca="1">IFERROR(VLOOKUP(B70,MO_Matriz,5,0),"")</f>
        <v>7821.6815999999999</v>
      </c>
      <c r="M70" s="543">
        <f t="shared" ca="1" si="59"/>
        <v>411.94</v>
      </c>
    </row>
    <row r="71" spans="2:13" s="21" customFormat="1" ht="15" customHeight="1" x14ac:dyDescent="0.25">
      <c r="B71" s="110" t="str">
        <f>'[1]Memo calc'!B808</f>
        <v>P8026</v>
      </c>
      <c r="C71" s="581" t="str">
        <f t="shared" ca="1" si="60"/>
        <v>Auxiliar administrativo</v>
      </c>
      <c r="D71" s="582" t="str">
        <f t="shared" ca="1" si="61"/>
        <v/>
      </c>
      <c r="E71" s="110" t="str">
        <f ca="1">IFERROR(VLOOKUP(B71,MO_Matriz,3,0),"")</f>
        <v>A</v>
      </c>
      <c r="F71" s="110">
        <f>'[1]Memo calc'!H808</f>
        <v>1</v>
      </c>
      <c r="G71" s="110">
        <f>'[1]Memo calc'!J808</f>
        <v>1</v>
      </c>
      <c r="H71" s="245">
        <f>'[1]Memo calc'!L808</f>
        <v>7.333333333333333</v>
      </c>
      <c r="I71" s="246">
        <f>'Memo calc'!N844</f>
        <v>1.58</v>
      </c>
      <c r="J71" s="246">
        <f t="shared" si="57"/>
        <v>11.586666666666666</v>
      </c>
      <c r="K71" s="246">
        <f t="shared" si="58"/>
        <v>5.266666666666666E-2</v>
      </c>
      <c r="L71" s="543">
        <f ca="1">IFERROR(VLOOKUP(B71,MO_Matriz,5,0),"")</f>
        <v>4681.6899999999996</v>
      </c>
      <c r="M71" s="543">
        <f t="shared" ca="1" si="59"/>
        <v>246.57</v>
      </c>
    </row>
    <row r="72" spans="2:13" s="21" customFormat="1" ht="15" customHeight="1" x14ac:dyDescent="0.25">
      <c r="B72" s="110" t="str">
        <f>'[1]Memo calc'!B809</f>
        <v>P8025</v>
      </c>
      <c r="C72" s="581" t="str">
        <f t="shared" ref="C72" ca="1" si="62">IFERROR(VLOOKUP(B72,MO_Matriz,2,0),"")</f>
        <v>Auxiliar</v>
      </c>
      <c r="D72" s="582" t="str">
        <f t="shared" ref="D72" ca="1" si="63">IFERROR(VLOOKUP(C72,MO_Matriz,2,0),"")</f>
        <v/>
      </c>
      <c r="E72" s="110" t="str">
        <f ca="1">IFERROR(VLOOKUP(B72,MO_Matriz,3,0),"")</f>
        <v>A</v>
      </c>
      <c r="F72" s="110">
        <f>'[1]Memo calc'!H809</f>
        <v>1</v>
      </c>
      <c r="G72" s="110">
        <f>'[1]Memo calc'!J809</f>
        <v>1</v>
      </c>
      <c r="H72" s="245">
        <f>'[1]Memo calc'!L809</f>
        <v>7.333333333333333</v>
      </c>
      <c r="I72" s="246">
        <f>'Memo calc'!N845</f>
        <v>1.58</v>
      </c>
      <c r="J72" s="246">
        <f t="shared" si="57"/>
        <v>11.586666666666666</v>
      </c>
      <c r="K72" s="246">
        <f t="shared" si="58"/>
        <v>5.266666666666666E-2</v>
      </c>
      <c r="L72" s="543">
        <f ca="1">IFERROR(VLOOKUP(B72,MO_Matriz,5,0),"")</f>
        <v>4276.41</v>
      </c>
      <c r="M72" s="543">
        <f t="shared" ca="1" si="59"/>
        <v>225.22</v>
      </c>
    </row>
    <row r="73" spans="2:13" s="21" customFormat="1" ht="15" customHeight="1" x14ac:dyDescent="0.25">
      <c r="B73" s="244" t="s">
        <v>597</v>
      </c>
      <c r="C73" s="12"/>
      <c r="D73" s="12"/>
      <c r="E73" s="12"/>
      <c r="F73" s="12"/>
      <c r="G73" s="12"/>
      <c r="H73" s="12"/>
      <c r="I73" s="12"/>
      <c r="J73" s="12"/>
      <c r="K73" s="12"/>
      <c r="L73" s="12"/>
      <c r="M73" s="47">
        <f ca="1">SUM(M74:M75)</f>
        <v>4816.57</v>
      </c>
    </row>
    <row r="74" spans="2:13" s="21" customFormat="1" ht="15" customHeight="1" x14ac:dyDescent="0.25">
      <c r="B74" s="110" t="str">
        <f>'Memo calc'!B1172</f>
        <v>P8065</v>
      </c>
      <c r="C74" s="581" t="str">
        <f t="shared" ref="C74:D75" ca="1" si="64">IFERROR(VLOOKUP(B74,MO_Matriz,2,0),"")</f>
        <v>Engenheiro de projetos júnior</v>
      </c>
      <c r="D74" s="582" t="str">
        <f t="shared" ca="1" si="64"/>
        <v/>
      </c>
      <c r="E74" s="110" t="str">
        <f ca="1">IFERROR(VLOOKUP(B74,MO_Matriz,3,0),"")</f>
        <v>S</v>
      </c>
      <c r="F74" s="110">
        <f>'Memo calc'!H1172</f>
        <v>1</v>
      </c>
      <c r="G74" s="110">
        <f>'Memo calc'!I1172</f>
        <v>1</v>
      </c>
      <c r="H74" s="245">
        <f>'Memo calc'!K1172</f>
        <v>7.333333333333333</v>
      </c>
      <c r="I74" s="246">
        <f>'Memo calc'!M1172</f>
        <v>4.5</v>
      </c>
      <c r="J74" s="246">
        <f>F74*G74*H74*I74</f>
        <v>33</v>
      </c>
      <c r="K74" s="246">
        <f>J74/220</f>
        <v>0.15</v>
      </c>
      <c r="L74" s="146">
        <f ca="1">IFERROR(VLOOKUP(B74,MO_Matriz,5,0),"")</f>
        <v>24288.81</v>
      </c>
      <c r="M74" s="146">
        <f ca="1">ROUND(K74*L74,2)</f>
        <v>3643.32</v>
      </c>
    </row>
    <row r="75" spans="2:13" s="21" customFormat="1" ht="15" customHeight="1" x14ac:dyDescent="0.25">
      <c r="B75" s="110" t="str">
        <f>'Memo calc'!B1173</f>
        <v>P9848</v>
      </c>
      <c r="C75" s="581" t="str">
        <f t="shared" ca="1" si="64"/>
        <v>Desenhista</v>
      </c>
      <c r="D75" s="582" t="str">
        <f t="shared" ca="1" si="64"/>
        <v/>
      </c>
      <c r="E75" s="110" t="str">
        <f ca="1">IFERROR(VLOOKUP(B75,MO_Matriz,3,0),"")</f>
        <v>T</v>
      </c>
      <c r="F75" s="110">
        <f>'Memo calc'!H1173</f>
        <v>1</v>
      </c>
      <c r="G75" s="110">
        <f>'Memo calc'!I1173</f>
        <v>1</v>
      </c>
      <c r="H75" s="245">
        <f>'Memo calc'!K1173</f>
        <v>7.333333333333333</v>
      </c>
      <c r="I75" s="246">
        <f>'Memo calc'!M1173</f>
        <v>4.5</v>
      </c>
      <c r="J75" s="246">
        <f>F75*G75*H75*I75</f>
        <v>33</v>
      </c>
      <c r="K75" s="246">
        <f>J75/220</f>
        <v>0.15</v>
      </c>
      <c r="L75" s="146">
        <f ca="1">IFERROR(VLOOKUP(B75,MO_Matriz,5,0),"")</f>
        <v>7821.6815999999999</v>
      </c>
      <c r="M75" s="146">
        <f ca="1">ROUND(K75*L75,2)</f>
        <v>1173.25</v>
      </c>
    </row>
    <row r="76" spans="2:13" s="21" customFormat="1" ht="15" customHeight="1" x14ac:dyDescent="0.25">
      <c r="B76" s="244" t="s">
        <v>598</v>
      </c>
      <c r="C76" s="12"/>
      <c r="D76" s="12"/>
      <c r="E76" s="12"/>
      <c r="F76" s="12"/>
      <c r="G76" s="12"/>
      <c r="H76" s="12"/>
      <c r="I76" s="12"/>
      <c r="J76" s="12"/>
      <c r="K76" s="12"/>
      <c r="L76" s="12"/>
      <c r="M76" s="47">
        <f ca="1">SUM(M77:M78)</f>
        <v>7798.26</v>
      </c>
    </row>
    <row r="77" spans="2:13" s="21" customFormat="1" ht="15" customHeight="1" x14ac:dyDescent="0.25">
      <c r="B77" s="110" t="str">
        <f>'Memo calc'!B1218</f>
        <v>P8065</v>
      </c>
      <c r="C77" s="581" t="str">
        <f t="shared" ref="C77:D78" ca="1" si="65">IFERROR(VLOOKUP(B77,MO_Matriz,2,0),"")</f>
        <v>Engenheiro de projetos júnior</v>
      </c>
      <c r="D77" s="582" t="str">
        <f t="shared" ca="1" si="65"/>
        <v/>
      </c>
      <c r="E77" s="110" t="str">
        <f ca="1">IFERROR(VLOOKUP(B77,MO_Matriz,3,0),"")</f>
        <v>S</v>
      </c>
      <c r="F77" s="110">
        <f>'Memo calc'!H1218</f>
        <v>1</v>
      </c>
      <c r="G77" s="110">
        <f>'Memo calc'!I1218</f>
        <v>1</v>
      </c>
      <c r="H77" s="245">
        <f>'Memo calc'!K1218</f>
        <v>7.333333333333333</v>
      </c>
      <c r="I77" s="246">
        <f>'Memo calc'!M1218</f>
        <v>7.2857142857142856</v>
      </c>
      <c r="J77" s="246">
        <f>F77*G77*H77*I77</f>
        <v>53.428571428571423</v>
      </c>
      <c r="K77" s="246">
        <f>J77/220</f>
        <v>0.24285714285714283</v>
      </c>
      <c r="L77" s="146">
        <f ca="1">IFERROR(VLOOKUP(B77,MO_Matriz,5,0),"")</f>
        <v>24288.81</v>
      </c>
      <c r="M77" s="146">
        <f ca="1">ROUND(K77*L77,2)</f>
        <v>5898.71</v>
      </c>
    </row>
    <row r="78" spans="2:13" s="21" customFormat="1" ht="15" customHeight="1" x14ac:dyDescent="0.25">
      <c r="B78" s="110" t="str">
        <f>'Memo calc'!B1219</f>
        <v>P9848</v>
      </c>
      <c r="C78" s="581" t="str">
        <f t="shared" ca="1" si="65"/>
        <v>Desenhista</v>
      </c>
      <c r="D78" s="582" t="str">
        <f t="shared" ca="1" si="65"/>
        <v/>
      </c>
      <c r="E78" s="110" t="str">
        <f ca="1">IFERROR(VLOOKUP(B78,MO_Matriz,3,0),"")</f>
        <v>T</v>
      </c>
      <c r="F78" s="110">
        <f>'Memo calc'!H1219</f>
        <v>1</v>
      </c>
      <c r="G78" s="110">
        <f>'Memo calc'!I1219</f>
        <v>1</v>
      </c>
      <c r="H78" s="245">
        <f>'Memo calc'!K1219</f>
        <v>7.333333333333333</v>
      </c>
      <c r="I78" s="246">
        <f>'Memo calc'!M1219</f>
        <v>7.2857142857142856</v>
      </c>
      <c r="J78" s="246">
        <f>F78*G78*H78*I78</f>
        <v>53.428571428571423</v>
      </c>
      <c r="K78" s="246">
        <f>J78/220</f>
        <v>0.24285714285714283</v>
      </c>
      <c r="L78" s="146">
        <f ca="1">IFERROR(VLOOKUP(B78,MO_Matriz,5,0),"")</f>
        <v>7821.6815999999999</v>
      </c>
      <c r="M78" s="146">
        <f ca="1">ROUND(K78*L78,2)</f>
        <v>1899.55</v>
      </c>
    </row>
    <row r="79" spans="2:13" s="21" customFormat="1" ht="15" customHeight="1" x14ac:dyDescent="0.25">
      <c r="B79" s="244" t="s">
        <v>786</v>
      </c>
      <c r="C79" s="12"/>
      <c r="D79" s="12"/>
      <c r="E79" s="12"/>
      <c r="F79" s="12"/>
      <c r="G79" s="12"/>
      <c r="H79" s="12"/>
      <c r="I79" s="12"/>
      <c r="J79" s="12"/>
      <c r="K79" s="12"/>
      <c r="L79" s="12"/>
      <c r="M79" s="47">
        <f ca="1">SUM(M80:M81)</f>
        <v>7798.26</v>
      </c>
    </row>
    <row r="80" spans="2:13" s="21" customFormat="1" ht="15" customHeight="1" x14ac:dyDescent="0.25">
      <c r="B80" s="110" t="str">
        <f>'Memo calc'!B1264</f>
        <v>P8065</v>
      </c>
      <c r="C80" s="581" t="str">
        <f t="shared" ref="C80:D81" ca="1" si="66">IFERROR(VLOOKUP(B80,MO_Matriz,2,0),"")</f>
        <v>Engenheiro de projetos júnior</v>
      </c>
      <c r="D80" s="582" t="str">
        <f t="shared" ca="1" si="66"/>
        <v/>
      </c>
      <c r="E80" s="110" t="str">
        <f ca="1">IFERROR(VLOOKUP(B80,MO_Matriz,3,0),"")</f>
        <v>S</v>
      </c>
      <c r="F80" s="110">
        <f>'Memo calc'!H1264</f>
        <v>1</v>
      </c>
      <c r="G80" s="110">
        <f>'Memo calc'!I1264</f>
        <v>1</v>
      </c>
      <c r="H80" s="245">
        <f>'Memo calc'!K1264</f>
        <v>7.333333333333333</v>
      </c>
      <c r="I80" s="246">
        <f>'Memo calc'!M1264</f>
        <v>7.2857142857142856</v>
      </c>
      <c r="J80" s="246">
        <f>F80*G80*H80*I80</f>
        <v>53.428571428571423</v>
      </c>
      <c r="K80" s="246">
        <f>J80/220</f>
        <v>0.24285714285714283</v>
      </c>
      <c r="L80" s="146">
        <f ca="1">IFERROR(VLOOKUP(B80,MO_Matriz,5,0),"")</f>
        <v>24288.81</v>
      </c>
      <c r="M80" s="146">
        <f ca="1">ROUND(K80*L80,2)</f>
        <v>5898.71</v>
      </c>
    </row>
    <row r="81" spans="2:13" s="21" customFormat="1" ht="15" customHeight="1" x14ac:dyDescent="0.25">
      <c r="B81" s="110" t="str">
        <f>'Memo calc'!B1265</f>
        <v>P9848</v>
      </c>
      <c r="C81" s="581" t="str">
        <f t="shared" ca="1" si="66"/>
        <v>Desenhista</v>
      </c>
      <c r="D81" s="582" t="str">
        <f t="shared" ca="1" si="66"/>
        <v/>
      </c>
      <c r="E81" s="110" t="str">
        <f ca="1">IFERROR(VLOOKUP(B81,MO_Matriz,3,0),"")</f>
        <v>T</v>
      </c>
      <c r="F81" s="110">
        <f>'Memo calc'!H1265</f>
        <v>1</v>
      </c>
      <c r="G81" s="110">
        <f>'Memo calc'!I1265</f>
        <v>1</v>
      </c>
      <c r="H81" s="245">
        <f>'Memo calc'!K1265</f>
        <v>7.333333333333333</v>
      </c>
      <c r="I81" s="246">
        <f>'Memo calc'!M1265</f>
        <v>7.2857142857142856</v>
      </c>
      <c r="J81" s="246">
        <f>F81*G81*H81*I81</f>
        <v>53.428571428571423</v>
      </c>
      <c r="K81" s="246">
        <f>J81/220</f>
        <v>0.24285714285714283</v>
      </c>
      <c r="L81" s="146">
        <f ca="1">IFERROR(VLOOKUP(B81,MO_Matriz,5,0),"")</f>
        <v>7821.6815999999999</v>
      </c>
      <c r="M81" s="146">
        <f ca="1">ROUND(K81*L81,2)</f>
        <v>1899.55</v>
      </c>
    </row>
    <row r="82" spans="2:13" s="21" customFormat="1" ht="15" customHeight="1" x14ac:dyDescent="0.25">
      <c r="B82" s="244" t="s">
        <v>599</v>
      </c>
      <c r="C82" s="12"/>
      <c r="D82" s="12"/>
      <c r="E82" s="12"/>
      <c r="F82" s="12"/>
      <c r="G82" s="12"/>
      <c r="H82" s="12"/>
      <c r="I82" s="12"/>
      <c r="J82" s="12"/>
      <c r="K82" s="12"/>
      <c r="L82" s="12"/>
      <c r="M82" s="47">
        <f ca="1">SUM(M83:M84)</f>
        <v>4816.57</v>
      </c>
    </row>
    <row r="83" spans="2:13" s="21" customFormat="1" ht="15" customHeight="1" x14ac:dyDescent="0.25">
      <c r="B83" s="110" t="str">
        <f>'Memo calc'!B1310</f>
        <v>P8065</v>
      </c>
      <c r="C83" s="581" t="str">
        <f t="shared" ref="C83:D84" ca="1" si="67">IFERROR(VLOOKUP(B83,MO_Matriz,2,0),"")</f>
        <v>Engenheiro de projetos júnior</v>
      </c>
      <c r="D83" s="582" t="str">
        <f t="shared" ca="1" si="67"/>
        <v/>
      </c>
      <c r="E83" s="110" t="str">
        <f ca="1">IFERROR(VLOOKUP(B83,MO_Matriz,3,0),"")</f>
        <v>S</v>
      </c>
      <c r="F83" s="110">
        <f>'Memo calc'!H1310</f>
        <v>1</v>
      </c>
      <c r="G83" s="110">
        <f>'Memo calc'!I1310</f>
        <v>1</v>
      </c>
      <c r="H83" s="245">
        <f>'Memo calc'!K1310</f>
        <v>7.333333333333333</v>
      </c>
      <c r="I83" s="246">
        <f>'Memo calc'!M1310</f>
        <v>4.5</v>
      </c>
      <c r="J83" s="246">
        <f>F83*G83*H83*I83</f>
        <v>33</v>
      </c>
      <c r="K83" s="246">
        <f>J83/220</f>
        <v>0.15</v>
      </c>
      <c r="L83" s="146">
        <f ca="1">IFERROR(VLOOKUP(B83,MO_Matriz,5,0),"")</f>
        <v>24288.81</v>
      </c>
      <c r="M83" s="146">
        <f ca="1">ROUND(K83*L83,2)</f>
        <v>3643.32</v>
      </c>
    </row>
    <row r="84" spans="2:13" s="21" customFormat="1" ht="15" customHeight="1" x14ac:dyDescent="0.25">
      <c r="B84" s="110" t="str">
        <f>'Memo calc'!B1311</f>
        <v>P9848</v>
      </c>
      <c r="C84" s="581" t="str">
        <f t="shared" ca="1" si="67"/>
        <v>Desenhista</v>
      </c>
      <c r="D84" s="582" t="str">
        <f t="shared" ca="1" si="67"/>
        <v/>
      </c>
      <c r="E84" s="110" t="str">
        <f ca="1">IFERROR(VLOOKUP(B84,MO_Matriz,3,0),"")</f>
        <v>T</v>
      </c>
      <c r="F84" s="110">
        <f>'Memo calc'!H1311</f>
        <v>1</v>
      </c>
      <c r="G84" s="110">
        <f>'Memo calc'!I1311</f>
        <v>1</v>
      </c>
      <c r="H84" s="245">
        <f>'Memo calc'!K1311</f>
        <v>7.333333333333333</v>
      </c>
      <c r="I84" s="246">
        <f>'Memo calc'!M1311</f>
        <v>4.5</v>
      </c>
      <c r="J84" s="246">
        <f>F84*G84*H84*I84</f>
        <v>33</v>
      </c>
      <c r="K84" s="246">
        <f>J84/220</f>
        <v>0.15</v>
      </c>
      <c r="L84" s="146">
        <f ca="1">IFERROR(VLOOKUP(B84,MO_Matriz,5,0),"")</f>
        <v>7821.6815999999999</v>
      </c>
      <c r="M84" s="146">
        <f ca="1">ROUND(K84*L84,2)</f>
        <v>1173.25</v>
      </c>
    </row>
    <row r="85" spans="2:13" s="21" customFormat="1" ht="15" customHeight="1" x14ac:dyDescent="0.25">
      <c r="B85" s="244" t="s">
        <v>600</v>
      </c>
      <c r="C85" s="12"/>
      <c r="D85" s="12"/>
      <c r="E85" s="12"/>
      <c r="F85" s="12"/>
      <c r="G85" s="12"/>
      <c r="H85" s="12"/>
      <c r="I85" s="12"/>
      <c r="J85" s="12"/>
      <c r="K85" s="12"/>
      <c r="L85" s="12"/>
      <c r="M85" s="47">
        <f ca="1">SUM(M86:M87)</f>
        <v>3746.2200000000003</v>
      </c>
    </row>
    <row r="86" spans="2:13" s="21" customFormat="1" ht="15" customHeight="1" x14ac:dyDescent="0.25">
      <c r="B86" s="110" t="str">
        <f>'Memo calc'!B1356</f>
        <v>P8065</v>
      </c>
      <c r="C86" s="581" t="str">
        <f t="shared" ref="C86:D87" ca="1" si="68">IFERROR(VLOOKUP(B86,MO_Matriz,2,0),"")</f>
        <v>Engenheiro de projetos júnior</v>
      </c>
      <c r="D86" s="582" t="str">
        <f t="shared" ca="1" si="68"/>
        <v/>
      </c>
      <c r="E86" s="110" t="str">
        <f ca="1">IFERROR(VLOOKUP(B86,MO_Matriz,3,0),"")</f>
        <v>S</v>
      </c>
      <c r="F86" s="110">
        <f>'Memo calc'!H1356</f>
        <v>1</v>
      </c>
      <c r="G86" s="110">
        <f>'Memo calc'!I1356</f>
        <v>1</v>
      </c>
      <c r="H86" s="245">
        <f>'Memo calc'!K1356</f>
        <v>7.333333333333333</v>
      </c>
      <c r="I86" s="246">
        <f>'Memo calc'!M1356</f>
        <v>3.5</v>
      </c>
      <c r="J86" s="246">
        <f>F86*G86*H86*I86</f>
        <v>25.666666666666664</v>
      </c>
      <c r="K86" s="246">
        <f>J86/220</f>
        <v>0.11666666666666665</v>
      </c>
      <c r="L86" s="146">
        <f ca="1">IFERROR(VLOOKUP(B86,MO_Matriz,5,0),"")</f>
        <v>24288.81</v>
      </c>
      <c r="M86" s="146">
        <f ca="1">ROUND(K86*L86,2)</f>
        <v>2833.69</v>
      </c>
    </row>
    <row r="87" spans="2:13" s="21" customFormat="1" ht="15" customHeight="1" x14ac:dyDescent="0.25">
      <c r="B87" s="110" t="str">
        <f>'Memo calc'!B1357</f>
        <v>P9848</v>
      </c>
      <c r="C87" s="581" t="str">
        <f t="shared" ca="1" si="68"/>
        <v>Desenhista</v>
      </c>
      <c r="D87" s="582" t="str">
        <f t="shared" ca="1" si="68"/>
        <v/>
      </c>
      <c r="E87" s="110" t="str">
        <f ca="1">IFERROR(VLOOKUP(B87,MO_Matriz,3,0),"")</f>
        <v>T</v>
      </c>
      <c r="F87" s="110">
        <f>'Memo calc'!H1357</f>
        <v>1</v>
      </c>
      <c r="G87" s="110">
        <f>'Memo calc'!I1357</f>
        <v>1</v>
      </c>
      <c r="H87" s="245">
        <f>'Memo calc'!K1357</f>
        <v>7.333333333333333</v>
      </c>
      <c r="I87" s="246">
        <f>'Memo calc'!M1357</f>
        <v>3.5</v>
      </c>
      <c r="J87" s="246">
        <f>F87*G87*H87*I87</f>
        <v>25.666666666666664</v>
      </c>
      <c r="K87" s="246">
        <f>J87/220</f>
        <v>0.11666666666666665</v>
      </c>
      <c r="L87" s="146">
        <f ca="1">IFERROR(VLOOKUP(B87,MO_Matriz,5,0),"")</f>
        <v>7821.6815999999999</v>
      </c>
      <c r="M87" s="146">
        <f ca="1">ROUND(K87*L87,2)</f>
        <v>912.53</v>
      </c>
    </row>
    <row r="88" spans="2:13" s="21" customFormat="1" ht="15" customHeight="1" x14ac:dyDescent="0.25">
      <c r="B88" s="244" t="s">
        <v>602</v>
      </c>
      <c r="C88" s="12"/>
      <c r="D88" s="12"/>
      <c r="E88" s="12"/>
      <c r="F88" s="12"/>
      <c r="G88" s="12"/>
      <c r="H88" s="12"/>
      <c r="I88" s="12"/>
      <c r="J88" s="12"/>
      <c r="K88" s="12"/>
      <c r="L88" s="12"/>
      <c r="M88" s="47">
        <f ca="1">SUM(M89:M90)</f>
        <v>4228.54</v>
      </c>
    </row>
    <row r="89" spans="2:13" s="21" customFormat="1" ht="15" customHeight="1" x14ac:dyDescent="0.25">
      <c r="B89" s="110" t="str">
        <f>'Memo calc'!B1402</f>
        <v>P8065</v>
      </c>
      <c r="C89" s="581" t="str">
        <f t="shared" ref="C89:D90" ca="1" si="69">IFERROR(VLOOKUP(B89,MO_Matriz,2,0),"")</f>
        <v>Engenheiro de projetos júnior</v>
      </c>
      <c r="D89" s="582" t="str">
        <f t="shared" ca="1" si="69"/>
        <v/>
      </c>
      <c r="E89" s="110" t="str">
        <f ca="1">IFERROR(VLOOKUP(B89,MO_Matriz,3,0),"")</f>
        <v>S</v>
      </c>
      <c r="F89" s="110">
        <f>'Memo calc'!H1402</f>
        <v>1</v>
      </c>
      <c r="G89" s="110">
        <f>'Memo calc'!I1402</f>
        <v>1</v>
      </c>
      <c r="H89" s="245">
        <f>'Memo calc'!K1402</f>
        <v>7.333333333333333</v>
      </c>
      <c r="I89" s="246">
        <f>'Memo calc'!M1402</f>
        <v>3.9506299999999999</v>
      </c>
      <c r="J89" s="246">
        <f>F89*G89*H89*I89</f>
        <v>28.971286666666664</v>
      </c>
      <c r="K89" s="246">
        <f>J89/220</f>
        <v>0.13168766666666665</v>
      </c>
      <c r="L89" s="146">
        <f ca="1">IFERROR(VLOOKUP(B89,MO_Matriz,5,0),"")</f>
        <v>24288.81</v>
      </c>
      <c r="M89" s="146">
        <f ca="1">TRUNC(K89*L89,2)</f>
        <v>3198.53</v>
      </c>
    </row>
    <row r="90" spans="2:13" s="21" customFormat="1" ht="15" customHeight="1" x14ac:dyDescent="0.25">
      <c r="B90" s="110" t="str">
        <f>'Memo calc'!B1403</f>
        <v>P9848</v>
      </c>
      <c r="C90" s="581" t="str">
        <f t="shared" ca="1" si="69"/>
        <v>Desenhista</v>
      </c>
      <c r="D90" s="582" t="str">
        <f t="shared" ca="1" si="69"/>
        <v/>
      </c>
      <c r="E90" s="110" t="str">
        <f ca="1">IFERROR(VLOOKUP(B90,MO_Matriz,3,0),"")</f>
        <v>T</v>
      </c>
      <c r="F90" s="110">
        <f>'Memo calc'!H1403</f>
        <v>1</v>
      </c>
      <c r="G90" s="110">
        <f>'Memo calc'!I1403</f>
        <v>1</v>
      </c>
      <c r="H90" s="245">
        <f>'Memo calc'!K1403</f>
        <v>7.333333333333333</v>
      </c>
      <c r="I90" s="246">
        <f>'Memo calc'!M1403</f>
        <v>3.9506299999999999</v>
      </c>
      <c r="J90" s="246">
        <f>F90*G90*H90*I90</f>
        <v>28.971286666666664</v>
      </c>
      <c r="K90" s="246">
        <f>J90/220</f>
        <v>0.13168766666666665</v>
      </c>
      <c r="L90" s="146">
        <f ca="1">IFERROR(VLOOKUP(B90,MO_Matriz,5,0),"")</f>
        <v>7821.6815999999999</v>
      </c>
      <c r="M90" s="146">
        <f ca="1">TRUNC(K90*L90,2)</f>
        <v>1030.01</v>
      </c>
    </row>
    <row r="91" spans="2:13" s="21" customFormat="1" ht="15" customHeight="1" x14ac:dyDescent="0.25">
      <c r="B91" s="244" t="s">
        <v>604</v>
      </c>
      <c r="C91" s="12"/>
      <c r="D91" s="12"/>
      <c r="E91" s="12"/>
      <c r="F91" s="12"/>
      <c r="G91" s="12"/>
      <c r="H91" s="12"/>
      <c r="I91" s="12"/>
      <c r="J91" s="12"/>
      <c r="K91" s="12"/>
      <c r="L91" s="12"/>
      <c r="M91" s="47">
        <f ca="1">SUM(M92:M93)</f>
        <v>2140.69</v>
      </c>
    </row>
    <row r="92" spans="2:13" s="21" customFormat="1" ht="15" customHeight="1" x14ac:dyDescent="0.25">
      <c r="B92" s="110" t="str">
        <f>'Memo calc'!B1448</f>
        <v>P8065</v>
      </c>
      <c r="C92" s="581" t="str">
        <f t="shared" ref="C92:D93" ca="1" si="70">IFERROR(VLOOKUP(B92,MO_Matriz,2,0),"")</f>
        <v>Engenheiro de projetos júnior</v>
      </c>
      <c r="D92" s="582" t="str">
        <f t="shared" ca="1" si="70"/>
        <v/>
      </c>
      <c r="E92" s="110" t="str">
        <f ca="1">IFERROR(VLOOKUP(B92,MO_Matriz,3,0),"")</f>
        <v>S</v>
      </c>
      <c r="F92" s="110">
        <f>'Memo calc'!H1448</f>
        <v>1</v>
      </c>
      <c r="G92" s="110">
        <f>'Memo calc'!I1448</f>
        <v>1</v>
      </c>
      <c r="H92" s="245">
        <f>'Memo calc'!K1448</f>
        <v>7.333333333333333</v>
      </c>
      <c r="I92" s="246">
        <f>'Memo calc'!M1448</f>
        <v>2</v>
      </c>
      <c r="J92" s="246">
        <f>F92*G92*H92*I92</f>
        <v>14.666666666666666</v>
      </c>
      <c r="K92" s="246">
        <f>J92/220</f>
        <v>6.6666666666666666E-2</v>
      </c>
      <c r="L92" s="146">
        <f ca="1">IFERROR(VLOOKUP(B92,MO_Matriz,5,0),"")</f>
        <v>24288.81</v>
      </c>
      <c r="M92" s="146">
        <f ca="1">TRUNC(K92*L92,2)</f>
        <v>1619.25</v>
      </c>
    </row>
    <row r="93" spans="2:13" s="21" customFormat="1" ht="15" customHeight="1" x14ac:dyDescent="0.25">
      <c r="B93" s="110" t="str">
        <f>'Memo calc'!B1449</f>
        <v>P9848</v>
      </c>
      <c r="C93" s="581" t="str">
        <f t="shared" ca="1" si="70"/>
        <v>Desenhista</v>
      </c>
      <c r="D93" s="582" t="str">
        <f t="shared" ca="1" si="70"/>
        <v/>
      </c>
      <c r="E93" s="110" t="str">
        <f ca="1">IFERROR(VLOOKUP(B93,MO_Matriz,3,0),"")</f>
        <v>T</v>
      </c>
      <c r="F93" s="110">
        <f>'Memo calc'!H1449</f>
        <v>1</v>
      </c>
      <c r="G93" s="110">
        <f>'Memo calc'!I1449</f>
        <v>1</v>
      </c>
      <c r="H93" s="245">
        <f>'Memo calc'!K1449</f>
        <v>7.333333333333333</v>
      </c>
      <c r="I93" s="246">
        <f>'Memo calc'!M1449</f>
        <v>2</v>
      </c>
      <c r="J93" s="246">
        <f>F93*G93*H93*I93</f>
        <v>14.666666666666666</v>
      </c>
      <c r="K93" s="246">
        <f>J93/220</f>
        <v>6.6666666666666666E-2</v>
      </c>
      <c r="L93" s="146">
        <f ca="1">IFERROR(VLOOKUP(B93,MO_Matriz,5,0),"")</f>
        <v>7821.6815999999999</v>
      </c>
      <c r="M93" s="146">
        <f ca="1">TRUNC(K93*L93,2)</f>
        <v>521.44000000000005</v>
      </c>
    </row>
    <row r="94" spans="2:13" s="21" customFormat="1" ht="15" customHeight="1" x14ac:dyDescent="0.25">
      <c r="B94" s="244" t="s">
        <v>606</v>
      </c>
      <c r="C94" s="12"/>
      <c r="D94" s="12"/>
      <c r="E94" s="12"/>
      <c r="F94" s="12"/>
      <c r="G94" s="12"/>
      <c r="H94" s="12"/>
      <c r="I94" s="12"/>
      <c r="J94" s="12"/>
      <c r="K94" s="12"/>
      <c r="L94" s="12"/>
      <c r="M94" s="47">
        <f ca="1">SUM(M95:M96)</f>
        <v>1078.1600000000001</v>
      </c>
    </row>
    <row r="95" spans="2:13" s="21" customFormat="1" ht="15" customHeight="1" x14ac:dyDescent="0.25">
      <c r="B95" s="110" t="str">
        <f>'Memo calc'!B1494</f>
        <v>P8081</v>
      </c>
      <c r="C95" s="581" t="str">
        <f t="shared" ref="C95:D96" ca="1" si="71">IFERROR(VLOOKUP(B95,MO_Matriz,2,0),"")</f>
        <v>Geólogo pleno</v>
      </c>
      <c r="D95" s="582" t="str">
        <f t="shared" ca="1" si="71"/>
        <v/>
      </c>
      <c r="E95" s="110" t="str">
        <f ca="1">IFERROR(VLOOKUP(B95,MO_Matriz,3,0),"")</f>
        <v>S</v>
      </c>
      <c r="F95" s="110">
        <f>'Memo calc'!H1494</f>
        <v>1</v>
      </c>
      <c r="G95" s="110">
        <f>'Memo calc'!I1494</f>
        <v>1</v>
      </c>
      <c r="H95" s="245">
        <f>'Memo calc'!K1494</f>
        <v>7.333333333333333</v>
      </c>
      <c r="I95" s="246">
        <f>'Memo calc'!M1494</f>
        <v>1</v>
      </c>
      <c r="J95" s="246">
        <f>F95*G95*H95*I95</f>
        <v>7.333333333333333</v>
      </c>
      <c r="K95" s="246">
        <f>J95/220</f>
        <v>3.3333333333333333E-2</v>
      </c>
      <c r="L95" s="146">
        <f ca="1">IFERROR(VLOOKUP(B95,MO_Matriz,5,0),"")</f>
        <v>25780.18</v>
      </c>
      <c r="M95" s="146">
        <f ca="1">TRUNC(K95*L95,2)</f>
        <v>859.33</v>
      </c>
    </row>
    <row r="96" spans="2:13" s="21" customFormat="1" ht="15" customHeight="1" x14ac:dyDescent="0.25">
      <c r="B96" s="110" t="str">
        <f>'Memo calc'!B1495</f>
        <v>P8143</v>
      </c>
      <c r="C96" s="581" t="str">
        <f t="shared" ca="1" si="71"/>
        <v>Técnico ambiental</v>
      </c>
      <c r="D96" s="582" t="str">
        <f t="shared" ca="1" si="71"/>
        <v/>
      </c>
      <c r="E96" s="110" t="str">
        <f ca="1">IFERROR(VLOOKUP(B96,MO_Matriz,3,0),"")</f>
        <v>T</v>
      </c>
      <c r="F96" s="110">
        <f>'Memo calc'!H1495</f>
        <v>1</v>
      </c>
      <c r="G96" s="110">
        <f>'Memo calc'!I1495</f>
        <v>1</v>
      </c>
      <c r="H96" s="245">
        <f>'Memo calc'!K1495</f>
        <v>7.333333333333333</v>
      </c>
      <c r="I96" s="246">
        <f>'Memo calc'!M1495</f>
        <v>1</v>
      </c>
      <c r="J96" s="246">
        <f>F96*G96*H96*I96</f>
        <v>7.333333333333333</v>
      </c>
      <c r="K96" s="246">
        <f>J96/220</f>
        <v>3.3333333333333333E-2</v>
      </c>
      <c r="L96" s="146">
        <f ca="1">IFERROR(VLOOKUP(B96,MO_Matriz,5,0),"")</f>
        <v>6565.04</v>
      </c>
      <c r="M96" s="146">
        <f ca="1">TRUNC(K96*L96,2)</f>
        <v>218.83</v>
      </c>
    </row>
    <row r="97" spans="2:13" ht="15" customHeight="1" x14ac:dyDescent="0.25">
      <c r="B97" s="232" t="s">
        <v>608</v>
      </c>
      <c r="C97" s="12"/>
      <c r="D97" s="12"/>
      <c r="E97" s="12"/>
      <c r="F97" s="12"/>
      <c r="G97" s="12"/>
      <c r="H97" s="12"/>
      <c r="I97" s="12"/>
      <c r="J97" s="12"/>
      <c r="K97" s="12"/>
      <c r="L97" s="12"/>
      <c r="M97" s="47">
        <f ca="1">SUM(M98:M99)</f>
        <v>3446.17</v>
      </c>
    </row>
    <row r="98" spans="2:13" ht="15" customHeight="1" x14ac:dyDescent="0.25">
      <c r="B98" s="110" t="str">
        <f>'Memo calc'!B1540</f>
        <v>P8065</v>
      </c>
      <c r="C98" s="581" t="str">
        <f ca="1">IFERROR(VLOOKUP(B98,MO_Matriz,2,0),"")</f>
        <v>Engenheiro de projetos júnior</v>
      </c>
      <c r="D98" s="582" t="str">
        <f ca="1">IFERROR(VLOOKUP(C98,MO_Matriz,2,0),"")</f>
        <v/>
      </c>
      <c r="E98" s="110" t="str">
        <f ca="1">IFERROR(VLOOKUP(B98,MO_Matriz,3,0),"")</f>
        <v>S</v>
      </c>
      <c r="F98" s="110">
        <f>'Memo calc'!H1540</f>
        <v>1</v>
      </c>
      <c r="G98" s="110">
        <f>'Memo calc'!I1540</f>
        <v>1</v>
      </c>
      <c r="H98" s="245">
        <f>'Memo calc'!K1540</f>
        <v>7.333333333333333</v>
      </c>
      <c r="I98" s="246">
        <f>'Memo calc'!M1540</f>
        <v>3.3</v>
      </c>
      <c r="J98" s="246">
        <f>F98*G98*H98*I98</f>
        <v>24.2</v>
      </c>
      <c r="K98" s="246">
        <f>J98/220</f>
        <v>0.11</v>
      </c>
      <c r="L98" s="146">
        <f ca="1">IFERROR(VLOOKUP(B98,MO_Matriz,5,0),"")</f>
        <v>24288.81</v>
      </c>
      <c r="M98" s="146">
        <f ca="1">TRUNC(K98*L98,2)</f>
        <v>2671.76</v>
      </c>
    </row>
    <row r="99" spans="2:13" ht="15" customHeight="1" x14ac:dyDescent="0.25">
      <c r="B99" s="111" t="str">
        <f>'Memo calc'!B1541</f>
        <v>P8147</v>
      </c>
      <c r="C99" s="585" t="str">
        <f ca="1">IFERROR(VLOOKUP(B99,MO_Matriz,2,0),"")</f>
        <v>Técnico de obras</v>
      </c>
      <c r="D99" s="586" t="str">
        <f ca="1">IFERROR(VLOOKUP(C99,MO_Matriz,2,0),"")</f>
        <v/>
      </c>
      <c r="E99" s="111" t="str">
        <f ca="1">IFERROR(VLOOKUP(B99,MO_Matriz,3,0),"")</f>
        <v>T</v>
      </c>
      <c r="F99" s="111">
        <f>'Memo calc'!H1541</f>
        <v>1</v>
      </c>
      <c r="G99" s="111">
        <f>'Memo calc'!I1541</f>
        <v>1</v>
      </c>
      <c r="H99" s="544">
        <f>'Memo calc'!K1541</f>
        <v>7.333333333333333</v>
      </c>
      <c r="I99" s="545">
        <f>'Memo calc'!M1541</f>
        <v>3.3</v>
      </c>
      <c r="J99" s="545">
        <f>F99*G99*H99*I99</f>
        <v>24.2</v>
      </c>
      <c r="K99" s="545">
        <f>J99/220</f>
        <v>0.11</v>
      </c>
      <c r="L99" s="148">
        <f ca="1">IFERROR(VLOOKUP(B99,MO_Matriz,5,0),"")</f>
        <v>7040.14</v>
      </c>
      <c r="M99" s="148">
        <f ca="1">TRUNC(K99*L99,2)</f>
        <v>774.41</v>
      </c>
    </row>
    <row r="100" spans="2:13" ht="15" customHeight="1" x14ac:dyDescent="0.25">
      <c r="B100" s="232" t="s">
        <v>928</v>
      </c>
      <c r="C100" s="12"/>
      <c r="D100" s="12"/>
      <c r="E100" s="12"/>
      <c r="F100" s="12"/>
      <c r="G100" s="12"/>
      <c r="H100" s="12"/>
      <c r="I100" s="12"/>
      <c r="J100" s="12"/>
      <c r="K100" s="12"/>
      <c r="L100" s="12"/>
      <c r="M100" s="47">
        <f ca="1">SUM(M101:M102)</f>
        <v>5221.4799999999996</v>
      </c>
    </row>
    <row r="101" spans="2:13" ht="15" customHeight="1" x14ac:dyDescent="0.25">
      <c r="B101" s="110" t="str">
        <f>'Memo calc'!B1585</f>
        <v>P8065</v>
      </c>
      <c r="C101" s="581" t="str">
        <f ca="1">IFERROR(VLOOKUP(B101,MO_Matriz,2,0),"")</f>
        <v>Engenheiro de projetos júnior</v>
      </c>
      <c r="D101" s="582" t="str">
        <f ca="1">IFERROR(VLOOKUP(C101,MO_Matriz,2,0),"")</f>
        <v/>
      </c>
      <c r="E101" s="110" t="str">
        <f ca="1">IFERROR(VLOOKUP(B101,MO_Matriz,3,0),"")</f>
        <v>S</v>
      </c>
      <c r="F101" s="110">
        <f>'Memo calc'!H1585</f>
        <v>1</v>
      </c>
      <c r="G101" s="110">
        <f>'Memo calc'!I1585</f>
        <v>1</v>
      </c>
      <c r="H101" s="245">
        <f>'Memo calc'!K1585</f>
        <v>7.333333333333333</v>
      </c>
      <c r="I101" s="246">
        <f>'Memo calc'!M1585</f>
        <v>5</v>
      </c>
      <c r="J101" s="246">
        <f>F101*G101*H101*I101</f>
        <v>36.666666666666664</v>
      </c>
      <c r="K101" s="246">
        <f>J101/220</f>
        <v>0.16666666666666666</v>
      </c>
      <c r="L101" s="146">
        <f ca="1">IFERROR(VLOOKUP(B101,MO_Matriz,5,0),"")</f>
        <v>24288.81</v>
      </c>
      <c r="M101" s="146">
        <f ca="1">TRUNC(K101*L101,2)</f>
        <v>4048.13</v>
      </c>
    </row>
    <row r="102" spans="2:13" ht="15" customHeight="1" x14ac:dyDescent="0.25">
      <c r="B102" s="110" t="str">
        <f>'Memo calc'!B1586</f>
        <v>P8147</v>
      </c>
      <c r="C102" s="581" t="str">
        <f ca="1">IFERROR(VLOOKUP(B102,MO_Matriz,2,0),"")</f>
        <v>Técnico de obras</v>
      </c>
      <c r="D102" s="582" t="str">
        <f ca="1">IFERROR(VLOOKUP(C102,MO_Matriz,2,0),"")</f>
        <v/>
      </c>
      <c r="E102" s="110" t="str">
        <f ca="1">IFERROR(VLOOKUP(B102,MO_Matriz,3,0),"")</f>
        <v>T</v>
      </c>
      <c r="F102" s="110">
        <f>'Memo calc'!H1586</f>
        <v>1</v>
      </c>
      <c r="G102" s="110">
        <f>'Memo calc'!I1586</f>
        <v>1</v>
      </c>
      <c r="H102" s="245">
        <f>'Memo calc'!K1586</f>
        <v>7.333333333333333</v>
      </c>
      <c r="I102" s="246">
        <f>'Memo calc'!M1586</f>
        <v>5</v>
      </c>
      <c r="J102" s="246">
        <f>F102*G102*H102*I102</f>
        <v>36.666666666666664</v>
      </c>
      <c r="K102" s="246">
        <f>J102/220</f>
        <v>0.16666666666666666</v>
      </c>
      <c r="L102" s="146">
        <f ca="1">IFERROR(VLOOKUP(B102,MO_Matriz,5,0),"")</f>
        <v>7040.14</v>
      </c>
      <c r="M102" s="146">
        <f ca="1">TRUNC(K102*L102,2)</f>
        <v>1173.3499999999999</v>
      </c>
    </row>
    <row r="103" spans="2:13" ht="15" customHeight="1" x14ac:dyDescent="0.25">
      <c r="B103" s="420" t="s">
        <v>1183</v>
      </c>
      <c r="C103" s="12"/>
      <c r="D103" s="12"/>
      <c r="E103" s="12"/>
      <c r="F103" s="12"/>
      <c r="G103" s="12"/>
      <c r="H103" s="12"/>
      <c r="I103" s="12"/>
      <c r="J103" s="12"/>
      <c r="K103" s="12"/>
      <c r="L103" s="12"/>
      <c r="M103" s="47">
        <f ca="1">SUM(M104:M107)</f>
        <v>3638.9900000000002</v>
      </c>
    </row>
    <row r="104" spans="2:13" ht="15" customHeight="1" x14ac:dyDescent="0.25">
      <c r="B104" s="110" t="str">
        <f>'Memo calc'!B1789</f>
        <v>P8058</v>
      </c>
      <c r="C104" s="581" t="str">
        <f t="shared" ref="C104:D107" ca="1" si="72">IFERROR(VLOOKUP(B104,MO_Matriz,2,0),"")</f>
        <v>Engenheiro ambiental pleno</v>
      </c>
      <c r="D104" s="582" t="str">
        <f t="shared" ca="1" si="72"/>
        <v/>
      </c>
      <c r="E104" s="110" t="str">
        <f ca="1">IFERROR(VLOOKUP(B104,MO_Matriz,3,0),"")</f>
        <v>S</v>
      </c>
      <c r="F104" s="110">
        <f>'Memo calc'!H1789</f>
        <v>1</v>
      </c>
      <c r="G104" s="110">
        <f>'Memo calc'!I1789</f>
        <v>1</v>
      </c>
      <c r="H104" s="245">
        <f>'Memo calc'!K1789</f>
        <v>7.333333333333333</v>
      </c>
      <c r="I104" s="246">
        <f>'Memo calc'!M1789</f>
        <v>3</v>
      </c>
      <c r="J104" s="246">
        <f>F104*G104*H104*I104</f>
        <v>22</v>
      </c>
      <c r="K104" s="246">
        <f>J104/220</f>
        <v>0.1</v>
      </c>
      <c r="L104" s="146">
        <f ca="1">IFERROR(VLOOKUP(B104,MO_Matriz,5,0),"")</f>
        <v>26558.86</v>
      </c>
      <c r="M104" s="146">
        <f ca="1">TRUNC(K104*L104,2)</f>
        <v>2655.88</v>
      </c>
    </row>
    <row r="105" spans="2:13" ht="15" customHeight="1" x14ac:dyDescent="0.25">
      <c r="B105" s="110" t="str">
        <f>'Memo calc'!B1790</f>
        <v>P8143</v>
      </c>
      <c r="C105" s="581" t="str">
        <f t="shared" ca="1" si="72"/>
        <v>Técnico ambiental</v>
      </c>
      <c r="D105" s="582" t="str">
        <f t="shared" ca="1" si="72"/>
        <v/>
      </c>
      <c r="E105" s="110" t="str">
        <f ca="1">IFERROR(VLOOKUP(B105,MO_Matriz,3,0),"")</f>
        <v>T</v>
      </c>
      <c r="F105" s="110">
        <f>'Memo calc'!H1790</f>
        <v>1</v>
      </c>
      <c r="G105" s="110">
        <f>'Memo calc'!I1790</f>
        <v>1</v>
      </c>
      <c r="H105" s="245">
        <f>'Memo calc'!K1790</f>
        <v>7.333333333333333</v>
      </c>
      <c r="I105" s="246">
        <f>'Memo calc'!M1790</f>
        <v>1.5</v>
      </c>
      <c r="J105" s="246">
        <f>F105*G105*H105*I105</f>
        <v>11</v>
      </c>
      <c r="K105" s="246">
        <f t="shared" ref="K105:K107" si="73">J105/220</f>
        <v>0.05</v>
      </c>
      <c r="L105" s="146">
        <f ca="1">IFERROR(VLOOKUP(B105,MO_Matriz,5,0),"")</f>
        <v>6565.04</v>
      </c>
      <c r="M105" s="146">
        <f ca="1">TRUNC(K105*L105,2)</f>
        <v>328.25</v>
      </c>
    </row>
    <row r="106" spans="2:13" ht="15" customHeight="1" x14ac:dyDescent="0.25">
      <c r="B106" s="110" t="str">
        <f>'Memo calc'!B1791</f>
        <v>P8033</v>
      </c>
      <c r="C106" s="581" t="str">
        <f t="shared" ca="1" si="72"/>
        <v>Biólogo pleno</v>
      </c>
      <c r="D106" s="582" t="str">
        <f t="shared" ca="1" si="72"/>
        <v/>
      </c>
      <c r="E106" s="110" t="str">
        <f ca="1">IFERROR(VLOOKUP(B106,MO_Matriz,3,0),"")</f>
        <v>S</v>
      </c>
      <c r="F106" s="110">
        <f>'Memo calc'!H1791</f>
        <v>1</v>
      </c>
      <c r="G106" s="110">
        <f>'Memo calc'!I1791</f>
        <v>1</v>
      </c>
      <c r="H106" s="245">
        <f>'Memo calc'!K1791</f>
        <v>7.333333333333333</v>
      </c>
      <c r="I106" s="246">
        <f>'Memo calc'!M1791</f>
        <v>1.5</v>
      </c>
      <c r="J106" s="246">
        <f t="shared" ref="J106:J107" si="74">F106*G106*H106*I106</f>
        <v>11</v>
      </c>
      <c r="K106" s="246">
        <f t="shared" si="73"/>
        <v>0.05</v>
      </c>
      <c r="L106" s="146">
        <f ca="1">IFERROR(VLOOKUP(B106,MO_Matriz,5,0),"")</f>
        <v>8820.85</v>
      </c>
      <c r="M106" s="146">
        <f t="shared" ref="M106:M107" ca="1" si="75">TRUNC(K106*L106,2)</f>
        <v>441.04</v>
      </c>
    </row>
    <row r="107" spans="2:13" ht="15" customHeight="1" x14ac:dyDescent="0.25">
      <c r="B107" s="110" t="str">
        <f>'Memo calc'!B1792</f>
        <v>P8025</v>
      </c>
      <c r="C107" s="581" t="str">
        <f t="shared" ca="1" si="72"/>
        <v>Auxiliar</v>
      </c>
      <c r="D107" s="582" t="str">
        <f t="shared" ca="1" si="72"/>
        <v/>
      </c>
      <c r="E107" s="110" t="str">
        <f ca="1">IFERROR(VLOOKUP(B107,MO_Matriz,3,0),"")</f>
        <v>A</v>
      </c>
      <c r="F107" s="110">
        <f>'Memo calc'!H1792</f>
        <v>1</v>
      </c>
      <c r="G107" s="110">
        <f>'Memo calc'!I1792</f>
        <v>1</v>
      </c>
      <c r="H107" s="245">
        <f>'Memo calc'!K1792</f>
        <v>7.333333333333333</v>
      </c>
      <c r="I107" s="246">
        <f>'Memo calc'!M1792</f>
        <v>1.5</v>
      </c>
      <c r="J107" s="246">
        <f t="shared" si="74"/>
        <v>11</v>
      </c>
      <c r="K107" s="246">
        <f t="shared" si="73"/>
        <v>0.05</v>
      </c>
      <c r="L107" s="146">
        <f ca="1">IFERROR(VLOOKUP(B107,MO_Matriz,5,0),"")</f>
        <v>4276.41</v>
      </c>
      <c r="M107" s="146">
        <f t="shared" ca="1" si="75"/>
        <v>213.82</v>
      </c>
    </row>
    <row r="108" spans="2:13" ht="15" customHeight="1" x14ac:dyDescent="0.25">
      <c r="B108" s="420" t="s">
        <v>1210</v>
      </c>
      <c r="C108" s="12"/>
      <c r="D108" s="12"/>
      <c r="E108" s="12"/>
      <c r="F108" s="12"/>
      <c r="G108" s="12"/>
      <c r="H108" s="12"/>
      <c r="I108" s="12"/>
      <c r="J108" s="12"/>
      <c r="K108" s="12"/>
      <c r="L108" s="12"/>
      <c r="M108" s="47">
        <f ca="1">SUM(M109:M110)</f>
        <v>1027.83</v>
      </c>
    </row>
    <row r="109" spans="2:13" ht="15" customHeight="1" x14ac:dyDescent="0.25">
      <c r="B109" s="110" t="str">
        <f>'Memo calc'!B1839</f>
        <v>P8058</v>
      </c>
      <c r="C109" s="581" t="str">
        <f ca="1">IFERROR(VLOOKUP(B109,MO_Matriz,2,0),"")</f>
        <v>Engenheiro ambiental pleno</v>
      </c>
      <c r="D109" s="582" t="str">
        <f ca="1">IFERROR(VLOOKUP(C109,MO_Matriz,2,0),"")</f>
        <v/>
      </c>
      <c r="E109" s="110" t="str">
        <f ca="1">IFERROR(VLOOKUP(B109,MO_Matriz,3,0),"")</f>
        <v>S</v>
      </c>
      <c r="F109" s="110">
        <f>'Memo calc'!H1839</f>
        <v>1</v>
      </c>
      <c r="G109" s="110">
        <f>'Memo calc'!I1839</f>
        <v>1</v>
      </c>
      <c r="H109" s="245">
        <f>'Memo calc'!K1839</f>
        <v>7.333333333333333</v>
      </c>
      <c r="I109" s="246">
        <f>'Memo calc'!M1839</f>
        <v>1</v>
      </c>
      <c r="J109" s="246">
        <f>F109*G109*H109*I109</f>
        <v>7.333333333333333</v>
      </c>
      <c r="K109" s="246">
        <f>J109/220</f>
        <v>3.3333333333333333E-2</v>
      </c>
      <c r="L109" s="146">
        <f ca="1">IFERROR(VLOOKUP(B109,MO_Matriz,5,0),"")</f>
        <v>26558.86</v>
      </c>
      <c r="M109" s="146">
        <f ca="1">TRUNC(K109*L109,2)</f>
        <v>885.29</v>
      </c>
    </row>
    <row r="110" spans="2:13" ht="15" customHeight="1" x14ac:dyDescent="0.25">
      <c r="B110" s="110" t="str">
        <f>'Memo calc'!B1840</f>
        <v>P8025</v>
      </c>
      <c r="C110" s="581" t="str">
        <f ca="1">IFERROR(VLOOKUP(B110,MO_Matriz,2,0),"")</f>
        <v>Auxiliar</v>
      </c>
      <c r="D110" s="582" t="str">
        <f ca="1">IFERROR(VLOOKUP(C110,MO_Matriz,2,0),"")</f>
        <v/>
      </c>
      <c r="E110" s="110" t="str">
        <f ca="1">IFERROR(VLOOKUP(B110,MO_Matriz,3,0),"")</f>
        <v>A</v>
      </c>
      <c r="F110" s="110">
        <f>'Memo calc'!H1839</f>
        <v>1</v>
      </c>
      <c r="G110" s="110">
        <f>'Memo calc'!I1839</f>
        <v>1</v>
      </c>
      <c r="H110" s="245">
        <f>'Memo calc'!K1839</f>
        <v>7.333333333333333</v>
      </c>
      <c r="I110" s="246">
        <f>'Memo calc'!M1839</f>
        <v>1</v>
      </c>
      <c r="J110" s="246">
        <f>F110*G110*H110*I110</f>
        <v>7.333333333333333</v>
      </c>
      <c r="K110" s="246">
        <f t="shared" ref="K110" si="76">J110/220</f>
        <v>3.3333333333333333E-2</v>
      </c>
      <c r="L110" s="146">
        <f ca="1">IFERROR(VLOOKUP(B110,MO_Matriz,5,0),"")</f>
        <v>4276.41</v>
      </c>
      <c r="M110" s="146">
        <f ca="1">TRUNC(K110*L110,2)</f>
        <v>142.54</v>
      </c>
    </row>
    <row r="111" spans="2:13" ht="15" customHeight="1" x14ac:dyDescent="0.25">
      <c r="B111" s="420" t="s">
        <v>1182</v>
      </c>
      <c r="C111" s="12"/>
      <c r="D111" s="12"/>
      <c r="E111" s="12"/>
      <c r="F111" s="12"/>
      <c r="G111" s="12"/>
      <c r="H111" s="12"/>
      <c r="I111" s="12"/>
      <c r="J111" s="12"/>
      <c r="K111" s="12"/>
      <c r="L111" s="12"/>
      <c r="M111" s="47">
        <f ca="1">SUM(M112:M115)</f>
        <v>9256.9</v>
      </c>
    </row>
    <row r="112" spans="2:13" ht="15" customHeight="1" x14ac:dyDescent="0.25">
      <c r="B112" s="110" t="str">
        <f>'Memo calc'!B1885</f>
        <v>P8058</v>
      </c>
      <c r="C112" s="581" t="str">
        <f t="shared" ref="C112:D115" ca="1" si="77">IFERROR(VLOOKUP(B112,MO_Matriz,2,0),"")</f>
        <v>Engenheiro ambiental pleno</v>
      </c>
      <c r="D112" s="582" t="str">
        <f t="shared" ca="1" si="77"/>
        <v/>
      </c>
      <c r="E112" s="110" t="str">
        <f ca="1">IFERROR(VLOOKUP(B112,MO_Matriz,3,0),"")</f>
        <v>S</v>
      </c>
      <c r="F112" s="110">
        <f>'Memo calc'!H1885</f>
        <v>1</v>
      </c>
      <c r="G112" s="110">
        <f>'Memo calc'!I1885</f>
        <v>1</v>
      </c>
      <c r="H112" s="245">
        <f>'Memo calc'!K1885</f>
        <v>7.333333333333333</v>
      </c>
      <c r="I112" s="246">
        <f>'Memo calc'!M1885</f>
        <v>7</v>
      </c>
      <c r="J112" s="246">
        <f>F112*G112*H112*I112</f>
        <v>51.333333333333329</v>
      </c>
      <c r="K112" s="246">
        <f>J112/220</f>
        <v>0.23333333333333331</v>
      </c>
      <c r="L112" s="146">
        <f ca="1">IFERROR(VLOOKUP(B112,MO_Matriz,5,0),"")</f>
        <v>26558.86</v>
      </c>
      <c r="M112" s="146">
        <f ca="1">TRUNC(K112*L112,2)</f>
        <v>6197.06</v>
      </c>
    </row>
    <row r="113" spans="2:13" ht="15" customHeight="1" x14ac:dyDescent="0.25">
      <c r="B113" s="110" t="str">
        <f>'Memo calc'!B1886</f>
        <v>P8143</v>
      </c>
      <c r="C113" s="581" t="str">
        <f t="shared" ca="1" si="77"/>
        <v>Técnico ambiental</v>
      </c>
      <c r="D113" s="582" t="str">
        <f t="shared" ca="1" si="77"/>
        <v/>
      </c>
      <c r="E113" s="110" t="str">
        <f ca="1">IFERROR(VLOOKUP(B113,MO_Matriz,3,0),"")</f>
        <v>T</v>
      </c>
      <c r="F113" s="110">
        <f>'Memo calc'!H1886</f>
        <v>1</v>
      </c>
      <c r="G113" s="110">
        <f>'Memo calc'!I1886</f>
        <v>1</v>
      </c>
      <c r="H113" s="245">
        <f>'Memo calc'!K1886</f>
        <v>7.333333333333333</v>
      </c>
      <c r="I113" s="246">
        <f>'Memo calc'!M1886</f>
        <v>7</v>
      </c>
      <c r="J113" s="246">
        <f>F113*G113*H113*I113</f>
        <v>51.333333333333329</v>
      </c>
      <c r="K113" s="246">
        <f t="shared" ref="K113:K115" si="78">J113/220</f>
        <v>0.23333333333333331</v>
      </c>
      <c r="L113" s="146">
        <f ca="1">IFERROR(VLOOKUP(B113,MO_Matriz,5,0),"")</f>
        <v>6565.04</v>
      </c>
      <c r="M113" s="146">
        <f ca="1">TRUNC(K113*L113,2)</f>
        <v>1531.84</v>
      </c>
    </row>
    <row r="114" spans="2:13" ht="15" customHeight="1" x14ac:dyDescent="0.25">
      <c r="B114" s="110" t="str">
        <f>'Memo calc'!B1887</f>
        <v>P8033</v>
      </c>
      <c r="C114" s="581" t="str">
        <f t="shared" ca="1" si="77"/>
        <v>Biólogo pleno</v>
      </c>
      <c r="D114" s="582" t="str">
        <f t="shared" ca="1" si="77"/>
        <v/>
      </c>
      <c r="E114" s="110" t="str">
        <f ca="1">IFERROR(VLOOKUP(B114,MO_Matriz,3,0),"")</f>
        <v>S</v>
      </c>
      <c r="F114" s="110">
        <f>'Memo calc'!H1887</f>
        <v>1</v>
      </c>
      <c r="G114" s="110">
        <f>'Memo calc'!I1887</f>
        <v>1</v>
      </c>
      <c r="H114" s="245">
        <f>'Memo calc'!K1887</f>
        <v>7.333333333333333</v>
      </c>
      <c r="I114" s="246">
        <f>'Memo calc'!M1887</f>
        <v>3.5</v>
      </c>
      <c r="J114" s="246">
        <f t="shared" ref="J114:J115" si="79">F114*G114*H114*I114</f>
        <v>25.666666666666664</v>
      </c>
      <c r="K114" s="246">
        <f t="shared" si="78"/>
        <v>0.11666666666666665</v>
      </c>
      <c r="L114" s="146">
        <f ca="1">IFERROR(VLOOKUP(B114,MO_Matriz,5,0),"")</f>
        <v>8820.85</v>
      </c>
      <c r="M114" s="146">
        <f t="shared" ref="M114:M115" ca="1" si="80">TRUNC(K114*L114,2)</f>
        <v>1029.0899999999999</v>
      </c>
    </row>
    <row r="115" spans="2:13" ht="15" customHeight="1" x14ac:dyDescent="0.25">
      <c r="B115" s="110" t="str">
        <f>'Memo calc'!B1888</f>
        <v>P8025</v>
      </c>
      <c r="C115" s="581" t="str">
        <f t="shared" ca="1" si="77"/>
        <v>Auxiliar</v>
      </c>
      <c r="D115" s="582" t="str">
        <f t="shared" ca="1" si="77"/>
        <v/>
      </c>
      <c r="E115" s="110" t="str">
        <f ca="1">IFERROR(VLOOKUP(B115,MO_Matriz,3,0),"")</f>
        <v>A</v>
      </c>
      <c r="F115" s="110">
        <f>'Memo calc'!H1888</f>
        <v>1</v>
      </c>
      <c r="G115" s="110">
        <f>'Memo calc'!I1888</f>
        <v>1</v>
      </c>
      <c r="H115" s="245">
        <f>'Memo calc'!K1888</f>
        <v>7.333333333333333</v>
      </c>
      <c r="I115" s="246">
        <f>'Memo calc'!M1888</f>
        <v>3.5</v>
      </c>
      <c r="J115" s="246">
        <f t="shared" si="79"/>
        <v>25.666666666666664</v>
      </c>
      <c r="K115" s="246">
        <f t="shared" si="78"/>
        <v>0.11666666666666665</v>
      </c>
      <c r="L115" s="146">
        <f ca="1">IFERROR(VLOOKUP(B115,MO_Matriz,5,0),"")</f>
        <v>4276.41</v>
      </c>
      <c r="M115" s="146">
        <f t="shared" ca="1" si="80"/>
        <v>498.91</v>
      </c>
    </row>
    <row r="116" spans="2:13" ht="15" customHeight="1" x14ac:dyDescent="0.25">
      <c r="B116" s="420" t="s">
        <v>1204</v>
      </c>
      <c r="C116" s="12"/>
      <c r="D116" s="12"/>
      <c r="E116" s="12"/>
      <c r="F116" s="12"/>
      <c r="G116" s="12"/>
      <c r="H116" s="12"/>
      <c r="I116" s="12"/>
      <c r="J116" s="12"/>
      <c r="K116" s="12"/>
      <c r="L116" s="12"/>
      <c r="M116" s="47">
        <f ca="1">SUM(M117:M117)</f>
        <v>885.29</v>
      </c>
    </row>
    <row r="117" spans="2:13" ht="15" customHeight="1" x14ac:dyDescent="0.25">
      <c r="B117" s="110" t="str">
        <f>'Memo calc'!B1935</f>
        <v>P8058</v>
      </c>
      <c r="C117" s="581" t="str">
        <f ca="1">IFERROR(VLOOKUP(B117,MO_Matriz,2,0),"")</f>
        <v>Engenheiro ambiental pleno</v>
      </c>
      <c r="D117" s="582" t="str">
        <f ca="1">IFERROR(VLOOKUP(C117,MO_Matriz,2,0),"")</f>
        <v/>
      </c>
      <c r="E117" s="110" t="str">
        <f ca="1">IFERROR(VLOOKUP(B117,MO_Matriz,3,0),"")</f>
        <v>S</v>
      </c>
      <c r="F117" s="110">
        <f>'Memo calc'!H1935</f>
        <v>1</v>
      </c>
      <c r="G117" s="110">
        <f>'Memo calc'!I1935</f>
        <v>1</v>
      </c>
      <c r="H117" s="245">
        <f>'Memo calc'!K1935</f>
        <v>7.333333333333333</v>
      </c>
      <c r="I117" s="246">
        <f>'Memo calc'!M1935</f>
        <v>1</v>
      </c>
      <c r="J117" s="246">
        <f>F117*G117*H117*I117</f>
        <v>7.333333333333333</v>
      </c>
      <c r="K117" s="246">
        <f>J117/220</f>
        <v>3.3333333333333333E-2</v>
      </c>
      <c r="L117" s="146">
        <f ca="1">IFERROR(VLOOKUP(B117,MO_Matriz,5,0),"")</f>
        <v>26558.86</v>
      </c>
      <c r="M117" s="146">
        <f ca="1">TRUNC(K117*L117,2)</f>
        <v>885.29</v>
      </c>
    </row>
    <row r="118" spans="2:13" ht="15" customHeight="1" x14ac:dyDescent="0.25">
      <c r="B118" s="319" t="s">
        <v>1009</v>
      </c>
      <c r="C118" s="12"/>
      <c r="D118" s="12"/>
      <c r="E118" s="12"/>
      <c r="F118" s="12"/>
      <c r="G118" s="12"/>
      <c r="H118" s="12"/>
      <c r="I118" s="12"/>
      <c r="J118" s="12"/>
      <c r="K118" s="12"/>
      <c r="L118" s="12"/>
      <c r="M118" s="47">
        <f ca="1">SUM(M119:M120)</f>
        <v>19975.190000000002</v>
      </c>
    </row>
    <row r="119" spans="2:13" ht="15" customHeight="1" x14ac:dyDescent="0.25">
      <c r="B119" s="110" t="str">
        <f>'Memo calc'!B1979</f>
        <v>P8060</v>
      </c>
      <c r="C119" s="581" t="str">
        <f ca="1">IFERROR(VLOOKUP(B119,MO_Matriz,2,0),"")</f>
        <v>Engenheiro consultor especial</v>
      </c>
      <c r="D119" s="582" t="str">
        <f ca="1">IFERROR(VLOOKUP(C119,MO_Matriz,2,0),"")</f>
        <v/>
      </c>
      <c r="E119" s="110" t="str">
        <f ca="1">IFERROR(VLOOKUP(B119,MO_Matriz,3,0),"")</f>
        <v>S</v>
      </c>
      <c r="F119" s="110">
        <f>'Memo calc'!H1979</f>
        <v>1</v>
      </c>
      <c r="G119" s="110">
        <f>'Memo calc'!I1979</f>
        <v>1</v>
      </c>
      <c r="H119" s="245">
        <f>'Memo calc'!K1979</f>
        <v>7.333333333333333</v>
      </c>
      <c r="I119" s="246">
        <f>'Memo calc'!M1979</f>
        <v>12.030460000000001</v>
      </c>
      <c r="J119" s="246">
        <f>F119*G119*H119*I119</f>
        <v>88.223373333333342</v>
      </c>
      <c r="K119" s="246">
        <f>J119/220</f>
        <v>0.40101533333333339</v>
      </c>
      <c r="L119" s="146">
        <f ca="1">IFERROR(VLOOKUP(B119,MO_Matriz,5,0),"")</f>
        <v>41989.87</v>
      </c>
      <c r="M119" s="146">
        <f ca="1">TRUNC(K119*L119,2)</f>
        <v>16838.580000000002</v>
      </c>
    </row>
    <row r="120" spans="2:13" ht="15" customHeight="1" x14ac:dyDescent="0.25">
      <c r="B120" s="110" t="str">
        <f>'Memo calc'!B1980</f>
        <v>P9848</v>
      </c>
      <c r="C120" s="581" t="str">
        <f ca="1">IFERROR(VLOOKUP(B120,MO_Matriz,2,0),"")</f>
        <v>Desenhista</v>
      </c>
      <c r="D120" s="582" t="str">
        <f ca="1">IFERROR(VLOOKUP(C120,MO_Matriz,2,0),"")</f>
        <v/>
      </c>
      <c r="E120" s="110" t="str">
        <f ca="1">IFERROR(VLOOKUP(B120,MO_Matriz,3,0),"")</f>
        <v>T</v>
      </c>
      <c r="F120" s="110">
        <f>'Memo calc'!H1980</f>
        <v>1</v>
      </c>
      <c r="G120" s="110">
        <f>'Memo calc'!I1980</f>
        <v>1</v>
      </c>
      <c r="H120" s="245">
        <f>'Memo calc'!K1980</f>
        <v>7.333333333333333</v>
      </c>
      <c r="I120" s="246">
        <f>'Memo calc'!M1980</f>
        <v>12.030460000000001</v>
      </c>
      <c r="J120" s="246">
        <f>F120*G120*H120*I120</f>
        <v>88.223373333333342</v>
      </c>
      <c r="K120" s="246">
        <f>J120/220</f>
        <v>0.40101533333333339</v>
      </c>
      <c r="L120" s="146">
        <f ca="1">IFERROR(VLOOKUP(B120,MO_Matriz,5,0),"")</f>
        <v>7821.6815999999999</v>
      </c>
      <c r="M120" s="146">
        <f ca="1">TRUNC(K120*L120,2)</f>
        <v>3136.61</v>
      </c>
    </row>
    <row r="121" spans="2:13" ht="15" customHeight="1" x14ac:dyDescent="0.25">
      <c r="B121" s="72"/>
      <c r="C121" s="584"/>
      <c r="D121" s="584"/>
      <c r="E121" s="73"/>
      <c r="F121" s="73"/>
      <c r="G121" s="73"/>
      <c r="H121" s="74"/>
      <c r="I121" s="75"/>
      <c r="J121" s="75"/>
      <c r="K121" s="75"/>
      <c r="L121" s="76" t="s">
        <v>676</v>
      </c>
      <c r="M121" s="77">
        <f ca="1">SUMIF($E$14:$E$120,"S",$M$14:$M$120)</f>
        <v>162890.45000000007</v>
      </c>
    </row>
    <row r="122" spans="2:13" ht="15" customHeight="1" x14ac:dyDescent="0.25">
      <c r="B122" s="72"/>
      <c r="C122" s="584"/>
      <c r="D122" s="584"/>
      <c r="E122" s="73"/>
      <c r="F122" s="73"/>
      <c r="G122" s="73"/>
      <c r="H122" s="74"/>
      <c r="I122" s="75"/>
      <c r="J122" s="75"/>
      <c r="K122" s="75"/>
      <c r="L122" s="76" t="s">
        <v>677</v>
      </c>
      <c r="M122" s="77">
        <f ca="1">SUMIF($E$14:$E$120,"T",$M$14:$M$120)</f>
        <v>23995</v>
      </c>
    </row>
    <row r="123" spans="2:13" ht="15" customHeight="1" x14ac:dyDescent="0.25">
      <c r="B123" s="72"/>
      <c r="C123" s="584"/>
      <c r="D123" s="584"/>
      <c r="E123" s="73"/>
      <c r="F123" s="73"/>
      <c r="G123" s="73"/>
      <c r="H123" s="74"/>
      <c r="I123" s="75"/>
      <c r="J123" s="75"/>
      <c r="K123" s="75"/>
      <c r="L123" s="76" t="s">
        <v>678</v>
      </c>
      <c r="M123" s="77">
        <f ca="1">SUMIF($E$14:$E$120,"A",$M$14:$M$120)</f>
        <v>5928.92</v>
      </c>
    </row>
    <row r="124" spans="2:13" ht="15" customHeight="1" x14ac:dyDescent="0.25">
      <c r="B124" s="72"/>
      <c r="C124" s="584"/>
      <c r="D124" s="584"/>
      <c r="E124" s="73"/>
      <c r="F124" s="73"/>
      <c r="G124" s="73"/>
      <c r="H124" s="74"/>
      <c r="I124" s="75"/>
      <c r="J124" s="75"/>
      <c r="K124" s="75"/>
      <c r="L124" s="76" t="s">
        <v>693</v>
      </c>
      <c r="M124" s="77">
        <f ca="1">SUM(M121:M123)</f>
        <v>192814.37000000008</v>
      </c>
    </row>
    <row r="125" spans="2:13" ht="15" customHeight="1" x14ac:dyDescent="0.25">
      <c r="B125" s="68" t="s">
        <v>587</v>
      </c>
      <c r="M125" s="323"/>
    </row>
    <row r="126" spans="2:13" ht="9.75" customHeight="1" x14ac:dyDescent="0.25">
      <c r="B126" s="3" t="s">
        <v>679</v>
      </c>
      <c r="M126" s="323"/>
    </row>
    <row r="127" spans="2:13" ht="30" customHeight="1" x14ac:dyDescent="0.25">
      <c r="B127" s="583" t="s">
        <v>858</v>
      </c>
      <c r="C127" s="583"/>
      <c r="D127" s="583"/>
      <c r="E127" s="583"/>
      <c r="F127" s="583"/>
      <c r="G127" s="583"/>
      <c r="H127" s="583"/>
      <c r="I127" s="583"/>
      <c r="J127" s="583"/>
      <c r="K127" s="583"/>
      <c r="L127" s="583"/>
      <c r="M127" s="583"/>
    </row>
    <row r="128" spans="2:13" ht="9" customHeight="1" x14ac:dyDescent="0.25"/>
    <row r="130" spans="4:5" ht="15" customHeight="1" x14ac:dyDescent="0.25">
      <c r="D130" s="2" t="s">
        <v>1335</v>
      </c>
      <c r="E130" s="348">
        <f>J115+J110+J107+J72+J66+J62+J59+J47+J24+J56</f>
        <v>182.16</v>
      </c>
    </row>
    <row r="131" spans="4:5" ht="15" customHeight="1" x14ac:dyDescent="0.25">
      <c r="E131" s="348"/>
    </row>
  </sheetData>
  <mergeCells count="84">
    <mergeCell ref="C69:D69"/>
    <mergeCell ref="C70:D70"/>
    <mergeCell ref="C71:D71"/>
    <mergeCell ref="C72:D72"/>
    <mergeCell ref="C62:D62"/>
    <mergeCell ref="C64:D64"/>
    <mergeCell ref="C65:D65"/>
    <mergeCell ref="C66:D66"/>
    <mergeCell ref="C68:D68"/>
    <mergeCell ref="C55:D55"/>
    <mergeCell ref="C56:D56"/>
    <mergeCell ref="C58:D58"/>
    <mergeCell ref="C59:D59"/>
    <mergeCell ref="C61:D61"/>
    <mergeCell ref="C37:D37"/>
    <mergeCell ref="C46:D46"/>
    <mergeCell ref="C47:D47"/>
    <mergeCell ref="C40:D40"/>
    <mergeCell ref="C42:D42"/>
    <mergeCell ref="C44:D44"/>
    <mergeCell ref="C43:D43"/>
    <mergeCell ref="C39:D39"/>
    <mergeCell ref="C121:D121"/>
    <mergeCell ref="C122:D122"/>
    <mergeCell ref="C49:D49"/>
    <mergeCell ref="C50:D50"/>
    <mergeCell ref="C52:D52"/>
    <mergeCell ref="C78:D78"/>
    <mergeCell ref="C81:D81"/>
    <mergeCell ref="C77:D77"/>
    <mergeCell ref="C80:D80"/>
    <mergeCell ref="C53:D53"/>
    <mergeCell ref="C74:D74"/>
    <mergeCell ref="C75:D75"/>
    <mergeCell ref="C119:D119"/>
    <mergeCell ref="C120:D120"/>
    <mergeCell ref="C95:D95"/>
    <mergeCell ref="C104:D104"/>
    <mergeCell ref="C17:D17"/>
    <mergeCell ref="C21:D21"/>
    <mergeCell ref="C36:D36"/>
    <mergeCell ref="C33:D33"/>
    <mergeCell ref="C29:D29"/>
    <mergeCell ref="C26:D26"/>
    <mergeCell ref="C30:D30"/>
    <mergeCell ref="C31:D31"/>
    <mergeCell ref="C34:D34"/>
    <mergeCell ref="C20:D20"/>
    <mergeCell ref="C23:D23"/>
    <mergeCell ref="C27:D27"/>
    <mergeCell ref="C24:D24"/>
    <mergeCell ref="C18:D18"/>
    <mergeCell ref="C4:M4"/>
    <mergeCell ref="B10:M10"/>
    <mergeCell ref="B12:B13"/>
    <mergeCell ref="C12:D13"/>
    <mergeCell ref="C15:D15"/>
    <mergeCell ref="E12:E13"/>
    <mergeCell ref="B127:M127"/>
    <mergeCell ref="C89:D89"/>
    <mergeCell ref="C92:D92"/>
    <mergeCell ref="C83:D83"/>
    <mergeCell ref="C86:D86"/>
    <mergeCell ref="C123:D123"/>
    <mergeCell ref="C84:D84"/>
    <mergeCell ref="C101:D101"/>
    <mergeCell ref="C102:D102"/>
    <mergeCell ref="C124:D124"/>
    <mergeCell ref="C98:D98"/>
    <mergeCell ref="C99:D99"/>
    <mergeCell ref="C90:D90"/>
    <mergeCell ref="C87:D87"/>
    <mergeCell ref="C93:D93"/>
    <mergeCell ref="C96:D96"/>
    <mergeCell ref="C114:D114"/>
    <mergeCell ref="C115:D115"/>
    <mergeCell ref="C117:D117"/>
    <mergeCell ref="C105:D105"/>
    <mergeCell ref="C106:D106"/>
    <mergeCell ref="C107:D107"/>
    <mergeCell ref="C112:D112"/>
    <mergeCell ref="C113:D113"/>
    <mergeCell ref="C109:D109"/>
    <mergeCell ref="C110:D110"/>
  </mergeCells>
  <printOptions horizontalCentered="1"/>
  <pageMargins left="0.78740157480314965" right="0.78740157480314965" top="0.39370078740157483" bottom="0.78740157480314965" header="0.19685039370078741" footer="0.19685039370078741"/>
  <pageSetup paperSize="9" scale="86" fitToHeight="0" orientation="landscape" r:id="rId1"/>
  <headerFooter>
    <oddFooter xml:space="preserve">&amp;C&amp;10Av. Des. José Nunes da Cunha, Bloco 14, Parque dos Poderes, Campo Grande (MS), CEP 79031-310
PABX: (67) 3318-5300/ Gab: 5538 – Fax (67) 3318-5386 – gabinete@seinfra.ms.gov.br
</oddFooter>
  </headerFooter>
  <rowBreaks count="4" manualBreakCount="4">
    <brk id="37" max="13" man="1"/>
    <brk id="81" max="13" man="1"/>
    <brk id="102" max="13" man="1"/>
    <brk id="127" max="13" man="1"/>
  </rowBreaks>
  <ignoredErrors>
    <ignoredError sqref="M16 M28 M32 M38 M41 M45 M48 M51 M97 M100 M25" 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8">
    <pageSetUpPr fitToPage="1"/>
  </sheetPr>
  <dimension ref="A1:J30"/>
  <sheetViews>
    <sheetView showGridLines="0" view="pageBreakPreview" zoomScaleNormal="100" zoomScaleSheetLayoutView="100" workbookViewId="0">
      <selection activeCell="H31" sqref="H31"/>
    </sheetView>
  </sheetViews>
  <sheetFormatPr defaultColWidth="0" defaultRowHeight="15" customHeight="1" x14ac:dyDescent="0.25"/>
  <cols>
    <col min="1" max="1" width="1.7109375" style="2" customWidth="1"/>
    <col min="2" max="2" width="9.85546875" style="2" bestFit="1" customWidth="1"/>
    <col min="3" max="3" width="7.28515625" style="2" customWidth="1"/>
    <col min="4" max="4" width="42.85546875" style="2" customWidth="1"/>
    <col min="5" max="7" width="8.7109375" style="2" customWidth="1"/>
    <col min="8" max="8" width="14.7109375" style="2" bestFit="1" customWidth="1"/>
    <col min="9" max="9" width="16.28515625" style="2" bestFit="1" customWidth="1"/>
    <col min="10" max="10" width="1.7109375" style="2" customWidth="1"/>
    <col min="11" max="16384" width="9.140625" style="2" hidden="1"/>
  </cols>
  <sheetData>
    <row r="1" spans="2:9" ht="9" customHeight="1" x14ac:dyDescent="0.25"/>
    <row r="2" spans="2:9" ht="34.5" customHeight="1" x14ac:dyDescent="0.25"/>
    <row r="3" spans="2:9" ht="34.5" customHeight="1" x14ac:dyDescent="0.25"/>
    <row r="5" spans="2:9" x14ac:dyDescent="0.25">
      <c r="B5" s="23" t="s">
        <v>0</v>
      </c>
      <c r="C5" s="548" t="str">
        <f>'Qd abrang'!C4</f>
        <v>Contratação de Projeto Executivo de Engenharia para Implantação do Aeródromo no município de Nova Andradina</v>
      </c>
      <c r="D5" s="548"/>
      <c r="E5" s="548"/>
      <c r="F5" s="548"/>
      <c r="G5" s="548"/>
      <c r="H5" s="548"/>
      <c r="I5" s="548"/>
    </row>
    <row r="6" spans="2:9" x14ac:dyDescent="0.25">
      <c r="B6" s="5" t="s">
        <v>862</v>
      </c>
      <c r="C6" s="1" t="str">
        <f>'Qd abrang'!C5</f>
        <v>Nova Andradina/MS</v>
      </c>
    </row>
    <row r="7" spans="2:9" x14ac:dyDescent="0.25">
      <c r="B7" s="5" t="s">
        <v>863</v>
      </c>
      <c r="C7" s="1" t="str">
        <f>'Qd abrang'!C6</f>
        <v>Nova Andradina/MS</v>
      </c>
    </row>
    <row r="8" spans="2:9" x14ac:dyDescent="0.25">
      <c r="B8" s="5" t="s">
        <v>1</v>
      </c>
      <c r="C8" s="239">
        <f>'Qd abrang'!C7</f>
        <v>1.7</v>
      </c>
      <c r="D8" s="2" t="s">
        <v>1134</v>
      </c>
      <c r="H8" s="5" t="s">
        <v>16</v>
      </c>
      <c r="I8" s="6" t="str">
        <f>'Qd abrang'!N7</f>
        <v>79.010.182-2025</v>
      </c>
    </row>
    <row r="9" spans="2:9" x14ac:dyDescent="0.25">
      <c r="B9" s="5" t="s">
        <v>2</v>
      </c>
      <c r="C9" s="264">
        <f>'Qd abrang'!C8</f>
        <v>365</v>
      </c>
      <c r="D9" s="2" t="s">
        <v>4</v>
      </c>
      <c r="H9" s="5" t="s">
        <v>17</v>
      </c>
      <c r="I9" s="265">
        <f>'Qd abrang'!N8</f>
        <v>45748</v>
      </c>
    </row>
    <row r="11" spans="2:9" s="11" customFormat="1" ht="21" x14ac:dyDescent="0.25">
      <c r="B11" s="547" t="s">
        <v>400</v>
      </c>
      <c r="C11" s="547"/>
      <c r="D11" s="547"/>
      <c r="E11" s="547"/>
      <c r="F11" s="547"/>
      <c r="G11" s="547"/>
      <c r="H11" s="547"/>
      <c r="I11" s="547"/>
    </row>
    <row r="13" spans="2:9" ht="30" customHeight="1" x14ac:dyDescent="0.25">
      <c r="B13" s="562" t="s">
        <v>29</v>
      </c>
      <c r="C13" s="564" t="s">
        <v>15</v>
      </c>
      <c r="D13" s="565"/>
      <c r="E13" s="120" t="s">
        <v>202</v>
      </c>
      <c r="F13" s="120" t="s">
        <v>224</v>
      </c>
      <c r="G13" s="120" t="s">
        <v>361</v>
      </c>
      <c r="H13" s="120" t="s">
        <v>395</v>
      </c>
      <c r="I13" s="120" t="s">
        <v>396</v>
      </c>
    </row>
    <row r="14" spans="2:9" ht="15" customHeight="1" x14ac:dyDescent="0.25">
      <c r="B14" s="562"/>
      <c r="C14" s="564"/>
      <c r="D14" s="565"/>
      <c r="E14" s="120" t="s">
        <v>363</v>
      </c>
      <c r="F14" s="120" t="s">
        <v>330</v>
      </c>
      <c r="G14" s="120" t="s">
        <v>364</v>
      </c>
      <c r="H14" s="120" t="s">
        <v>332</v>
      </c>
      <c r="I14" s="120" t="s">
        <v>365</v>
      </c>
    </row>
    <row r="15" spans="2:9" ht="15" customHeight="1" x14ac:dyDescent="0.25">
      <c r="B15" s="24" t="s">
        <v>398</v>
      </c>
      <c r="C15" s="25"/>
      <c r="D15" s="25"/>
      <c r="E15" s="25"/>
      <c r="F15" s="25"/>
      <c r="G15" s="25"/>
      <c r="H15" s="25"/>
      <c r="I15" s="78">
        <f ca="1">SUM(I16:I16)</f>
        <v>743.6</v>
      </c>
    </row>
    <row r="16" spans="2:9" ht="15" customHeight="1" x14ac:dyDescent="0.25">
      <c r="B16" s="110" t="str">
        <f>'Memo calc'!B1088</f>
        <v>E8889</v>
      </c>
      <c r="C16" s="589" t="str">
        <f ca="1">IFERROR(VLOOKUP(B16,Veiculo_Equip_Matriz,2,0),"")</f>
        <v>Veículo leve - 53 kW (sem motorista)</v>
      </c>
      <c r="D16" s="590" t="str">
        <f ca="1">IFERROR(VLOOKUP(C16,MO_Matriz,2,0),"")</f>
        <v/>
      </c>
      <c r="E16" s="41">
        <v>1</v>
      </c>
      <c r="F16" s="44">
        <f>'Memo calc'!J1076</f>
        <v>7</v>
      </c>
      <c r="G16" s="44">
        <f>F16/30</f>
        <v>0.23333333333333334</v>
      </c>
      <c r="H16" s="46">
        <f ca="1">IFERROR(VLOOKUP(B16,Veiculo_Equip_Matriz,10,0),"")</f>
        <v>3186.8793000000001</v>
      </c>
      <c r="I16" s="46">
        <f ca="1">TRUNC(E16*G16*H16,2)</f>
        <v>743.6</v>
      </c>
    </row>
    <row r="17" spans="2:9" ht="15" customHeight="1" x14ac:dyDescent="0.25">
      <c r="B17" s="232" t="s">
        <v>732</v>
      </c>
      <c r="C17" s="12"/>
      <c r="D17" s="12"/>
      <c r="E17" s="12"/>
      <c r="F17" s="12"/>
      <c r="G17" s="12"/>
      <c r="H17" s="12"/>
      <c r="I17" s="47">
        <f ca="1">SUM(I18:I18)</f>
        <v>212.45</v>
      </c>
    </row>
    <row r="18" spans="2:9" ht="15" customHeight="1" x14ac:dyDescent="0.25">
      <c r="B18" s="110" t="str">
        <f>'Memo calc'!B86</f>
        <v>E8889</v>
      </c>
      <c r="C18" s="589" t="str">
        <f ca="1">IFERROR(VLOOKUP(B18,Veiculo_Equip_Matriz,2,0),"")</f>
        <v>Veículo leve - 53 kW (sem motorista)</v>
      </c>
      <c r="D18" s="590" t="str">
        <f ca="1">IFERROR(VLOOKUP(C18,MO_Matriz,2,0),"")</f>
        <v/>
      </c>
      <c r="E18" s="290">
        <f>'Memo calc'!G86</f>
        <v>1</v>
      </c>
      <c r="F18" s="44">
        <f>'Memo calc'!H86</f>
        <v>2</v>
      </c>
      <c r="G18" s="44">
        <f t="shared" ref="G18" si="0">F18/30</f>
        <v>6.6666666666666666E-2</v>
      </c>
      <c r="H18" s="46">
        <f ca="1">IFERROR(VLOOKUP(B18,Veiculo_Equip_Matriz,10,0),"")</f>
        <v>3186.8793000000001</v>
      </c>
      <c r="I18" s="46">
        <f t="shared" ref="I18" ca="1" si="1">TRUNC(E18*G18*H18,2)</f>
        <v>212.45</v>
      </c>
    </row>
    <row r="19" spans="2:9" ht="15" customHeight="1" x14ac:dyDescent="0.25">
      <c r="B19" s="232" t="s">
        <v>735</v>
      </c>
      <c r="C19" s="12"/>
      <c r="D19" s="12"/>
      <c r="E19" s="12"/>
      <c r="F19" s="12"/>
      <c r="G19" s="12"/>
      <c r="H19" s="12"/>
      <c r="I19" s="47">
        <f ca="1">SUM(I20:I20)</f>
        <v>264</v>
      </c>
    </row>
    <row r="20" spans="2:9" ht="15" customHeight="1" x14ac:dyDescent="0.25">
      <c r="B20" s="110" t="str">
        <f>'Memo calc'!B338</f>
        <v>E8891</v>
      </c>
      <c r="C20" s="589" t="str">
        <f ca="1">IFERROR(VLOOKUP(B20,Veiculo_Equip_Matriz,2,0),"")</f>
        <v>Veículo leve picape 4 x 4 com capacidade de 1,10 t - 147 kW (sem motorista)</v>
      </c>
      <c r="D20" s="590" t="str">
        <f ca="1">IFERROR(VLOOKUP(C20,MO_Matriz,2,0),"")</f>
        <v/>
      </c>
      <c r="E20" s="290">
        <f>'Memo calc'!G338</f>
        <v>1</v>
      </c>
      <c r="F20" s="44">
        <f>'Memo calc'!H338</f>
        <v>1</v>
      </c>
      <c r="G20" s="44">
        <f>F20/30</f>
        <v>3.3333333333333333E-2</v>
      </c>
      <c r="H20" s="46">
        <f ca="1">IFERROR(VLOOKUP(B20,Veiculo_Equip_Matriz,10,0),"")</f>
        <v>7920.0560999999998</v>
      </c>
      <c r="I20" s="46">
        <f ca="1">TRUNC(E20*G20*H20,2)</f>
        <v>264</v>
      </c>
    </row>
    <row r="21" spans="2:9" ht="15" customHeight="1" x14ac:dyDescent="0.25">
      <c r="B21" s="232" t="s">
        <v>509</v>
      </c>
      <c r="C21" s="12"/>
      <c r="D21" s="12"/>
      <c r="E21" s="12"/>
      <c r="F21" s="12"/>
      <c r="G21" s="12"/>
      <c r="H21" s="12"/>
      <c r="I21" s="47">
        <f ca="1">SUM(I22:I22)</f>
        <v>528</v>
      </c>
    </row>
    <row r="22" spans="2:9" ht="15" customHeight="1" x14ac:dyDescent="0.25">
      <c r="B22" s="110" t="str">
        <f>'Memo calc'!B893</f>
        <v>E8891</v>
      </c>
      <c r="C22" s="589" t="str">
        <f ca="1">IFERROR(VLOOKUP(B22,Veiculo_Equip_Matriz,2,0),"")</f>
        <v>Veículo leve picape 4 x 4 com capacidade de 1,10 t - 147 kW (sem motorista)</v>
      </c>
      <c r="D22" s="590" t="str">
        <f ca="1">IFERROR(VLOOKUP(C22,MO_Matriz,2,0),"")</f>
        <v/>
      </c>
      <c r="E22" s="103">
        <f>'Memo calc'!H893</f>
        <v>1</v>
      </c>
      <c r="F22" s="44">
        <f>'Memo calc'!I893</f>
        <v>2</v>
      </c>
      <c r="G22" s="44">
        <f>F22/30</f>
        <v>6.6666666666666666E-2</v>
      </c>
      <c r="H22" s="46">
        <f ca="1">IFERROR(VLOOKUP(B22,Veiculo_Equip_Matriz,10,0),"")</f>
        <v>7920.0560999999998</v>
      </c>
      <c r="I22" s="46">
        <f ca="1">TRUNC(E22*G22*H22,2)</f>
        <v>528</v>
      </c>
    </row>
    <row r="23" spans="2:9" ht="15" customHeight="1" x14ac:dyDescent="0.25">
      <c r="B23" s="437" t="s">
        <v>1227</v>
      </c>
      <c r="C23" s="12"/>
      <c r="D23" s="12"/>
      <c r="E23" s="12"/>
      <c r="F23" s="12"/>
      <c r="G23" s="12"/>
      <c r="H23" s="12"/>
      <c r="I23" s="467">
        <f ca="1">I24</f>
        <v>55.44</v>
      </c>
    </row>
    <row r="24" spans="2:9" ht="15" customHeight="1" x14ac:dyDescent="0.25">
      <c r="B24" s="436" t="s">
        <v>193</v>
      </c>
      <c r="C24" s="589" t="str">
        <f ca="1">IFERROR(VLOOKUP(B24,Veiculo_Equip_Matriz,2,0),"")</f>
        <v>Veículo leve picape 4 x 4 com capacidade de 1,10 t - 147 kW (sem motorista)</v>
      </c>
      <c r="D24" s="590" t="str">
        <f ca="1">IFERROR(VLOOKUP(C24,MO_Matriz,2,0),"")</f>
        <v/>
      </c>
      <c r="E24" s="436">
        <f>'Memo calc'!G465</f>
        <v>1</v>
      </c>
      <c r="F24" s="44">
        <f>'Memo calc'!H465</f>
        <v>0.21</v>
      </c>
      <c r="G24" s="44">
        <f>F24/30</f>
        <v>7.0000000000000001E-3</v>
      </c>
      <c r="H24" s="468">
        <f ca="1">IFERROR(VLOOKUP(B24,Veiculo_Equip_Matriz,10,0),"")</f>
        <v>7920.0560999999998</v>
      </c>
      <c r="I24" s="468">
        <f ca="1">ROUND(E24*G24*H24,2)</f>
        <v>55.44</v>
      </c>
    </row>
    <row r="25" spans="2:9" ht="15" customHeight="1" x14ac:dyDescent="0.25">
      <c r="B25" s="437" t="s">
        <v>1239</v>
      </c>
      <c r="C25" s="12"/>
      <c r="D25" s="12"/>
      <c r="E25" s="469"/>
      <c r="F25" s="470"/>
      <c r="G25" s="470"/>
      <c r="H25" s="471"/>
      <c r="I25" s="467">
        <f ca="1">I26</f>
        <v>8.3699999999999992</v>
      </c>
    </row>
    <row r="26" spans="2:9" ht="15" customHeight="1" x14ac:dyDescent="0.25">
      <c r="B26" s="436" t="s">
        <v>194</v>
      </c>
      <c r="C26" s="589" t="str">
        <f ca="1">IFERROR(VLOOKUP(B26,Veiculo_Equip_Matriz,2,0),"")</f>
        <v>Veículo tipo van furgão com capacidade de 1,38 t - 100 kW (com motorista)</v>
      </c>
      <c r="D26" s="590" t="str">
        <f ca="1">IFERROR(VLOOKUP(C26,MO_Matriz,2,0),"")</f>
        <v/>
      </c>
      <c r="E26" s="436">
        <f>'Memo calc'!F553</f>
        <v>1</v>
      </c>
      <c r="F26" s="44">
        <f>'Memo calc'!G553</f>
        <v>2.3333333333333334E-2</v>
      </c>
      <c r="G26" s="44">
        <f>F26/30</f>
        <v>7.7777777777777784E-4</v>
      </c>
      <c r="H26" s="468">
        <f ca="1">IFERROR(VLOOKUP(B26,Veiculo_Equip_Matriz,10,0),"")</f>
        <v>10762.441800000001</v>
      </c>
      <c r="I26" s="468">
        <f ca="1">ROUND(E26*G26*H26,2)</f>
        <v>8.3699999999999992</v>
      </c>
    </row>
    <row r="27" spans="2:9" ht="15" customHeight="1" x14ac:dyDescent="0.25">
      <c r="B27" s="437" t="s">
        <v>1241</v>
      </c>
      <c r="C27" s="12"/>
      <c r="D27" s="12"/>
      <c r="E27" s="469"/>
      <c r="F27" s="470"/>
      <c r="G27" s="470"/>
      <c r="H27" s="471"/>
      <c r="I27" s="467">
        <f ca="1">I28</f>
        <v>463.38</v>
      </c>
    </row>
    <row r="28" spans="2:9" ht="15" customHeight="1" x14ac:dyDescent="0.25">
      <c r="B28" s="436" t="s">
        <v>194</v>
      </c>
      <c r="C28" s="589" t="str">
        <f ca="1">IFERROR(VLOOKUP(B28,Veiculo_Equip_Matriz,2,0),"")</f>
        <v>Veículo tipo van furgão com capacidade de 1,38 t - 100 kW (com motorista)</v>
      </c>
      <c r="D28" s="590" t="str">
        <f ca="1">IFERROR(VLOOKUP(C28,MO_Matriz,2,0),"")</f>
        <v/>
      </c>
      <c r="E28" s="90">
        <f>'Memo calc'!F660</f>
        <v>1</v>
      </c>
      <c r="F28" s="44">
        <f>'Memo calc'!G660</f>
        <v>1.2916666666666667</v>
      </c>
      <c r="G28" s="44">
        <f>'Memo calc'!H660</f>
        <v>4.3055555555555555E-2</v>
      </c>
      <c r="H28" s="468">
        <f ca="1">IFERROR(VLOOKUP(B28,Veiculo_Equip_Matriz,10,0),"")</f>
        <v>10762.441800000001</v>
      </c>
      <c r="I28" s="468">
        <f ca="1">ROUND(E28*G28*H28,2)</f>
        <v>463.38</v>
      </c>
    </row>
    <row r="29" spans="2:9" s="84" customFormat="1" ht="15" customHeight="1" x14ac:dyDescent="0.25">
      <c r="B29" s="126"/>
      <c r="C29" s="125"/>
      <c r="D29" s="125"/>
      <c r="E29" s="125"/>
      <c r="F29" s="125"/>
      <c r="G29" s="125"/>
      <c r="H29" s="136" t="s">
        <v>688</v>
      </c>
      <c r="I29" s="77">
        <f ca="1">I15+I17+I19+I21+I25+I27</f>
        <v>2219.7999999999997</v>
      </c>
    </row>
    <row r="30" spans="2:9" ht="9" customHeight="1" x14ac:dyDescent="0.25"/>
  </sheetData>
  <mergeCells count="11">
    <mergeCell ref="C24:D24"/>
    <mergeCell ref="C26:D26"/>
    <mergeCell ref="C28:D28"/>
    <mergeCell ref="C5:I5"/>
    <mergeCell ref="B13:B14"/>
    <mergeCell ref="C13:D14"/>
    <mergeCell ref="C20:D20"/>
    <mergeCell ref="C22:D22"/>
    <mergeCell ref="C18:D18"/>
    <mergeCell ref="B11:I11"/>
    <mergeCell ref="C16:D16"/>
  </mergeCells>
  <printOptions horizontalCentered="1"/>
  <pageMargins left="0.78740157480314965" right="0.78740157480314965" top="0.39370078740157483" bottom="0.78740157480314965" header="0.19685039370078741" footer="0.19685039370078741"/>
  <pageSetup paperSize="9" fitToWidth="0" orientation="landscape"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9">
    <pageSetUpPr fitToPage="1"/>
  </sheetPr>
  <dimension ref="A1:L57"/>
  <sheetViews>
    <sheetView showGridLines="0" view="pageBreakPreview" zoomScale="115" zoomScaleNormal="100" zoomScaleSheetLayoutView="115" workbookViewId="0">
      <selection activeCell="H24" sqref="H24"/>
    </sheetView>
  </sheetViews>
  <sheetFormatPr defaultColWidth="0" defaultRowHeight="15" customHeight="1" zeroHeight="1" x14ac:dyDescent="0.25"/>
  <cols>
    <col min="1" max="1" width="1.7109375" style="2" customWidth="1"/>
    <col min="2" max="2" width="9.85546875" style="2" bestFit="1" customWidth="1"/>
    <col min="3" max="3" width="7.28515625" style="2" customWidth="1"/>
    <col min="4" max="4" width="38.5703125" style="2" customWidth="1"/>
    <col min="5" max="5" width="9.42578125" style="2" bestFit="1" customWidth="1"/>
    <col min="6" max="6" width="16.7109375" style="2" bestFit="1" customWidth="1"/>
    <col min="7" max="9" width="8.7109375" style="2" customWidth="1"/>
    <col min="10" max="10" width="16.28515625" style="2" bestFit="1" customWidth="1"/>
    <col min="11" max="11" width="1.7109375" style="2" customWidth="1"/>
    <col min="12" max="12" width="0" style="2" hidden="1" customWidth="1"/>
    <col min="13" max="16384" width="9.140625" style="2" hidden="1"/>
  </cols>
  <sheetData>
    <row r="1" spans="2:10" ht="9" customHeight="1" x14ac:dyDescent="0.25"/>
    <row r="2" spans="2:10" ht="34.5" customHeight="1" x14ac:dyDescent="0.25"/>
    <row r="3" spans="2:10" ht="34.5" customHeight="1" x14ac:dyDescent="0.25"/>
    <row r="4" spans="2:10" x14ac:dyDescent="0.25">
      <c r="B4" s="23" t="s">
        <v>0</v>
      </c>
      <c r="C4" s="548" t="str">
        <f>'Qd abrang'!C4</f>
        <v>Contratação de Projeto Executivo de Engenharia para Implantação do Aeródromo no município de Nova Andradina</v>
      </c>
      <c r="D4" s="548"/>
      <c r="E4" s="548"/>
      <c r="F4" s="548"/>
      <c r="G4" s="548"/>
      <c r="H4" s="548"/>
      <c r="I4" s="548"/>
      <c r="J4" s="548"/>
    </row>
    <row r="5" spans="2:10" x14ac:dyDescent="0.25">
      <c r="B5" s="5" t="s">
        <v>862</v>
      </c>
      <c r="C5" s="1" t="str">
        <f>'Qd abrang'!C5</f>
        <v>Nova Andradina/MS</v>
      </c>
    </row>
    <row r="6" spans="2:10" x14ac:dyDescent="0.25">
      <c r="B6" s="5" t="s">
        <v>863</v>
      </c>
      <c r="C6" s="1" t="str">
        <f>'Qd abrang'!C6</f>
        <v>Nova Andradina/MS</v>
      </c>
    </row>
    <row r="7" spans="2:10" x14ac:dyDescent="0.25">
      <c r="B7" s="5" t="s">
        <v>1</v>
      </c>
      <c r="C7" s="239">
        <f>'Qd abrang'!C7</f>
        <v>1.7</v>
      </c>
      <c r="D7" s="2" t="s">
        <v>1135</v>
      </c>
      <c r="I7" s="5" t="s">
        <v>16</v>
      </c>
      <c r="J7" s="6" t="str">
        <f>'Qd abrang'!N7</f>
        <v>79.010.182-2025</v>
      </c>
    </row>
    <row r="8" spans="2:10" x14ac:dyDescent="0.25">
      <c r="B8" s="5" t="s">
        <v>2</v>
      </c>
      <c r="C8" s="264">
        <f>'Qd abrang'!C8</f>
        <v>365</v>
      </c>
      <c r="D8" s="2" t="s">
        <v>4</v>
      </c>
      <c r="I8" s="5" t="s">
        <v>17</v>
      </c>
      <c r="J8" s="265">
        <f>'Qd abrang'!N8</f>
        <v>45748</v>
      </c>
    </row>
    <row r="9" spans="2:10" ht="15" customHeight="1" x14ac:dyDescent="0.25"/>
    <row r="10" spans="2:10" s="11" customFormat="1" ht="21" x14ac:dyDescent="0.25">
      <c r="B10" s="547" t="s">
        <v>481</v>
      </c>
      <c r="C10" s="547"/>
      <c r="D10" s="547"/>
      <c r="E10" s="547"/>
      <c r="F10" s="547"/>
      <c r="G10" s="547"/>
      <c r="H10" s="547"/>
      <c r="I10" s="547"/>
      <c r="J10" s="547"/>
    </row>
    <row r="11" spans="2:10" ht="15" customHeight="1" x14ac:dyDescent="0.25"/>
    <row r="12" spans="2:10" ht="30" customHeight="1" x14ac:dyDescent="0.25">
      <c r="B12" s="562" t="s">
        <v>29</v>
      </c>
      <c r="C12" s="564" t="s">
        <v>15</v>
      </c>
      <c r="D12" s="565"/>
      <c r="E12" s="563" t="s">
        <v>680</v>
      </c>
      <c r="F12" s="120" t="s">
        <v>681</v>
      </c>
      <c r="G12" s="120" t="s">
        <v>202</v>
      </c>
      <c r="H12" s="120" t="s">
        <v>224</v>
      </c>
      <c r="I12" s="120" t="s">
        <v>361</v>
      </c>
      <c r="J12" s="562" t="s">
        <v>396</v>
      </c>
    </row>
    <row r="13" spans="2:10" ht="15" customHeight="1" x14ac:dyDescent="0.25">
      <c r="B13" s="562"/>
      <c r="C13" s="564"/>
      <c r="D13" s="565"/>
      <c r="E13" s="563"/>
      <c r="F13" s="120" t="s">
        <v>363</v>
      </c>
      <c r="G13" s="120" t="s">
        <v>330</v>
      </c>
      <c r="H13" s="120" t="s">
        <v>331</v>
      </c>
      <c r="I13" s="120" t="s">
        <v>682</v>
      </c>
      <c r="J13" s="562"/>
    </row>
    <row r="14" spans="2:10" ht="15" customHeight="1" x14ac:dyDescent="0.25">
      <c r="B14" s="24" t="s">
        <v>735</v>
      </c>
      <c r="C14" s="25"/>
      <c r="D14" s="25"/>
      <c r="E14" s="25"/>
      <c r="F14" s="25"/>
      <c r="G14" s="25"/>
      <c r="H14" s="25"/>
      <c r="I14" s="25"/>
      <c r="J14" s="78">
        <f>J15</f>
        <v>171.67</v>
      </c>
    </row>
    <row r="15" spans="2:10" ht="15" customHeight="1" x14ac:dyDescent="0.25">
      <c r="B15" s="110" t="str">
        <f>'Memo calc'!B353</f>
        <v>B8958</v>
      </c>
      <c r="C15" s="589" t="str">
        <f>VLOOKUP(B15,'Imóveis-Mobiliários-Cestas-Dive'!B3:F13,3,0)</f>
        <v>Topografia</v>
      </c>
      <c r="D15" s="590"/>
      <c r="E15" s="57" t="s">
        <v>36</v>
      </c>
      <c r="F15" s="46">
        <f>VLOOKUP(B15,'Imóveis-Mobiliários-Cestas-Dive'!B3:F13,5,0)</f>
        <v>5150.2700000000004</v>
      </c>
      <c r="G15" s="41">
        <f>'Memo calc'!E353</f>
        <v>1</v>
      </c>
      <c r="H15" s="52">
        <f>'Memo calc'!F353</f>
        <v>1</v>
      </c>
      <c r="I15" s="45">
        <f>H15/30</f>
        <v>3.3333333333333333E-2</v>
      </c>
      <c r="J15" s="46">
        <f>TRUNC(F15*G15*I15,2)</f>
        <v>171.67</v>
      </c>
    </row>
    <row r="16" spans="2:10" ht="15" customHeight="1" x14ac:dyDescent="0.25">
      <c r="B16" s="232" t="s">
        <v>509</v>
      </c>
      <c r="C16" s="12"/>
      <c r="D16" s="12"/>
      <c r="E16" s="12"/>
      <c r="F16" s="12"/>
      <c r="G16" s="12"/>
      <c r="H16" s="12"/>
      <c r="I16" s="12"/>
      <c r="J16" s="47">
        <f>SUM(J17:J19)</f>
        <v>5442.78</v>
      </c>
    </row>
    <row r="17" spans="2:10" x14ac:dyDescent="0.25">
      <c r="B17" s="110" t="str">
        <f>'Memo calc'!B910</f>
        <v>65.02.02</v>
      </c>
      <c r="C17" s="557" t="str">
        <f>IFERROR(VLOOKUP(B17,Sudecap!$A$1:$K$55,3,0),"")</f>
        <v>Perfuração de solo sondagem a trado (NBR 9603:2015) DN 20CM</v>
      </c>
      <c r="D17" s="559" t="str">
        <f ca="1">IFERROR(VLOOKUP(C17,MO_Matriz,2,0),"")</f>
        <v/>
      </c>
      <c r="E17" s="57" t="str">
        <f>Sudecap!D9</f>
        <v>m</v>
      </c>
      <c r="F17" s="46">
        <f>IFERROR(VLOOKUP(B17,Sudecap!$A$1:$K$55,11,0),"")</f>
        <v>74.97</v>
      </c>
      <c r="G17" s="102">
        <f>'Memo calc'!J910</f>
        <v>15</v>
      </c>
      <c r="H17" s="143">
        <f>'Memo calc'!K910</f>
        <v>0</v>
      </c>
      <c r="I17" s="144">
        <f>H17/30</f>
        <v>0</v>
      </c>
      <c r="J17" s="46">
        <f>TRUNC(F17*G17,2)</f>
        <v>1124.55</v>
      </c>
    </row>
    <row r="18" spans="2:10" ht="23.25" customHeight="1" x14ac:dyDescent="0.25">
      <c r="B18" s="110" t="str">
        <f>'Memo calc'!B911</f>
        <v>65.01.02</v>
      </c>
      <c r="C18" s="557" t="str">
        <f>IFERROR(VLOOKUP(B18,Sudecap!$A$1:$K$55,3,0),"")</f>
        <v>PERFURAÇÃO DE SOLO SONDAGEM À PERCUSSÃO (NBR 6484:2020)</v>
      </c>
      <c r="D18" s="559" t="str">
        <f ca="1">IFERROR(VLOOKUP(C18,MO_Matriz,2,0),"")</f>
        <v/>
      </c>
      <c r="E18" s="57" t="s">
        <v>411</v>
      </c>
      <c r="F18" s="46">
        <f>IFERROR(VLOOKUP(B18,Sudecap!$A$1:$K$55,11,0),"")</f>
        <v>94.96</v>
      </c>
      <c r="G18" s="418">
        <f>'Memo calc'!J911</f>
        <v>36</v>
      </c>
      <c r="H18" s="143">
        <f>'Memo calc'!K911</f>
        <v>0</v>
      </c>
      <c r="I18" s="144">
        <f t="shared" ref="I18:I19" si="0">H18/30</f>
        <v>0</v>
      </c>
      <c r="J18" s="46">
        <f t="shared" ref="J18:J19" si="1">TRUNC(F18*G18,2)</f>
        <v>3418.56</v>
      </c>
    </row>
    <row r="19" spans="2:10" ht="21.75" customHeight="1" x14ac:dyDescent="0.25">
      <c r="B19" s="110" t="str">
        <f>'Memo calc'!B912</f>
        <v>65.01.03</v>
      </c>
      <c r="C19" s="557" t="str">
        <f>IFERROR(VLOOKUP(B19,Sudecap!$A$1:$K$55,3,0),"")</f>
        <v>DESMONTAGEM, TRANSPORTE E MONTAGEM DE EQUIPAMENTOS DE SONDAGEM A PERCUSSÃO POR FURO</v>
      </c>
      <c r="D19" s="559" t="str">
        <f ca="1">IFERROR(VLOOKUP(C19,MO_Matriz,2,0),"")</f>
        <v/>
      </c>
      <c r="E19" s="57" t="s">
        <v>680</v>
      </c>
      <c r="F19" s="46">
        <f>IFERROR(VLOOKUP(B19,Sudecap!$A$1:$K$55,11,0),"")</f>
        <v>299.89</v>
      </c>
      <c r="G19" s="418">
        <f>'Memo calc'!J912</f>
        <v>3</v>
      </c>
      <c r="H19" s="143">
        <f>'Memo calc'!K912</f>
        <v>0</v>
      </c>
      <c r="I19" s="144">
        <f t="shared" si="0"/>
        <v>0</v>
      </c>
      <c r="J19" s="46">
        <f t="shared" si="1"/>
        <v>899.67</v>
      </c>
    </row>
    <row r="20" spans="2:10" ht="15" customHeight="1" x14ac:dyDescent="0.25">
      <c r="B20" s="232" t="s">
        <v>539</v>
      </c>
      <c r="C20" s="12"/>
      <c r="D20" s="12"/>
      <c r="E20" s="12"/>
      <c r="F20" s="12"/>
      <c r="G20" s="12"/>
      <c r="H20" s="12"/>
      <c r="I20" s="12"/>
      <c r="J20" s="47">
        <f>J21</f>
        <v>880.12</v>
      </c>
    </row>
    <row r="21" spans="2:10" ht="15" customHeight="1" x14ac:dyDescent="0.25">
      <c r="B21" s="110" t="str">
        <f>'Memo calc'!B996</f>
        <v>B8957</v>
      </c>
      <c r="C21" s="589" t="str">
        <f>VLOOKUP(B21,'Imóveis-Mobiliários-Cestas-Dive'!$B$2:$F$13,3,0)</f>
        <v>Laboratório de solos</v>
      </c>
      <c r="D21" s="590"/>
      <c r="E21" s="57" t="s">
        <v>36</v>
      </c>
      <c r="F21" s="46">
        <f>VLOOKUP(B21,'Imóveis-Mobiliários-Cestas-Dive'!$B$2:$F$13,5,0)</f>
        <v>3520.5</v>
      </c>
      <c r="G21" s="41">
        <f>'Memo calc'!E996</f>
        <v>1</v>
      </c>
      <c r="H21" s="52">
        <f>'Memo calc'!F996</f>
        <v>7.5</v>
      </c>
      <c r="I21" s="45">
        <f>H21/30</f>
        <v>0.25</v>
      </c>
      <c r="J21" s="46">
        <f>TRUNC(F21*G21*I21,2)</f>
        <v>880.12</v>
      </c>
    </row>
    <row r="22" spans="2:10" ht="15" customHeight="1" x14ac:dyDescent="0.25">
      <c r="B22" s="437" t="s">
        <v>1227</v>
      </c>
      <c r="C22" s="25"/>
      <c r="D22" s="25"/>
      <c r="E22" s="25"/>
      <c r="F22" s="25"/>
      <c r="G22" s="25"/>
      <c r="H22" s="25"/>
      <c r="I22" s="25"/>
      <c r="J22" s="525">
        <f ca="1">J23</f>
        <v>383.41</v>
      </c>
    </row>
    <row r="23" spans="2:10" ht="15" customHeight="1" x14ac:dyDescent="0.25">
      <c r="B23" s="110" t="s">
        <v>871</v>
      </c>
      <c r="C23" s="589" t="str">
        <f t="shared" ref="C23" ca="1" si="2">IFERROR(VLOOKUP(B23,Veiculo_Equip_Matriz,2,0),"")</f>
        <v>Deflectômetro de impacto (FWD) instalado em picape com reboque e faixa de carga de 7 a 120 kN - 147 kW</v>
      </c>
      <c r="D23" s="590" t="str">
        <f t="shared" ref="D23" ca="1" si="3">IFERROR(VLOOKUP(C23,MO_Matriz,2,0),"")</f>
        <v/>
      </c>
      <c r="E23" s="57" t="s">
        <v>36</v>
      </c>
      <c r="F23" s="468">
        <f ca="1">IFERROR(VLOOKUP(B23,Veiculo_Equip_Matriz,10,0),"")</f>
        <v>54773.408299999996</v>
      </c>
      <c r="G23" s="436">
        <f>'Memo calc'!O487</f>
        <v>1</v>
      </c>
      <c r="H23" s="52">
        <f>'Memo calc'!P487</f>
        <v>0.21</v>
      </c>
      <c r="I23" s="45">
        <f>H23/30</f>
        <v>7.0000000000000001E-3</v>
      </c>
      <c r="J23" s="46">
        <f ca="1">TRUNC(F23*G23*I23,2)</f>
        <v>383.41</v>
      </c>
    </row>
    <row r="24" spans="2:10" ht="15" customHeight="1" x14ac:dyDescent="0.25">
      <c r="B24" s="437" t="s">
        <v>1239</v>
      </c>
      <c r="C24" s="25"/>
      <c r="D24" s="25"/>
      <c r="E24" s="25"/>
      <c r="F24" s="25"/>
      <c r="G24" s="25"/>
      <c r="H24" s="25"/>
      <c r="I24" s="25"/>
      <c r="J24" s="525">
        <f>J25</f>
        <v>26.84</v>
      </c>
    </row>
    <row r="25" spans="2:10" ht="15" customHeight="1" x14ac:dyDescent="0.25">
      <c r="B25" s="436" t="s">
        <v>259</v>
      </c>
      <c r="C25" s="589" t="str">
        <f>'Memo calc'!C582</f>
        <v>Equipamento do VDR</v>
      </c>
      <c r="D25" s="590"/>
      <c r="E25" s="57" t="s">
        <v>36</v>
      </c>
      <c r="F25" s="468">
        <f>'Memo calc'!G582</f>
        <v>34514.51</v>
      </c>
      <c r="G25" s="436">
        <f>'Memo calc'!I582</f>
        <v>1</v>
      </c>
      <c r="H25" s="52">
        <f>'Memo calc'!J582</f>
        <v>2.3333333333333334E-2</v>
      </c>
      <c r="I25" s="45">
        <f>H25/30</f>
        <v>7.7777777777777784E-4</v>
      </c>
      <c r="J25" s="468">
        <f>ROUND(F25*G25*I25,2)</f>
        <v>26.84</v>
      </c>
    </row>
    <row r="26" spans="2:10" ht="15" customHeight="1" x14ac:dyDescent="0.25">
      <c r="B26" s="437" t="s">
        <v>1241</v>
      </c>
      <c r="C26" s="12"/>
      <c r="D26" s="12"/>
      <c r="E26" s="12"/>
      <c r="F26" s="12"/>
      <c r="G26" s="12"/>
      <c r="H26" s="12"/>
      <c r="I26" s="12"/>
      <c r="J26" s="467">
        <f ca="1">SUM(J27:J28)</f>
        <v>174.13</v>
      </c>
    </row>
    <row r="27" spans="2:10" ht="15" customHeight="1" x14ac:dyDescent="0.25">
      <c r="B27" s="436" t="str">
        <f>'Memo calc'!B682</f>
        <v>65.02.02</v>
      </c>
      <c r="C27" s="589" t="str">
        <f>'Memo calc'!C682</f>
        <v>Mobilização de equipamentos de sondagem a trado (NBR 9603:2015) DN 20CM</v>
      </c>
      <c r="D27" s="590" t="str">
        <f t="shared" ref="D27" ca="1" si="4">IFERROR(VLOOKUP(C27,MO_Matriz,2,0),"")</f>
        <v/>
      </c>
      <c r="E27" s="57" t="s">
        <v>36</v>
      </c>
      <c r="F27" s="468">
        <f>'Memo calc'!J682</f>
        <v>75</v>
      </c>
      <c r="G27" s="435">
        <f>'Memo calc'!K682</f>
        <v>2</v>
      </c>
      <c r="H27" s="52">
        <f>'Memo calc'!L682</f>
        <v>0</v>
      </c>
      <c r="I27" s="45">
        <f>H27/30</f>
        <v>0</v>
      </c>
      <c r="J27" s="468">
        <f>ROUND(F27*G27,2)</f>
        <v>150</v>
      </c>
    </row>
    <row r="28" spans="2:10" ht="15" customHeight="1" x14ac:dyDescent="0.25">
      <c r="B28" s="436" t="str">
        <f>'Memo calc'!B683</f>
        <v>M0047</v>
      </c>
      <c r="C28" s="589" t="str">
        <f ca="1">'Memo calc'!C683</f>
        <v>Cone de sinalização em polietileno - H = 75 cm e base quadrada de 40 x 40 cm</v>
      </c>
      <c r="D28" s="590"/>
      <c r="E28" s="57" t="s">
        <v>36</v>
      </c>
      <c r="F28" s="468">
        <f ca="1">'Memo calc'!J683</f>
        <v>93.399500000000003</v>
      </c>
      <c r="G28" s="436">
        <f>'Memo calc'!K683</f>
        <v>6</v>
      </c>
      <c r="H28" s="52">
        <f>'Memo calc'!L683</f>
        <v>1.2916666666666667</v>
      </c>
      <c r="I28" s="45">
        <f>H28/30</f>
        <v>4.3055555555555555E-2</v>
      </c>
      <c r="J28" s="468">
        <f ca="1">ROUND(F28*G28*I28,2)</f>
        <v>24.13</v>
      </c>
    </row>
    <row r="29" spans="2:10" ht="15" customHeight="1" x14ac:dyDescent="0.25">
      <c r="B29" s="437" t="s">
        <v>1257</v>
      </c>
      <c r="C29" s="12"/>
      <c r="D29" s="12"/>
      <c r="E29" s="12"/>
      <c r="F29" s="12"/>
      <c r="G29" s="12"/>
      <c r="H29" s="12"/>
      <c r="I29" s="12"/>
      <c r="J29" s="467">
        <f>SUM(J30:J31)</f>
        <v>188.98</v>
      </c>
    </row>
    <row r="30" spans="2:10" ht="15" customHeight="1" x14ac:dyDescent="0.25">
      <c r="B30" s="436" t="str">
        <f>'Memo calc'!B777</f>
        <v>B8955</v>
      </c>
      <c r="C30" s="589" t="str">
        <f>'Memo calc'!C777</f>
        <v>Laboratório de asfalto</v>
      </c>
      <c r="D30" s="590"/>
      <c r="E30" s="57" t="s">
        <v>36</v>
      </c>
      <c r="F30" s="468">
        <f>'Memo calc'!G777</f>
        <v>5592.36</v>
      </c>
      <c r="G30" s="436">
        <f>'Memo calc'!I777</f>
        <v>1</v>
      </c>
      <c r="H30" s="52">
        <f>'Memo calc'!J777</f>
        <v>0.58333333333333337</v>
      </c>
      <c r="I30" s="45">
        <f>H30/30</f>
        <v>1.9444444444444445E-2</v>
      </c>
      <c r="J30" s="468">
        <f>ROUND(F30*G30*I30,2)</f>
        <v>108.74</v>
      </c>
    </row>
    <row r="31" spans="2:10" ht="15" customHeight="1" x14ac:dyDescent="0.25">
      <c r="B31" s="436" t="str">
        <f>'Memo calc'!B778</f>
        <v>B8957</v>
      </c>
      <c r="C31" s="589" t="str">
        <f>'Memo calc'!C778</f>
        <v>Laboratório de solos</v>
      </c>
      <c r="D31" s="590"/>
      <c r="E31" s="57" t="s">
        <v>36</v>
      </c>
      <c r="F31" s="468">
        <f>'Memo calc'!G778</f>
        <v>4126.54</v>
      </c>
      <c r="G31" s="436">
        <f>'Memo calc'!I778</f>
        <v>1</v>
      </c>
      <c r="H31" s="52">
        <f>'Memo calc'!J778</f>
        <v>0.58333333333333337</v>
      </c>
      <c r="I31" s="45">
        <f>H31/30</f>
        <v>1.9444444444444445E-2</v>
      </c>
      <c r="J31" s="468">
        <f>ROUND(F31*G31*I31,2)</f>
        <v>80.239999999999995</v>
      </c>
    </row>
    <row r="32" spans="2:10" s="84" customFormat="1" ht="15" customHeight="1" x14ac:dyDescent="0.25">
      <c r="B32" s="126"/>
      <c r="C32" s="125"/>
      <c r="D32" s="125"/>
      <c r="E32" s="125"/>
      <c r="F32" s="125"/>
      <c r="G32" s="125"/>
      <c r="H32" s="125"/>
      <c r="I32" s="136" t="s">
        <v>692</v>
      </c>
      <c r="J32" s="77">
        <f ca="1">J14+J16+J20+J22+J24+J26+J29</f>
        <v>7267.9299999999994</v>
      </c>
    </row>
    <row r="33" spans="2:10" ht="15" customHeight="1" x14ac:dyDescent="0.25">
      <c r="B33" s="68"/>
    </row>
    <row r="34" spans="2:10" ht="41.25" customHeight="1" x14ac:dyDescent="0.25">
      <c r="B34" s="591" t="s">
        <v>1031</v>
      </c>
      <c r="C34" s="591"/>
      <c r="D34" s="591"/>
      <c r="E34" s="591"/>
      <c r="F34" s="591"/>
      <c r="G34" s="591"/>
      <c r="H34" s="591"/>
      <c r="I34" s="591"/>
      <c r="J34" s="591"/>
    </row>
    <row r="35" spans="2:10" ht="15" customHeight="1" x14ac:dyDescent="0.25">
      <c r="B35" s="89"/>
      <c r="D35" s="87"/>
      <c r="E35" s="87"/>
    </row>
    <row r="36" spans="2:10" ht="15" customHeight="1" x14ac:dyDescent="0.25">
      <c r="B36" s="89"/>
      <c r="D36" s="87"/>
      <c r="E36" s="87"/>
    </row>
    <row r="37" spans="2:10" ht="15" customHeight="1" x14ac:dyDescent="0.25">
      <c r="B37" s="89"/>
      <c r="D37" s="87"/>
      <c r="E37" s="87"/>
    </row>
    <row r="38" spans="2:10" ht="9" customHeight="1" x14ac:dyDescent="0.25"/>
    <row r="39" spans="2:10" ht="15" hidden="1" customHeight="1" x14ac:dyDescent="0.25"/>
    <row r="40" spans="2:10" ht="15" hidden="1" customHeight="1" x14ac:dyDescent="0.25"/>
    <row r="41" spans="2:10" ht="15" hidden="1" customHeight="1" x14ac:dyDescent="0.25"/>
    <row r="42" spans="2:10" ht="15" hidden="1" customHeight="1" x14ac:dyDescent="0.25"/>
    <row r="43" spans="2:10" ht="15" hidden="1" customHeight="1" x14ac:dyDescent="0.25"/>
    <row r="44" spans="2:10" ht="15" hidden="1" customHeight="1" x14ac:dyDescent="0.25"/>
    <row r="45" spans="2:10" ht="15" hidden="1" customHeight="1" x14ac:dyDescent="0.25"/>
    <row r="46" spans="2:10" ht="15" hidden="1" customHeight="1" x14ac:dyDescent="0.25"/>
    <row r="47" spans="2:10" ht="15" hidden="1" customHeight="1" x14ac:dyDescent="0.25"/>
    <row r="48" spans="2:10" ht="15" hidden="1" customHeight="1" x14ac:dyDescent="0.25"/>
    <row r="49" ht="15" hidden="1"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sheetData>
  <mergeCells count="18">
    <mergeCell ref="C30:D30"/>
    <mergeCell ref="C31:D31"/>
    <mergeCell ref="B34:J34"/>
    <mergeCell ref="C15:D15"/>
    <mergeCell ref="C17:D17"/>
    <mergeCell ref="C21:D21"/>
    <mergeCell ref="C18:D18"/>
    <mergeCell ref="C19:D19"/>
    <mergeCell ref="C23:D23"/>
    <mergeCell ref="C25:D25"/>
    <mergeCell ref="C27:D27"/>
    <mergeCell ref="C28:D28"/>
    <mergeCell ref="C4:J4"/>
    <mergeCell ref="B10:J10"/>
    <mergeCell ref="B12:B13"/>
    <mergeCell ref="C12:D13"/>
    <mergeCell ref="E12:E13"/>
    <mergeCell ref="J12:J13"/>
  </mergeCells>
  <printOptions horizontalCentered="1"/>
  <pageMargins left="0.78740157480314965" right="0.78740157480314965" top="0.39370078740157483" bottom="0.78740157480314965" header="0.19685039370078741" footer="0.19685039370078741"/>
  <pageSetup paperSize="9" fitToHeight="0" orientation="landscape" r:id="rId1"/>
  <headerFooter>
    <oddFooter xml:space="preserve">&amp;C&amp;10Av. Des. José Nunes da Cunha, Bloco 14, Parque dos Poderes, Campo Grande (MS), CEP 79031-310
PABX: (67) 3318-5300/ Gab: 5538 – Fax (67) 3318-5386 – gabinete@seinfra.ms.gov.br
</oddFooter>
  </headerFooter>
  <ignoredErrors>
    <ignoredError sqref="J20" formula="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0">
    <pageSetUpPr fitToPage="1"/>
  </sheetPr>
  <dimension ref="A1:M100"/>
  <sheetViews>
    <sheetView showGridLines="0" view="pageBreakPreview" zoomScaleNormal="100" zoomScaleSheetLayoutView="100" workbookViewId="0">
      <selection activeCell="K39" sqref="K39"/>
    </sheetView>
  </sheetViews>
  <sheetFormatPr defaultColWidth="0" defaultRowHeight="15" customHeight="1" zeroHeight="1" x14ac:dyDescent="0.25"/>
  <cols>
    <col min="1" max="1" width="1.7109375" style="2" customWidth="1"/>
    <col min="2" max="2" width="9.85546875" style="2" bestFit="1" customWidth="1"/>
    <col min="3" max="3" width="7.28515625" style="2" customWidth="1"/>
    <col min="4" max="4" width="26.85546875" style="2" customWidth="1"/>
    <col min="5" max="5" width="8.7109375" style="2" customWidth="1"/>
    <col min="6" max="6" width="14.140625" style="2" bestFit="1" customWidth="1"/>
    <col min="7" max="7" width="13.5703125" style="2" bestFit="1" customWidth="1"/>
    <col min="8" max="8" width="9" style="2" bestFit="1" customWidth="1"/>
    <col min="9" max="9" width="14.140625" style="2" bestFit="1" customWidth="1"/>
    <col min="10" max="10" width="11.7109375" style="2" bestFit="1" customWidth="1"/>
    <col min="11" max="11" width="15.5703125" style="2" bestFit="1" customWidth="1"/>
    <col min="12" max="12" width="16.28515625" style="2" bestFit="1" customWidth="1"/>
    <col min="13" max="13" width="1.7109375" style="2" customWidth="1"/>
    <col min="14" max="16384" width="9.140625" style="2" hidden="1"/>
  </cols>
  <sheetData>
    <row r="1" spans="2:12" ht="9" customHeight="1" x14ac:dyDescent="0.25"/>
    <row r="2" spans="2:12" ht="34.5" customHeight="1" x14ac:dyDescent="0.25"/>
    <row r="3" spans="2:12" ht="15" customHeight="1" x14ac:dyDescent="0.25"/>
    <row r="4" spans="2:12" ht="15" customHeight="1" x14ac:dyDescent="0.25"/>
    <row r="5" spans="2:12" x14ac:dyDescent="0.25">
      <c r="B5" s="23" t="s">
        <v>0</v>
      </c>
      <c r="C5" s="548" t="str">
        <f>'Qd abrang'!C4</f>
        <v>Contratação de Projeto Executivo de Engenharia para Implantação do Aeródromo no município de Nova Andradina</v>
      </c>
      <c r="D5" s="548"/>
      <c r="E5" s="548"/>
      <c r="F5" s="548"/>
      <c r="G5" s="548"/>
      <c r="H5" s="548"/>
      <c r="I5" s="548"/>
      <c r="J5" s="548"/>
      <c r="K5" s="548"/>
      <c r="L5" s="548"/>
    </row>
    <row r="6" spans="2:12" x14ac:dyDescent="0.25">
      <c r="B6" s="5" t="s">
        <v>862</v>
      </c>
      <c r="C6" s="1" t="str">
        <f>'Qd abrang'!C5</f>
        <v>Nova Andradina/MS</v>
      </c>
    </row>
    <row r="7" spans="2:12" x14ac:dyDescent="0.25">
      <c r="B7" s="5" t="s">
        <v>863</v>
      </c>
      <c r="C7" s="1" t="str">
        <f>'Qd abrang'!C6</f>
        <v>Nova Andradina/MS</v>
      </c>
    </row>
    <row r="8" spans="2:12" x14ac:dyDescent="0.25">
      <c r="B8" s="5" t="s">
        <v>1</v>
      </c>
      <c r="C8" s="239">
        <f>'Qd abrang'!C7</f>
        <v>1.7</v>
      </c>
      <c r="D8" s="2" t="s">
        <v>3</v>
      </c>
      <c r="E8" s="332" t="s">
        <v>959</v>
      </c>
      <c r="F8" s="2" t="s">
        <v>1136</v>
      </c>
      <c r="K8" s="5" t="s">
        <v>16</v>
      </c>
      <c r="L8" s="6" t="str">
        <f>'Qd abrang'!N7</f>
        <v>79.010.182-2025</v>
      </c>
    </row>
    <row r="9" spans="2:12" x14ac:dyDescent="0.25">
      <c r="B9" s="5" t="s">
        <v>2</v>
      </c>
      <c r="C9" s="264">
        <f>'Qd abrang'!C8</f>
        <v>365</v>
      </c>
      <c r="D9" s="2" t="s">
        <v>4</v>
      </c>
      <c r="K9" s="5" t="s">
        <v>17</v>
      </c>
      <c r="L9" s="265">
        <f>'Qd abrang'!N8</f>
        <v>45748</v>
      </c>
    </row>
    <row r="10" spans="2:12" ht="15" customHeight="1" x14ac:dyDescent="0.25"/>
    <row r="11" spans="2:12" s="11" customFormat="1" ht="21" x14ac:dyDescent="0.25">
      <c r="B11" s="547" t="s">
        <v>24</v>
      </c>
      <c r="C11" s="547"/>
      <c r="D11" s="547"/>
      <c r="E11" s="547"/>
      <c r="F11" s="547"/>
      <c r="G11" s="547"/>
      <c r="H11" s="547"/>
      <c r="I11" s="547"/>
      <c r="J11" s="547"/>
      <c r="K11" s="547"/>
      <c r="L11" s="547"/>
    </row>
    <row r="12" spans="2:12" ht="15" customHeight="1" x14ac:dyDescent="0.25"/>
    <row r="13" spans="2:12" ht="30" customHeight="1" x14ac:dyDescent="0.25">
      <c r="B13" s="562" t="s">
        <v>29</v>
      </c>
      <c r="C13" s="564" t="s">
        <v>15</v>
      </c>
      <c r="D13" s="565"/>
      <c r="E13" s="562" t="s">
        <v>390</v>
      </c>
      <c r="F13" s="120" t="s">
        <v>462</v>
      </c>
      <c r="G13" s="120" t="s">
        <v>463</v>
      </c>
      <c r="H13" s="120" t="s">
        <v>408</v>
      </c>
      <c r="I13" s="120" t="s">
        <v>465</v>
      </c>
      <c r="J13" s="120" t="s">
        <v>466</v>
      </c>
      <c r="K13" s="120" t="s">
        <v>467</v>
      </c>
      <c r="L13" s="120" t="s">
        <v>396</v>
      </c>
    </row>
    <row r="14" spans="2:12" ht="15" customHeight="1" x14ac:dyDescent="0.25">
      <c r="B14" s="562"/>
      <c r="C14" s="564"/>
      <c r="D14" s="565"/>
      <c r="E14" s="562"/>
      <c r="F14" s="120" t="s">
        <v>330</v>
      </c>
      <c r="G14" s="120" t="s">
        <v>331</v>
      </c>
      <c r="H14" s="120" t="s">
        <v>464</v>
      </c>
      <c r="I14" s="120" t="s">
        <v>333</v>
      </c>
      <c r="J14" s="120" t="s">
        <v>378</v>
      </c>
      <c r="K14" s="120" t="s">
        <v>468</v>
      </c>
      <c r="L14" s="120" t="s">
        <v>469</v>
      </c>
    </row>
    <row r="15" spans="2:12" ht="15" customHeight="1" x14ac:dyDescent="0.25">
      <c r="B15" s="24" t="s">
        <v>397</v>
      </c>
      <c r="C15" s="25"/>
      <c r="D15" s="25"/>
      <c r="E15" s="25"/>
      <c r="F15" s="25"/>
      <c r="G15" s="25"/>
      <c r="H15" s="25"/>
      <c r="I15" s="25"/>
      <c r="J15" s="25"/>
      <c r="K15" s="25"/>
      <c r="L15" s="78">
        <f>L16</f>
        <v>875</v>
      </c>
    </row>
    <row r="16" spans="2:12" ht="15" customHeight="1" x14ac:dyDescent="0.25">
      <c r="B16" s="110" t="str">
        <f>'Memo calc'!B1662</f>
        <v>P8061</v>
      </c>
      <c r="C16" s="589" t="str">
        <f ca="1">IFERROR(VLOOKUP(B16,MO_Matriz,2,0),"")</f>
        <v>Engenheiro coordenador</v>
      </c>
      <c r="D16" s="590" t="str">
        <f ca="1">IFERROR(VLOOKUP(C16,MO_Matriz,2,0),"")</f>
        <v/>
      </c>
      <c r="E16" s="41" t="str">
        <f ca="1">IFERROR(VLOOKUP(B16,MO_Matriz,3,0),"")</f>
        <v>S</v>
      </c>
      <c r="F16" s="49">
        <f>'Memo calc'!H1662</f>
        <v>500</v>
      </c>
      <c r="G16" s="49">
        <f>'Memo calc'!I1662</f>
        <v>375</v>
      </c>
      <c r="H16" s="46">
        <f>F16+G16</f>
        <v>875</v>
      </c>
      <c r="I16" s="46">
        <v>0</v>
      </c>
      <c r="J16" s="46">
        <v>0</v>
      </c>
      <c r="K16" s="46">
        <f>I16+J16</f>
        <v>0</v>
      </c>
      <c r="L16" s="46">
        <f>TRUNC(H16+K16,2)</f>
        <v>875</v>
      </c>
    </row>
    <row r="17" spans="2:12" ht="15" customHeight="1" x14ac:dyDescent="0.25">
      <c r="B17" s="232" t="s">
        <v>398</v>
      </c>
      <c r="C17" s="12"/>
      <c r="D17" s="12"/>
      <c r="E17" s="12"/>
      <c r="F17" s="12"/>
      <c r="G17" s="12"/>
      <c r="H17" s="12"/>
      <c r="I17" s="12"/>
      <c r="J17" s="12"/>
      <c r="K17" s="12"/>
      <c r="L17" s="47">
        <f>SUM(L18:L19)</f>
        <v>3250</v>
      </c>
    </row>
    <row r="18" spans="2:12" ht="15" customHeight="1" x14ac:dyDescent="0.25">
      <c r="B18" s="110" t="str">
        <f>'Memo calc'!B1120</f>
        <v>P8061</v>
      </c>
      <c r="C18" s="589" t="str">
        <f ca="1">IFERROR(VLOOKUP(B18,MO_Matriz,2,0),"")</f>
        <v>Engenheiro coordenador</v>
      </c>
      <c r="D18" s="590" t="str">
        <f ca="1">IFERROR(VLOOKUP(C18,MO_Matriz,2,0),"")</f>
        <v/>
      </c>
      <c r="E18" s="41" t="str">
        <f ca="1">IFERROR(VLOOKUP(B18,MO_Matriz,3,0),"")</f>
        <v>S</v>
      </c>
      <c r="F18" s="49">
        <f>'Memo calc'!H1120</f>
        <v>875</v>
      </c>
      <c r="G18" s="49">
        <f>'Memo calc'!I1120</f>
        <v>750</v>
      </c>
      <c r="H18" s="46">
        <f>F18+G18</f>
        <v>1625</v>
      </c>
      <c r="I18" s="46">
        <v>0</v>
      </c>
      <c r="J18" s="46">
        <v>0</v>
      </c>
      <c r="K18" s="46">
        <f>I18+J18</f>
        <v>0</v>
      </c>
      <c r="L18" s="46">
        <f>TRUNC(H18+K18,2)</f>
        <v>1625</v>
      </c>
    </row>
    <row r="19" spans="2:12" ht="15" customHeight="1" x14ac:dyDescent="0.25">
      <c r="B19" s="110" t="str">
        <f>'Memo calc'!B1121</f>
        <v>P8147</v>
      </c>
      <c r="C19" s="589" t="str">
        <f ca="1">IFERROR(VLOOKUP(B19,MO_Matriz,2,0),"")</f>
        <v>Técnico de obras</v>
      </c>
      <c r="D19" s="590" t="str">
        <f ca="1">IFERROR(VLOOKUP(C19,MO_Matriz,2,0),"")</f>
        <v/>
      </c>
      <c r="E19" s="318" t="str">
        <f ca="1">IFERROR(VLOOKUP(B19,MO_Matriz,3,0),"")</f>
        <v>T</v>
      </c>
      <c r="F19" s="49">
        <f>'Memo calc'!H1121</f>
        <v>875</v>
      </c>
      <c r="G19" s="49">
        <f>'Memo calc'!I1121</f>
        <v>750</v>
      </c>
      <c r="H19" s="46">
        <f>F19+G19</f>
        <v>1625</v>
      </c>
      <c r="I19" s="46">
        <v>0</v>
      </c>
      <c r="J19" s="46">
        <v>0</v>
      </c>
      <c r="K19" s="46">
        <f>I19+J19</f>
        <v>0</v>
      </c>
      <c r="L19" s="46">
        <f>TRUNC(H19+K19,2)</f>
        <v>1625</v>
      </c>
    </row>
    <row r="20" spans="2:12" ht="15" customHeight="1" x14ac:dyDescent="0.25">
      <c r="B20" s="232" t="s">
        <v>732</v>
      </c>
      <c r="C20" s="12"/>
      <c r="D20" s="12"/>
      <c r="E20" s="12"/>
      <c r="F20" s="12"/>
      <c r="G20" s="12"/>
      <c r="H20" s="12"/>
      <c r="I20" s="12"/>
      <c r="J20" s="12"/>
      <c r="K20" s="12"/>
      <c r="L20" s="47">
        <f>SUM(L21:L21)</f>
        <v>625</v>
      </c>
    </row>
    <row r="21" spans="2:12" ht="15" customHeight="1" x14ac:dyDescent="0.25">
      <c r="B21" s="110" t="str">
        <f>'Memo calc'!B112</f>
        <v>P8058</v>
      </c>
      <c r="C21" s="589" t="str">
        <f t="shared" ref="C21:D21" ca="1" si="0">IFERROR(VLOOKUP(B21,MO_Matriz,2,0),"")</f>
        <v>Engenheiro ambiental pleno</v>
      </c>
      <c r="D21" s="590" t="str">
        <f t="shared" ca="1" si="0"/>
        <v/>
      </c>
      <c r="E21" s="103" t="str">
        <f ca="1">IFERROR(VLOOKUP(B21,MO_Matriz,3,0),"")</f>
        <v>S</v>
      </c>
      <c r="F21" s="49">
        <f>'Memo calc'!H112</f>
        <v>375</v>
      </c>
      <c r="G21" s="49">
        <f>'Memo calc'!J112</f>
        <v>250</v>
      </c>
      <c r="H21" s="46">
        <f>F21+G21</f>
        <v>625</v>
      </c>
      <c r="I21" s="46">
        <v>0</v>
      </c>
      <c r="J21" s="46">
        <v>0</v>
      </c>
      <c r="K21" s="46">
        <f>I21+J21</f>
        <v>0</v>
      </c>
      <c r="L21" s="46">
        <f>TRUNC(H21+K21,2)</f>
        <v>625</v>
      </c>
    </row>
    <row r="22" spans="2:12" ht="15" customHeight="1" x14ac:dyDescent="0.25">
      <c r="B22" s="232" t="s">
        <v>735</v>
      </c>
      <c r="C22" s="12"/>
      <c r="D22" s="12"/>
      <c r="E22" s="12"/>
      <c r="F22" s="12"/>
      <c r="G22" s="12"/>
      <c r="H22" s="12"/>
      <c r="I22" s="12"/>
      <c r="J22" s="12"/>
      <c r="K22" s="12"/>
      <c r="L22" s="47">
        <f>SUM(L23:L23)</f>
        <v>625</v>
      </c>
    </row>
    <row r="23" spans="2:12" ht="15" customHeight="1" x14ac:dyDescent="0.25">
      <c r="B23" s="110" t="str">
        <f>'Memo calc'!B366</f>
        <v>P8163</v>
      </c>
      <c r="C23" s="589" t="str">
        <f t="shared" ref="C23:D23" ca="1" si="1">IFERROR(VLOOKUP(B23,MO_Matriz,2,0),"")</f>
        <v>Topógrafo</v>
      </c>
      <c r="D23" s="590" t="str">
        <f t="shared" ca="1" si="1"/>
        <v/>
      </c>
      <c r="E23" s="41" t="str">
        <f ca="1">IFERROR(VLOOKUP(B23,MO_Matriz,3,0),"")</f>
        <v>T</v>
      </c>
      <c r="F23" s="49">
        <f>'Memo calc'!H366</f>
        <v>375</v>
      </c>
      <c r="G23" s="49">
        <f>'Memo calc'!J366</f>
        <v>250</v>
      </c>
      <c r="H23" s="46">
        <f>F23+G23</f>
        <v>625</v>
      </c>
      <c r="I23" s="46">
        <v>0</v>
      </c>
      <c r="J23" s="46">
        <v>0</v>
      </c>
      <c r="K23" s="46">
        <f>I23+J23</f>
        <v>0</v>
      </c>
      <c r="L23" s="46">
        <f>TRUNC(H23+K23,2)</f>
        <v>625</v>
      </c>
    </row>
    <row r="24" spans="2:12" ht="15" customHeight="1" x14ac:dyDescent="0.25">
      <c r="B24" s="232" t="s">
        <v>509</v>
      </c>
      <c r="C24" s="12"/>
      <c r="D24" s="12"/>
      <c r="E24" s="12"/>
      <c r="F24" s="12"/>
      <c r="G24" s="12"/>
      <c r="H24" s="12"/>
      <c r="I24" s="12"/>
      <c r="J24" s="12"/>
      <c r="K24" s="12"/>
      <c r="L24" s="47">
        <f>SUM(L25:L25)</f>
        <v>1125</v>
      </c>
    </row>
    <row r="25" spans="2:12" ht="15" customHeight="1" x14ac:dyDescent="0.25">
      <c r="B25" s="110" t="str">
        <f>'Memo calc'!B926</f>
        <v>P8139</v>
      </c>
      <c r="C25" s="589" t="str">
        <f t="shared" ref="C25:D25" ca="1" si="2">IFERROR(VLOOKUP(B25,MO_Matriz,2,0),"")</f>
        <v>Sondador</v>
      </c>
      <c r="D25" s="590" t="str">
        <f t="shared" ca="1" si="2"/>
        <v/>
      </c>
      <c r="E25" s="41" t="str">
        <f ca="1">IFERROR(VLOOKUP(B25,MO_Matriz,3,0),"")</f>
        <v>T</v>
      </c>
      <c r="F25" s="49">
        <f>'Memo calc'!H926</f>
        <v>625</v>
      </c>
      <c r="G25" s="49">
        <f>'Memo calc'!J926</f>
        <v>500</v>
      </c>
      <c r="H25" s="46">
        <f>F25+G25</f>
        <v>1125</v>
      </c>
      <c r="I25" s="46">
        <v>0</v>
      </c>
      <c r="J25" s="46">
        <v>0</v>
      </c>
      <c r="K25" s="46">
        <f>I25+J25</f>
        <v>0</v>
      </c>
      <c r="L25" s="46">
        <f>TRUNC(H25+K25,2)</f>
        <v>1125</v>
      </c>
    </row>
    <row r="26" spans="2:12" ht="15" customHeight="1" x14ac:dyDescent="0.25">
      <c r="B26" s="441" t="s">
        <v>1227</v>
      </c>
      <c r="C26" s="25"/>
      <c r="D26" s="25"/>
      <c r="E26" s="469"/>
      <c r="F26" s="526"/>
      <c r="G26" s="526"/>
      <c r="H26" s="471"/>
      <c r="I26" s="471"/>
      <c r="J26" s="471"/>
      <c r="K26" s="471"/>
      <c r="L26" s="78">
        <f>L27</f>
        <v>125</v>
      </c>
    </row>
    <row r="27" spans="2:12" ht="15" customHeight="1" x14ac:dyDescent="0.25">
      <c r="B27" s="110" t="str">
        <f>'Memo calc'!B499</f>
        <v>-</v>
      </c>
      <c r="C27" s="589" t="str">
        <f>'Memo calc'!C499</f>
        <v>Motorista de veículo especializado (FWD)</v>
      </c>
      <c r="D27" s="590" t="str">
        <f t="shared" ref="D27" ca="1" si="3">IFERROR(VLOOKUP(C27,MO_Matriz,2,0),"")</f>
        <v/>
      </c>
      <c r="E27" s="440" t="str">
        <f>'Memo calc'!G499</f>
        <v>A</v>
      </c>
      <c r="F27" s="49">
        <f>'Memo calc'!I499</f>
        <v>125</v>
      </c>
      <c r="G27" s="49">
        <f>'Memo calc'!J499</f>
        <v>0</v>
      </c>
      <c r="H27" s="46">
        <f>F27+G27</f>
        <v>125</v>
      </c>
      <c r="I27" s="46">
        <v>0</v>
      </c>
      <c r="J27" s="46">
        <v>0</v>
      </c>
      <c r="K27" s="46">
        <f>I27+J27</f>
        <v>0</v>
      </c>
      <c r="L27" s="46">
        <f>TRUNC(H27+K27,2)</f>
        <v>125</v>
      </c>
    </row>
    <row r="28" spans="2:12" ht="15" customHeight="1" x14ac:dyDescent="0.25">
      <c r="B28" s="441" t="s">
        <v>1239</v>
      </c>
      <c r="C28" s="25"/>
      <c r="D28" s="25"/>
      <c r="E28" s="469"/>
      <c r="F28" s="526"/>
      <c r="G28" s="526"/>
      <c r="H28" s="471"/>
      <c r="I28" s="471"/>
      <c r="J28" s="471"/>
      <c r="K28" s="471"/>
      <c r="L28" s="78">
        <f>L29</f>
        <v>125</v>
      </c>
    </row>
    <row r="29" spans="2:12" ht="15" customHeight="1" x14ac:dyDescent="0.25">
      <c r="B29" s="110" t="str">
        <f>'Memo calc'!B594</f>
        <v>-</v>
      </c>
      <c r="C29" s="589" t="str">
        <f>'Memo calc'!C594</f>
        <v>Motorista da van furgão</v>
      </c>
      <c r="D29" s="590" t="str">
        <f t="shared" ref="D29" ca="1" si="4">IFERROR(VLOOKUP(C29,MO_Matriz,2,0),"")</f>
        <v/>
      </c>
      <c r="E29" s="440" t="str">
        <f>'Memo calc'!F594</f>
        <v>A</v>
      </c>
      <c r="F29" s="49">
        <f>'Memo calc'!H594</f>
        <v>125</v>
      </c>
      <c r="G29" s="49">
        <f>'Memo calc'!I594</f>
        <v>0</v>
      </c>
      <c r="H29" s="46">
        <f>F29+G29</f>
        <v>125</v>
      </c>
      <c r="I29" s="46">
        <v>0</v>
      </c>
      <c r="J29" s="46">
        <v>0</v>
      </c>
      <c r="K29" s="46">
        <f>I29+J29</f>
        <v>0</v>
      </c>
      <c r="L29" s="46">
        <f>TRUNC(H29+K29,2)</f>
        <v>125</v>
      </c>
    </row>
    <row r="30" spans="2:12" ht="15" customHeight="1" x14ac:dyDescent="0.25">
      <c r="B30" s="441" t="s">
        <v>1241</v>
      </c>
      <c r="C30" s="12"/>
      <c r="D30" s="12"/>
      <c r="E30" s="469"/>
      <c r="F30" s="526"/>
      <c r="G30" s="526"/>
      <c r="H30" s="471"/>
      <c r="I30" s="471"/>
      <c r="J30" s="471"/>
      <c r="K30" s="471"/>
      <c r="L30" s="78">
        <f>L31</f>
        <v>250</v>
      </c>
    </row>
    <row r="31" spans="2:12" ht="15" customHeight="1" x14ac:dyDescent="0.25">
      <c r="B31" s="110" t="str">
        <f>'Memo calc'!B696</f>
        <v>P8139</v>
      </c>
      <c r="C31" s="589" t="str">
        <f ca="1">'Memo calc'!C696</f>
        <v>Sondador</v>
      </c>
      <c r="D31" s="590"/>
      <c r="E31" s="440" t="str">
        <f ca="1">'Memo calc'!F696</f>
        <v>T</v>
      </c>
      <c r="F31" s="49">
        <f>'Memo calc'!H696</f>
        <v>250</v>
      </c>
      <c r="G31" s="49">
        <f>'Memo calc'!J696</f>
        <v>0</v>
      </c>
      <c r="H31" s="46">
        <f>F31+G31</f>
        <v>250</v>
      </c>
      <c r="I31" s="46">
        <v>0</v>
      </c>
      <c r="J31" s="46">
        <v>0</v>
      </c>
      <c r="K31" s="46">
        <f>I31+J31</f>
        <v>0</v>
      </c>
      <c r="L31" s="46">
        <f>TRUNC(H31+K31,2)</f>
        <v>250</v>
      </c>
    </row>
    <row r="32" spans="2:12" ht="15" customHeight="1" x14ac:dyDescent="0.25">
      <c r="B32" s="441" t="s">
        <v>1257</v>
      </c>
      <c r="C32" s="12"/>
      <c r="D32" s="12"/>
      <c r="E32" s="469"/>
      <c r="F32" s="526"/>
      <c r="G32" s="526"/>
      <c r="H32" s="471"/>
      <c r="I32" s="471"/>
      <c r="J32" s="471"/>
      <c r="K32" s="471"/>
      <c r="L32" s="78">
        <f>L33</f>
        <v>125</v>
      </c>
    </row>
    <row r="33" spans="2:13" ht="15" customHeight="1" x14ac:dyDescent="0.25">
      <c r="B33" s="110" t="str">
        <f>'Memo calc'!B791</f>
        <v>P8098</v>
      </c>
      <c r="C33" s="589" t="str">
        <f ca="1">'Memo calc'!C791</f>
        <v>Laboratorista</v>
      </c>
      <c r="D33" s="590"/>
      <c r="E33" s="440" t="str">
        <f ca="1">'Memo calc'!F791</f>
        <v>T</v>
      </c>
      <c r="F33" s="49">
        <f>'Memo calc'!H791</f>
        <v>125</v>
      </c>
      <c r="G33" s="49">
        <f>'Memo calc'!I791</f>
        <v>0</v>
      </c>
      <c r="H33" s="46">
        <f>F33+G33</f>
        <v>125</v>
      </c>
      <c r="I33" s="46">
        <v>0</v>
      </c>
      <c r="J33" s="46">
        <v>0</v>
      </c>
      <c r="K33" s="46">
        <f>I33+J33</f>
        <v>0</v>
      </c>
      <c r="L33" s="46">
        <f>TRUNC(H33+K33,2)</f>
        <v>125</v>
      </c>
    </row>
    <row r="34" spans="2:13" s="84" customFormat="1" ht="15" customHeight="1" x14ac:dyDescent="0.25">
      <c r="B34" s="126"/>
      <c r="C34" s="125"/>
      <c r="D34" s="125"/>
      <c r="E34" s="125"/>
      <c r="F34" s="125"/>
      <c r="G34" s="125"/>
      <c r="H34" s="125"/>
      <c r="I34" s="125"/>
      <c r="J34" s="125"/>
      <c r="K34" s="136" t="s">
        <v>689</v>
      </c>
      <c r="L34" s="77">
        <f ca="1">SUMIF($E$15:$E$33,"S",$L$15:$L$33)</f>
        <v>3125</v>
      </c>
    </row>
    <row r="35" spans="2:13" ht="15" customHeight="1" x14ac:dyDescent="0.25">
      <c r="B35" s="126"/>
      <c r="C35" s="125"/>
      <c r="D35" s="125"/>
      <c r="E35" s="125"/>
      <c r="F35" s="125"/>
      <c r="G35" s="125"/>
      <c r="H35" s="125"/>
      <c r="I35" s="125"/>
      <c r="J35" s="125"/>
      <c r="K35" s="136" t="s">
        <v>690</v>
      </c>
      <c r="L35" s="77">
        <f ca="1">SUMIF($E$15:$E$33,"T",$L$15:$L$33)</f>
        <v>3750</v>
      </c>
    </row>
    <row r="36" spans="2:13" ht="15" customHeight="1" x14ac:dyDescent="0.25">
      <c r="B36" s="287"/>
      <c r="C36" s="286"/>
      <c r="D36" s="286"/>
      <c r="E36" s="286"/>
      <c r="F36" s="286"/>
      <c r="G36" s="286"/>
      <c r="H36" s="286"/>
      <c r="I36" s="286"/>
      <c r="J36" s="286"/>
      <c r="K36" s="136" t="s">
        <v>1044</v>
      </c>
      <c r="L36" s="77">
        <f ca="1">SUMIF($E$15:$E$33,"A",$L$15:$L$33)</f>
        <v>250</v>
      </c>
    </row>
    <row r="37" spans="2:13" ht="15" customHeight="1" x14ac:dyDescent="0.25">
      <c r="B37" s="126"/>
      <c r="C37" s="125"/>
      <c r="D37" s="125"/>
      <c r="E37" s="125"/>
      <c r="F37" s="125"/>
      <c r="G37" s="125"/>
      <c r="H37" s="125"/>
      <c r="I37" s="125"/>
      <c r="J37" s="125"/>
      <c r="K37" s="136" t="s">
        <v>691</v>
      </c>
      <c r="L37" s="77">
        <f ca="1">SUM(L34:L36)</f>
        <v>7125</v>
      </c>
    </row>
    <row r="38" spans="2:13" ht="15" customHeight="1" x14ac:dyDescent="0.25">
      <c r="B38" s="68" t="s">
        <v>587</v>
      </c>
      <c r="C38" s="3"/>
      <c r="D38" s="3"/>
      <c r="E38" s="3"/>
      <c r="F38" s="3"/>
      <c r="G38" s="3"/>
      <c r="H38" s="3"/>
      <c r="I38" s="3"/>
      <c r="J38" s="3"/>
      <c r="K38" s="3"/>
      <c r="L38" s="3"/>
      <c r="M38" s="3"/>
    </row>
    <row r="39" spans="2:13" ht="15" customHeight="1" x14ac:dyDescent="0.25">
      <c r="B39" s="87" t="s">
        <v>694</v>
      </c>
      <c r="C39" s="87"/>
      <c r="D39" s="87"/>
      <c r="E39" s="87"/>
      <c r="F39" s="87"/>
      <c r="G39" s="87"/>
      <c r="H39" s="87"/>
      <c r="I39" s="87"/>
      <c r="K39" s="87"/>
      <c r="L39" s="291"/>
      <c r="M39" s="3"/>
    </row>
    <row r="40" spans="2:13" ht="15" customHeight="1" x14ac:dyDescent="0.25">
      <c r="B40" s="87" t="str">
        <f>"Passagem de ônibus de Campo Grande para "&amp;Listas!$D$17&amp;", em 27/03/23: R$ 56,52"</f>
        <v>Passagem de ônibus de Campo Grande para Nova Andradina, em 27/03/23: R$ 56,52</v>
      </c>
      <c r="C40" s="87"/>
      <c r="D40" s="87"/>
      <c r="E40" s="87"/>
      <c r="F40" s="87"/>
      <c r="G40" s="87"/>
      <c r="H40" s="87"/>
      <c r="I40" s="89"/>
      <c r="K40" s="87"/>
      <c r="L40" s="87"/>
      <c r="M40" s="3"/>
    </row>
    <row r="41" spans="2:13" ht="15" customHeight="1" x14ac:dyDescent="0.25">
      <c r="B41" s="87"/>
      <c r="C41" s="87"/>
      <c r="D41" s="87"/>
      <c r="E41" s="87"/>
      <c r="F41" s="87"/>
      <c r="G41" s="87"/>
      <c r="H41" s="87"/>
      <c r="I41" s="89"/>
      <c r="K41" s="87"/>
      <c r="L41" s="87"/>
      <c r="M41" s="3"/>
    </row>
    <row r="42" spans="2:13" ht="15" customHeight="1" x14ac:dyDescent="0.25">
      <c r="B42" s="241" t="str">
        <f>"Segundo Decreto nº 16.536, de 26 de dezembro de 2024, os valores de diárias para "&amp;Listas!$D$17&amp;" são:"</f>
        <v>Segundo Decreto nº 16.536, de 26 de dezembro de 2024, os valores de diárias para Nova Andradina são:</v>
      </c>
      <c r="C42" s="87"/>
      <c r="D42" s="87"/>
      <c r="E42" s="87"/>
      <c r="F42" s="87"/>
      <c r="G42" s="87"/>
      <c r="H42" s="87"/>
      <c r="I42" s="89"/>
      <c r="K42" s="87"/>
      <c r="L42" s="87"/>
      <c r="M42" s="3"/>
    </row>
    <row r="43" spans="2:13" ht="15" customHeight="1" x14ac:dyDescent="0.25">
      <c r="B43" s="242" t="str">
        <f>"Diária completa: R$ "&amp;Listas!$D$19&amp;",00"</f>
        <v>Diária completa: R$ 250,00</v>
      </c>
      <c r="C43" s="87"/>
      <c r="D43" s="87"/>
      <c r="E43" s="87"/>
      <c r="F43" s="87"/>
      <c r="G43" s="87"/>
      <c r="H43" s="87"/>
      <c r="I43" s="87"/>
      <c r="J43" s="87"/>
      <c r="K43" s="87"/>
      <c r="L43" s="87"/>
      <c r="M43" s="3"/>
    </row>
    <row r="44" spans="2:13" ht="15" customHeight="1" x14ac:dyDescent="0.25">
      <c r="B44" s="242" t="str">
        <f>"Diária de alimentação: R$ "&amp;Listas!$D$19/2&amp;",00"</f>
        <v>Diária de alimentação: R$ 125,00</v>
      </c>
      <c r="C44" s="87"/>
      <c r="D44" s="87"/>
      <c r="E44" s="87"/>
      <c r="F44" s="87"/>
      <c r="G44" s="87"/>
      <c r="H44" s="87"/>
      <c r="I44" s="87"/>
      <c r="J44" s="87"/>
      <c r="K44" s="87"/>
      <c r="L44" s="87"/>
      <c r="M44" s="3"/>
    </row>
    <row r="45" spans="2:13" ht="15" customHeight="1" x14ac:dyDescent="0.25">
      <c r="B45" s="242" t="str">
        <f>"Diária de hospedagem: R$ "&amp;Listas!$D$19/2&amp;",00"</f>
        <v>Diária de hospedagem: R$ 125,00</v>
      </c>
      <c r="C45" s="87"/>
      <c r="D45" s="87"/>
      <c r="E45" s="87"/>
      <c r="F45" s="87"/>
      <c r="G45" s="87"/>
      <c r="H45" s="87"/>
      <c r="I45" s="87"/>
      <c r="J45" s="87"/>
      <c r="K45" s="87"/>
      <c r="L45" s="87"/>
      <c r="M45" s="3"/>
    </row>
    <row r="46" spans="2:13" ht="9" customHeight="1" x14ac:dyDescent="0.25"/>
    <row r="47" spans="2:13" ht="15" hidden="1" customHeight="1" x14ac:dyDescent="0.25"/>
    <row r="48" spans="2:13"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hidden="1" customHeight="1" x14ac:dyDescent="0.25"/>
    <row r="71" ht="15" hidden="1" customHeight="1" x14ac:dyDescent="0.25"/>
    <row r="72" ht="15" hidden="1" customHeight="1" x14ac:dyDescent="0.25"/>
    <row r="73" ht="15" hidden="1" customHeight="1" x14ac:dyDescent="0.25"/>
    <row r="74" ht="15" hidden="1" customHeight="1" x14ac:dyDescent="0.25"/>
    <row r="75" ht="15" hidden="1" customHeight="1" x14ac:dyDescent="0.25"/>
    <row r="76" ht="15" hidden="1" customHeight="1" x14ac:dyDescent="0.25"/>
    <row r="77" ht="15" hidden="1" customHeight="1" x14ac:dyDescent="0.25"/>
    <row r="78" ht="15" hidden="1" customHeight="1" x14ac:dyDescent="0.25"/>
    <row r="79" ht="15" hidden="1" customHeight="1" x14ac:dyDescent="0.25"/>
    <row r="80" ht="15" hidden="1" customHeight="1" x14ac:dyDescent="0.25"/>
    <row r="81" spans="5:5" ht="15" hidden="1" customHeight="1" x14ac:dyDescent="0.25"/>
    <row r="82" spans="5:5" ht="15" customHeight="1" x14ac:dyDescent="0.25"/>
    <row r="83" spans="5:5" ht="15" customHeight="1" x14ac:dyDescent="0.25"/>
    <row r="84" spans="5:5" ht="15" customHeight="1" x14ac:dyDescent="0.25">
      <c r="E84" t="s">
        <v>1125</v>
      </c>
    </row>
    <row r="85" spans="5:5" ht="15" customHeight="1" x14ac:dyDescent="0.25"/>
    <row r="86" spans="5:5" ht="15" customHeight="1" x14ac:dyDescent="0.25"/>
    <row r="87" spans="5:5" ht="15" customHeight="1" x14ac:dyDescent="0.25"/>
    <row r="88" spans="5:5" ht="15" customHeight="1" x14ac:dyDescent="0.25"/>
    <row r="89" spans="5:5" ht="15" customHeight="1" x14ac:dyDescent="0.25"/>
    <row r="90" spans="5:5" ht="15" customHeight="1" x14ac:dyDescent="0.25"/>
    <row r="91" spans="5:5" ht="15" customHeight="1" x14ac:dyDescent="0.25"/>
    <row r="92" spans="5:5" ht="15" customHeight="1" x14ac:dyDescent="0.25"/>
    <row r="93" spans="5:5" ht="15" customHeight="1" x14ac:dyDescent="0.25"/>
    <row r="94" spans="5:5" ht="15" customHeight="1" x14ac:dyDescent="0.25"/>
    <row r="95" spans="5:5" ht="15" customHeight="1" x14ac:dyDescent="0.25"/>
    <row r="96" spans="5:5" ht="15" customHeight="1" x14ac:dyDescent="0.25"/>
    <row r="97" ht="15" customHeight="1" x14ac:dyDescent="0.25"/>
    <row r="98" ht="15" customHeight="1" x14ac:dyDescent="0.25"/>
    <row r="99" ht="15" customHeight="1" x14ac:dyDescent="0.25"/>
    <row r="100" ht="15" customHeight="1" x14ac:dyDescent="0.25"/>
  </sheetData>
  <mergeCells count="15">
    <mergeCell ref="C27:D27"/>
    <mergeCell ref="C29:D29"/>
    <mergeCell ref="C31:D31"/>
    <mergeCell ref="C33:D33"/>
    <mergeCell ref="C5:L5"/>
    <mergeCell ref="C21:D21"/>
    <mergeCell ref="B11:L11"/>
    <mergeCell ref="C23:D23"/>
    <mergeCell ref="C25:D25"/>
    <mergeCell ref="C18:D18"/>
    <mergeCell ref="B13:B14"/>
    <mergeCell ref="C13:D14"/>
    <mergeCell ref="E13:E14"/>
    <mergeCell ref="C16:D16"/>
    <mergeCell ref="C19:D19"/>
  </mergeCells>
  <printOptions horizontalCentered="1"/>
  <pageMargins left="0.78740157480314965" right="0.78740157480314965" top="0.39370078740157483" bottom="0.78740157480314965" header="0.19685039370078741" footer="0.19685039370078741"/>
  <pageSetup paperSize="9" scale="73" orientation="landscape"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1">
    <pageSetUpPr fitToPage="1"/>
  </sheetPr>
  <dimension ref="A1:P90"/>
  <sheetViews>
    <sheetView showGridLines="0" view="pageBreakPreview" zoomScaleNormal="100" zoomScaleSheetLayoutView="100" workbookViewId="0">
      <selection activeCell="O16" sqref="O16"/>
    </sheetView>
  </sheetViews>
  <sheetFormatPr defaultColWidth="0" defaultRowHeight="15" customHeight="1" zeroHeight="1" x14ac:dyDescent="0.25"/>
  <cols>
    <col min="1" max="1" width="1.7109375" style="2" customWidth="1"/>
    <col min="2" max="2" width="9.85546875" style="2" bestFit="1" customWidth="1"/>
    <col min="3" max="3" width="7.28515625" style="2" customWidth="1"/>
    <col min="4" max="4" width="20.7109375" style="2" customWidth="1"/>
    <col min="5" max="5" width="8.7109375" style="2" customWidth="1"/>
    <col min="6" max="6" width="8.28515625" style="2" bestFit="1" customWidth="1"/>
    <col min="7" max="7" width="10.7109375" style="2" bestFit="1" customWidth="1"/>
    <col min="8" max="8" width="14.140625" style="2" bestFit="1" customWidth="1"/>
    <col min="9" max="9" width="12.140625" style="2" bestFit="1" customWidth="1"/>
    <col min="10" max="10" width="9.42578125" style="2" bestFit="1" customWidth="1"/>
    <col min="11" max="11" width="15.5703125" style="2" bestFit="1" customWidth="1"/>
    <col min="12" max="12" width="6.85546875" style="2" bestFit="1" customWidth="1"/>
    <col min="13" max="13" width="10.7109375" style="2" bestFit="1" customWidth="1"/>
    <col min="14" max="14" width="13.85546875" style="2" bestFit="1" customWidth="1"/>
    <col min="15" max="15" width="16.28515625" style="2" bestFit="1" customWidth="1"/>
    <col min="16" max="16" width="1.7109375" style="2" customWidth="1"/>
    <col min="17" max="16384" width="9.140625" style="2" hidden="1"/>
  </cols>
  <sheetData>
    <row r="1" spans="2:15" ht="9" customHeight="1" x14ac:dyDescent="0.25"/>
    <row r="2" spans="2:15" ht="34.5" customHeight="1" x14ac:dyDescent="0.25"/>
    <row r="3" spans="2:15" ht="15" customHeight="1" x14ac:dyDescent="0.25"/>
    <row r="4" spans="2:15" ht="15" customHeight="1" x14ac:dyDescent="0.25"/>
    <row r="5" spans="2:15" x14ac:dyDescent="0.25">
      <c r="B5" s="23" t="s">
        <v>0</v>
      </c>
      <c r="C5" s="548" t="str">
        <f>'Qd abrang'!C4</f>
        <v>Contratação de Projeto Executivo de Engenharia para Implantação do Aeródromo no município de Nova Andradina</v>
      </c>
      <c r="D5" s="548"/>
      <c r="E5" s="548"/>
      <c r="F5" s="548"/>
      <c r="G5" s="548"/>
      <c r="H5" s="548"/>
      <c r="I5" s="548"/>
      <c r="J5" s="548"/>
      <c r="K5" s="548"/>
      <c r="L5" s="548"/>
      <c r="M5" s="548"/>
      <c r="N5" s="548"/>
      <c r="O5" s="548"/>
    </row>
    <row r="6" spans="2:15" x14ac:dyDescent="0.25">
      <c r="B6" s="5" t="s">
        <v>862</v>
      </c>
      <c r="C6" s="1" t="str">
        <f>'Qd abrang'!C5</f>
        <v>Nova Andradina/MS</v>
      </c>
    </row>
    <row r="7" spans="2:15" x14ac:dyDescent="0.25">
      <c r="B7" s="5" t="s">
        <v>863</v>
      </c>
      <c r="C7" s="1" t="str">
        <f>'Qd abrang'!C6</f>
        <v>Nova Andradina/MS</v>
      </c>
    </row>
    <row r="8" spans="2:15" x14ac:dyDescent="0.25">
      <c r="B8" s="5" t="s">
        <v>1</v>
      </c>
      <c r="C8" s="239">
        <f>'Qd abrang'!C7</f>
        <v>1.7</v>
      </c>
      <c r="D8" s="2" t="s">
        <v>3</v>
      </c>
      <c r="F8" s="332" t="s">
        <v>959</v>
      </c>
      <c r="G8" s="2" t="s">
        <v>1136</v>
      </c>
      <c r="N8" s="5" t="s">
        <v>16</v>
      </c>
      <c r="O8" s="6" t="str">
        <f>'Qd abrang'!N7</f>
        <v>79.010.182-2025</v>
      </c>
    </row>
    <row r="9" spans="2:15" x14ac:dyDescent="0.25">
      <c r="B9" s="5" t="s">
        <v>2</v>
      </c>
      <c r="C9" s="264">
        <f>'Qd abrang'!C8</f>
        <v>365</v>
      </c>
      <c r="D9" s="2" t="s">
        <v>4</v>
      </c>
      <c r="N9" s="5" t="s">
        <v>17</v>
      </c>
      <c r="O9" s="265">
        <f>'Qd abrang'!N8</f>
        <v>45748</v>
      </c>
    </row>
    <row r="10" spans="2:15" ht="15" customHeight="1" x14ac:dyDescent="0.25"/>
    <row r="11" spans="2:15" s="11" customFormat="1" ht="21" x14ac:dyDescent="0.25">
      <c r="B11" s="547" t="s">
        <v>25</v>
      </c>
      <c r="C11" s="547"/>
      <c r="D11" s="547"/>
      <c r="E11" s="547"/>
      <c r="F11" s="547"/>
      <c r="G11" s="547"/>
      <c r="H11" s="547"/>
      <c r="I11" s="547"/>
      <c r="J11" s="547"/>
      <c r="K11" s="547"/>
      <c r="L11" s="547"/>
      <c r="M11" s="547"/>
      <c r="N11" s="547"/>
      <c r="O11" s="547"/>
    </row>
    <row r="12" spans="2:15" ht="15" customHeight="1" x14ac:dyDescent="0.25"/>
    <row r="13" spans="2:15" ht="45" customHeight="1" x14ac:dyDescent="0.25">
      <c r="B13" s="562" t="s">
        <v>29</v>
      </c>
      <c r="C13" s="564" t="s">
        <v>15</v>
      </c>
      <c r="D13" s="565"/>
      <c r="E13" s="562" t="s">
        <v>390</v>
      </c>
      <c r="F13" s="120" t="s">
        <v>202</v>
      </c>
      <c r="G13" s="120" t="s">
        <v>510</v>
      </c>
      <c r="H13" s="120" t="s">
        <v>511</v>
      </c>
      <c r="I13" s="120" t="s">
        <v>512</v>
      </c>
      <c r="J13" s="120" t="s">
        <v>495</v>
      </c>
      <c r="K13" s="120" t="s">
        <v>513</v>
      </c>
      <c r="L13" s="120" t="s">
        <v>224</v>
      </c>
      <c r="M13" s="120" t="s">
        <v>496</v>
      </c>
      <c r="N13" s="120" t="s">
        <v>514</v>
      </c>
      <c r="O13" s="120" t="s">
        <v>396</v>
      </c>
    </row>
    <row r="14" spans="2:15" ht="15" customHeight="1" x14ac:dyDescent="0.25">
      <c r="B14" s="562"/>
      <c r="C14" s="564"/>
      <c r="D14" s="565"/>
      <c r="E14" s="562"/>
      <c r="F14" s="120" t="s">
        <v>363</v>
      </c>
      <c r="G14" s="120" t="s">
        <v>330</v>
      </c>
      <c r="H14" s="120" t="s">
        <v>331</v>
      </c>
      <c r="I14" s="120" t="s">
        <v>464</v>
      </c>
      <c r="J14" s="120" t="s">
        <v>333</v>
      </c>
      <c r="K14" s="120" t="s">
        <v>1029</v>
      </c>
      <c r="L14" s="120" t="s">
        <v>497</v>
      </c>
      <c r="M14" s="120" t="s">
        <v>498</v>
      </c>
      <c r="N14" s="120" t="s">
        <v>499</v>
      </c>
      <c r="O14" s="120" t="s">
        <v>500</v>
      </c>
    </row>
    <row r="15" spans="2:15" ht="15" customHeight="1" x14ac:dyDescent="0.25">
      <c r="B15" s="441" t="s">
        <v>1257</v>
      </c>
      <c r="C15" s="527"/>
      <c r="D15" s="527"/>
      <c r="E15" s="528"/>
      <c r="F15" s="529"/>
      <c r="G15" s="529"/>
      <c r="H15" s="530"/>
      <c r="I15" s="530"/>
      <c r="J15" s="530"/>
      <c r="K15" s="530"/>
      <c r="L15" s="530"/>
      <c r="M15" s="530"/>
      <c r="N15" s="530"/>
      <c r="O15" s="531">
        <f>O16</f>
        <v>844.12</v>
      </c>
    </row>
    <row r="16" spans="2:15" ht="15" customHeight="1" x14ac:dyDescent="0.25">
      <c r="B16" s="111" t="str">
        <f>'Memo calc'!B809</f>
        <v>P8098</v>
      </c>
      <c r="C16" s="592" t="str">
        <f t="shared" ref="C16" ca="1" si="0">IFERROR(VLOOKUP(B16,MO_Matriz,2,0),"")</f>
        <v>Laboratorista</v>
      </c>
      <c r="D16" s="593" t="str">
        <f t="shared" ref="D16" ca="1" si="1">IFERROR(VLOOKUP(C16,MO_Matriz,2,0),"")</f>
        <v/>
      </c>
      <c r="E16" s="122" t="str">
        <f ca="1">IFERROR(VLOOKUP(B16,MO_Matriz,3,0),"")</f>
        <v>T</v>
      </c>
      <c r="F16" s="88">
        <f>'Memo calc'!H809</f>
        <v>2</v>
      </c>
      <c r="G16" s="88">
        <f>'Memo calc'!J809</f>
        <v>86.032418539557099</v>
      </c>
      <c r="H16" s="80">
        <f>'Memo calc'!L809</f>
        <v>125</v>
      </c>
      <c r="I16" s="80">
        <f>G16+H16</f>
        <v>211.03241853955711</v>
      </c>
      <c r="J16" s="80">
        <v>1</v>
      </c>
      <c r="K16" s="80">
        <f>2*F16*I16*J16</f>
        <v>844.12967415822845</v>
      </c>
      <c r="L16" s="80">
        <f>'Memo calc'!U809</f>
        <v>0.5</v>
      </c>
      <c r="M16" s="80">
        <f>INT(L16/30)</f>
        <v>0</v>
      </c>
      <c r="N16" s="80">
        <f>2*F16*I16*M16</f>
        <v>0</v>
      </c>
      <c r="O16" s="80">
        <f>TRUNC(K16+N16,2)</f>
        <v>844.12</v>
      </c>
    </row>
    <row r="17" spans="2:15" s="84" customFormat="1" ht="15" customHeight="1" x14ac:dyDescent="0.25">
      <c r="B17" s="126"/>
      <c r="C17" s="125"/>
      <c r="D17" s="125"/>
      <c r="E17" s="125"/>
      <c r="F17" s="125"/>
      <c r="G17" s="125"/>
      <c r="H17" s="125"/>
      <c r="I17" s="125"/>
      <c r="J17" s="125"/>
      <c r="K17" s="125"/>
      <c r="L17" s="125"/>
      <c r="M17" s="125"/>
      <c r="N17" s="136" t="s">
        <v>695</v>
      </c>
      <c r="O17" s="77">
        <f>O16</f>
        <v>844.12</v>
      </c>
    </row>
    <row r="18" spans="2:15" ht="15" customHeight="1" x14ac:dyDescent="0.25">
      <c r="B18" s="68" t="s">
        <v>587</v>
      </c>
      <c r="C18" s="3"/>
      <c r="D18" s="3"/>
      <c r="E18" s="3"/>
      <c r="F18" s="3"/>
      <c r="G18" s="3"/>
      <c r="H18" s="3"/>
      <c r="I18" s="3"/>
      <c r="J18" s="3"/>
      <c r="K18" s="3"/>
      <c r="L18" s="3"/>
    </row>
    <row r="19" spans="2:15" ht="15" customHeight="1" x14ac:dyDescent="0.25">
      <c r="B19" s="87" t="s">
        <v>694</v>
      </c>
      <c r="C19" s="87"/>
      <c r="D19" s="87"/>
      <c r="E19" s="87"/>
      <c r="F19" s="87"/>
      <c r="G19" s="87"/>
      <c r="H19" s="87"/>
      <c r="K19" s="87"/>
    </row>
    <row r="20" spans="2:15" ht="15" customHeight="1" x14ac:dyDescent="0.25">
      <c r="B20" s="87" t="str">
        <f>"Passagem de ônibus de Campo Grande para "&amp;Listas!$D$17&amp;", em 04/25: R$ 86,03"</f>
        <v>Passagem de ônibus de Campo Grande para Nova Andradina, em 04/25: R$ 86,03</v>
      </c>
      <c r="C20" s="87"/>
      <c r="D20" s="87"/>
      <c r="E20" s="87"/>
      <c r="F20" s="87"/>
      <c r="G20" s="87"/>
      <c r="H20" s="87"/>
      <c r="K20" s="89"/>
    </row>
    <row r="21" spans="2:15" ht="15" customHeight="1" x14ac:dyDescent="0.25">
      <c r="B21" s="87"/>
      <c r="C21" s="87"/>
      <c r="D21" s="87"/>
      <c r="E21" s="87"/>
      <c r="F21" s="87"/>
      <c r="G21" s="87"/>
      <c r="H21" s="87"/>
      <c r="K21" s="89"/>
    </row>
    <row r="22" spans="2:15" ht="15" customHeight="1" x14ac:dyDescent="0.25">
      <c r="B22" s="241" t="str">
        <f>"Segundo Decreto nº 16.536, de 26 de dezembro de 2024, os valores de diárias para "&amp;Listas!$D$17&amp;" são:"</f>
        <v>Segundo Decreto nº 16.536, de 26 de dezembro de 2024, os valores de diárias para Nova Andradina são:</v>
      </c>
      <c r="C22" s="87"/>
      <c r="D22" s="87"/>
      <c r="E22" s="87"/>
      <c r="F22" s="87"/>
      <c r="G22" s="87"/>
      <c r="H22" s="87"/>
      <c r="K22" s="89"/>
    </row>
    <row r="23" spans="2:15" ht="15" customHeight="1" x14ac:dyDescent="0.25">
      <c r="B23" s="242" t="str">
        <f>"Diária completa: R$ "&amp;Listas!$D$19&amp;",00"</f>
        <v>Diária completa: R$ 250,00</v>
      </c>
      <c r="C23" s="87"/>
      <c r="D23" s="87"/>
      <c r="E23" s="87"/>
      <c r="F23" s="87"/>
      <c r="G23" s="87"/>
      <c r="H23" s="87"/>
      <c r="I23" s="87"/>
      <c r="J23" s="87"/>
      <c r="K23" s="87"/>
      <c r="L23" s="87"/>
    </row>
    <row r="24" spans="2:15" ht="15" customHeight="1" x14ac:dyDescent="0.25">
      <c r="B24" s="242" t="str">
        <f>"Diária de alimentação: R$ "&amp;Listas!$D$19/2&amp;",00"</f>
        <v>Diária de alimentação: R$ 125,00</v>
      </c>
      <c r="C24" s="87"/>
      <c r="D24" s="87"/>
      <c r="E24" s="87"/>
      <c r="F24" s="87"/>
      <c r="G24" s="87"/>
      <c r="H24" s="87"/>
      <c r="I24" s="87"/>
      <c r="J24" s="87"/>
      <c r="K24" s="87"/>
      <c r="L24" s="87"/>
    </row>
    <row r="25" spans="2:15" ht="15" customHeight="1" x14ac:dyDescent="0.25">
      <c r="B25" s="242" t="str">
        <f>"Diária de hospedagem: R$ "&amp;Listas!$D$19/2&amp;",00"</f>
        <v>Diária de hospedagem: R$ 125,00</v>
      </c>
      <c r="C25" s="87"/>
      <c r="D25" s="87"/>
      <c r="E25" s="87"/>
      <c r="F25" s="87"/>
      <c r="G25" s="87"/>
      <c r="H25" s="87"/>
      <c r="I25" s="87"/>
      <c r="J25" s="87"/>
      <c r="K25" s="87"/>
      <c r="L25" s="87"/>
    </row>
    <row r="26" spans="2:15" ht="9" customHeight="1" x14ac:dyDescent="0.25"/>
    <row r="27" spans="2:15" ht="15" hidden="1" customHeight="1" x14ac:dyDescent="0.25"/>
    <row r="28" spans="2:15" ht="15" hidden="1" customHeight="1" x14ac:dyDescent="0.25"/>
    <row r="29" spans="2:15" ht="15" hidden="1" customHeight="1" x14ac:dyDescent="0.25"/>
    <row r="30" spans="2:15" ht="15" hidden="1" customHeight="1" x14ac:dyDescent="0.25"/>
    <row r="31" spans="2:15" ht="15" hidden="1" customHeight="1" x14ac:dyDescent="0.25"/>
    <row r="32" spans="2: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sheetData>
  <mergeCells count="6">
    <mergeCell ref="C16:D16"/>
    <mergeCell ref="C5:O5"/>
    <mergeCell ref="B13:B14"/>
    <mergeCell ref="C13:D14"/>
    <mergeCell ref="E13:E14"/>
    <mergeCell ref="B11:O11"/>
  </mergeCells>
  <printOptions horizontalCentered="1"/>
  <pageMargins left="0.78740157480314965" right="0.78740157480314965" top="0.39370078740157483" bottom="0.78740157480314965" header="0.19685039370078741" footer="0.19685039370078741"/>
  <pageSetup paperSize="9" scale="76" fitToHeight="0" orientation="landscape"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2">
    <pageSetUpPr fitToPage="1"/>
  </sheetPr>
  <dimension ref="A1:R71"/>
  <sheetViews>
    <sheetView showGridLines="0" view="pageBreakPreview" zoomScale="85" zoomScaleNormal="100" zoomScaleSheetLayoutView="85" workbookViewId="0">
      <selection activeCell="M34" sqref="M34"/>
    </sheetView>
  </sheetViews>
  <sheetFormatPr defaultColWidth="0" defaultRowHeight="15" customHeight="1" zeroHeight="1" x14ac:dyDescent="0.25"/>
  <cols>
    <col min="1" max="1" width="1.7109375" style="2" customWidth="1"/>
    <col min="2" max="2" width="9.85546875" style="2" bestFit="1" customWidth="1"/>
    <col min="3" max="3" width="7.28515625" style="2" customWidth="1"/>
    <col min="4" max="4" width="42.7109375" style="2" customWidth="1"/>
    <col min="5" max="5" width="8" style="2" bestFit="1" customWidth="1"/>
    <col min="6" max="6" width="10.5703125" style="2" customWidth="1"/>
    <col min="7" max="7" width="13.5703125" style="2" bestFit="1" customWidth="1"/>
    <col min="8" max="8" width="11.140625" style="2" bestFit="1" customWidth="1"/>
    <col min="9" max="10" width="5.7109375" style="2" customWidth="1"/>
    <col min="11" max="11" width="7.7109375" style="2" customWidth="1"/>
    <col min="12" max="12" width="12.28515625" style="2" bestFit="1" customWidth="1"/>
    <col min="13" max="13" width="11.7109375" style="2" customWidth="1"/>
    <col min="14" max="14" width="9.5703125" style="2" bestFit="1" customWidth="1"/>
    <col min="15" max="15" width="8.140625" style="2" bestFit="1" customWidth="1"/>
    <col min="16" max="16" width="10.7109375" style="2" bestFit="1" customWidth="1"/>
    <col min="17" max="17" width="16.28515625" style="2" bestFit="1" customWidth="1"/>
    <col min="18" max="18" width="1.7109375" style="2" customWidth="1"/>
    <col min="19" max="16384" width="9.140625" style="2" hidden="1"/>
  </cols>
  <sheetData>
    <row r="1" spans="2:17" ht="9" customHeight="1" x14ac:dyDescent="0.25"/>
    <row r="2" spans="2:17" ht="34.5" customHeight="1" x14ac:dyDescent="0.25"/>
    <row r="3" spans="2:17" ht="15" customHeight="1" x14ac:dyDescent="0.25"/>
    <row r="4" spans="2:17" ht="15" customHeight="1" x14ac:dyDescent="0.25"/>
    <row r="5" spans="2:17" x14ac:dyDescent="0.25">
      <c r="B5" s="23" t="s">
        <v>0</v>
      </c>
      <c r="C5" s="548" t="str">
        <f>'Qd abrang'!C4</f>
        <v>Contratação de Projeto Executivo de Engenharia para Implantação do Aeródromo no município de Nova Andradina</v>
      </c>
      <c r="D5" s="548"/>
      <c r="E5" s="548"/>
      <c r="F5" s="548"/>
      <c r="G5" s="548"/>
      <c r="H5" s="548"/>
      <c r="I5" s="548"/>
      <c r="J5" s="548"/>
      <c r="K5" s="548"/>
      <c r="L5" s="548"/>
      <c r="M5" s="548"/>
      <c r="N5" s="548"/>
      <c r="O5" s="548"/>
      <c r="P5" s="548"/>
      <c r="Q5" s="548"/>
    </row>
    <row r="6" spans="2:17" x14ac:dyDescent="0.25">
      <c r="B6" s="5" t="s">
        <v>862</v>
      </c>
      <c r="C6" s="1" t="str">
        <f>'Qd abrang'!C5</f>
        <v>Nova Andradina/MS</v>
      </c>
    </row>
    <row r="7" spans="2:17" x14ac:dyDescent="0.25">
      <c r="B7" s="5" t="s">
        <v>863</v>
      </c>
      <c r="C7" s="1" t="str">
        <f>'Qd abrang'!C6</f>
        <v>Nova Andradina/MS</v>
      </c>
    </row>
    <row r="8" spans="2:17" x14ac:dyDescent="0.25">
      <c r="B8" s="5" t="s">
        <v>1</v>
      </c>
      <c r="C8" s="239">
        <f>'Qd abrang'!C7</f>
        <v>1.7</v>
      </c>
      <c r="D8" s="2" t="s">
        <v>3</v>
      </c>
      <c r="E8" s="332" t="s">
        <v>959</v>
      </c>
      <c r="F8" s="2" t="s">
        <v>1136</v>
      </c>
      <c r="P8" s="5" t="s">
        <v>16</v>
      </c>
      <c r="Q8" s="6" t="str">
        <f>'Qd abrang'!N7</f>
        <v>79.010.182-2025</v>
      </c>
    </row>
    <row r="9" spans="2:17" x14ac:dyDescent="0.25">
      <c r="B9" s="5" t="s">
        <v>2</v>
      </c>
      <c r="C9" s="264">
        <f>'Qd abrang'!C8</f>
        <v>365</v>
      </c>
      <c r="D9" s="2" t="s">
        <v>4</v>
      </c>
      <c r="P9" s="5" t="s">
        <v>17</v>
      </c>
      <c r="Q9" s="265">
        <f>'Qd abrang'!N8</f>
        <v>45748</v>
      </c>
    </row>
    <row r="10" spans="2:17" ht="15" customHeight="1" x14ac:dyDescent="0.25"/>
    <row r="11" spans="2:17" s="11" customFormat="1" ht="21" x14ac:dyDescent="0.25">
      <c r="B11" s="547" t="s">
        <v>26</v>
      </c>
      <c r="C11" s="547"/>
      <c r="D11" s="547"/>
      <c r="E11" s="547"/>
      <c r="F11" s="547"/>
      <c r="G11" s="547"/>
      <c r="H11" s="547"/>
      <c r="I11" s="547"/>
      <c r="J11" s="547"/>
      <c r="K11" s="547"/>
      <c r="L11" s="547"/>
      <c r="M11" s="547"/>
      <c r="N11" s="547"/>
      <c r="O11" s="547"/>
      <c r="P11" s="547"/>
      <c r="Q11" s="547"/>
    </row>
    <row r="12" spans="2:17" ht="15" customHeight="1" x14ac:dyDescent="0.25"/>
    <row r="13" spans="2:17" ht="30" customHeight="1" x14ac:dyDescent="0.25">
      <c r="B13" s="562" t="s">
        <v>29</v>
      </c>
      <c r="C13" s="564" t="s">
        <v>15</v>
      </c>
      <c r="D13" s="565"/>
      <c r="E13" s="562" t="s">
        <v>202</v>
      </c>
      <c r="F13" s="562" t="s">
        <v>401</v>
      </c>
      <c r="G13" s="562" t="s">
        <v>402</v>
      </c>
      <c r="H13" s="562" t="s">
        <v>371</v>
      </c>
      <c r="I13" s="562" t="s">
        <v>372</v>
      </c>
      <c r="J13" s="562" t="s">
        <v>373</v>
      </c>
      <c r="K13" s="579" t="s">
        <v>404</v>
      </c>
      <c r="L13" s="580"/>
      <c r="M13" s="562" t="s">
        <v>375</v>
      </c>
      <c r="N13" s="562" t="s">
        <v>376</v>
      </c>
      <c r="O13" s="562" t="s">
        <v>408</v>
      </c>
      <c r="P13" s="562" t="s">
        <v>409</v>
      </c>
      <c r="Q13" s="562" t="s">
        <v>396</v>
      </c>
    </row>
    <row r="14" spans="2:17" x14ac:dyDescent="0.25">
      <c r="B14" s="562"/>
      <c r="C14" s="564"/>
      <c r="D14" s="565"/>
      <c r="E14" s="562"/>
      <c r="F14" s="562"/>
      <c r="G14" s="562"/>
      <c r="H14" s="562"/>
      <c r="I14" s="562"/>
      <c r="J14" s="562"/>
      <c r="K14" s="120" t="s">
        <v>405</v>
      </c>
      <c r="L14" s="120" t="s">
        <v>406</v>
      </c>
      <c r="M14" s="562"/>
      <c r="N14" s="562"/>
      <c r="O14" s="562"/>
      <c r="P14" s="562"/>
      <c r="Q14" s="562"/>
    </row>
    <row r="15" spans="2:17" ht="15" customHeight="1" x14ac:dyDescent="0.25">
      <c r="B15" s="562"/>
      <c r="C15" s="564"/>
      <c r="D15" s="565"/>
      <c r="E15" s="120" t="s">
        <v>363</v>
      </c>
      <c r="F15" s="120" t="s">
        <v>330</v>
      </c>
      <c r="G15" s="120" t="s">
        <v>331</v>
      </c>
      <c r="H15" s="120" t="s">
        <v>403</v>
      </c>
      <c r="I15" s="562"/>
      <c r="J15" s="120" t="s">
        <v>333</v>
      </c>
      <c r="K15" s="120" t="s">
        <v>378</v>
      </c>
      <c r="L15" s="120" t="s">
        <v>407</v>
      </c>
      <c r="M15" s="120" t="s">
        <v>389</v>
      </c>
      <c r="N15" s="120" t="s">
        <v>413</v>
      </c>
      <c r="O15" s="120" t="s">
        <v>410</v>
      </c>
      <c r="P15" s="120" t="s">
        <v>411</v>
      </c>
      <c r="Q15" s="120" t="s">
        <v>412</v>
      </c>
    </row>
    <row r="16" spans="2:17" ht="15" customHeight="1" x14ac:dyDescent="0.25">
      <c r="B16" s="232" t="s">
        <v>398</v>
      </c>
      <c r="C16" s="25"/>
      <c r="D16" s="25"/>
      <c r="E16" s="25"/>
      <c r="F16" s="25"/>
      <c r="G16" s="25"/>
      <c r="H16" s="25"/>
      <c r="I16" s="25"/>
      <c r="J16" s="25"/>
      <c r="K16" s="25"/>
      <c r="L16" s="25"/>
      <c r="M16" s="25"/>
      <c r="N16" s="25"/>
      <c r="O16" s="25"/>
      <c r="P16" s="25"/>
      <c r="Q16" s="78">
        <f ca="1">Q17</f>
        <v>2684.9</v>
      </c>
    </row>
    <row r="17" spans="2:17" x14ac:dyDescent="0.25">
      <c r="B17" s="110" t="str">
        <f>'Memo calc'!B1146</f>
        <v>E8889</v>
      </c>
      <c r="C17" s="550" t="str">
        <f ca="1">IFERROR(VLOOKUP(B17,Veiculo_Equip_Matriz,2,0),"")</f>
        <v>Veículo leve - 53 kW (sem motorista)</v>
      </c>
      <c r="D17" s="550" t="str">
        <f ca="1">IFERROR(VLOOKUP(C17,MO_Matriz,2,0),"")</f>
        <v/>
      </c>
      <c r="E17" s="224">
        <f>'Memo calc'!G1146</f>
        <v>7</v>
      </c>
      <c r="F17" s="31">
        <f>'Memo calc'!I1146</f>
        <v>305</v>
      </c>
      <c r="G17" s="44">
        <f>'Memo calc'!K1146</f>
        <v>60</v>
      </c>
      <c r="H17" s="44">
        <f>F17/G17</f>
        <v>5.083333333333333</v>
      </c>
      <c r="I17" s="48">
        <f>'Memo calc'!O1146</f>
        <v>2</v>
      </c>
      <c r="J17" s="48">
        <f>'Memo calc'!P1146</f>
        <v>1</v>
      </c>
      <c r="K17" s="31">
        <f ca="1">'Memo calc'!S1146</f>
        <v>36.69</v>
      </c>
      <c r="L17" s="46">
        <f ca="1">E17*H17*I17*J17*K17</f>
        <v>2611.1049999999996</v>
      </c>
      <c r="M17" s="44">
        <f>((INT(H17/4))*30)/60</f>
        <v>0.5</v>
      </c>
      <c r="N17" s="44">
        <f>H17+M17</f>
        <v>5.583333333333333</v>
      </c>
      <c r="O17" s="46">
        <f>'Memo calc'!AA1146</f>
        <v>0</v>
      </c>
      <c r="P17" s="46">
        <f>'Memo calc'!AB1146</f>
        <v>73.8</v>
      </c>
      <c r="Q17" s="46">
        <f ca="1">TRUNC(L17+O17+P17,2)</f>
        <v>2684.9</v>
      </c>
    </row>
    <row r="18" spans="2:17" ht="15" customHeight="1" x14ac:dyDescent="0.25">
      <c r="B18" s="24" t="s">
        <v>732</v>
      </c>
      <c r="C18" s="25"/>
      <c r="D18" s="25"/>
      <c r="E18" s="25"/>
      <c r="F18" s="25"/>
      <c r="G18" s="25"/>
      <c r="H18" s="25"/>
      <c r="I18" s="25"/>
      <c r="J18" s="25"/>
      <c r="K18" s="25"/>
      <c r="L18" s="25"/>
      <c r="M18" s="25"/>
      <c r="N18" s="25"/>
      <c r="O18" s="25"/>
      <c r="P18" s="25"/>
      <c r="Q18" s="78">
        <f ca="1">Q19</f>
        <v>446.81</v>
      </c>
    </row>
    <row r="19" spans="2:17" ht="15" customHeight="1" x14ac:dyDescent="0.25">
      <c r="B19" s="110" t="str">
        <f>'Memo calc'!B135</f>
        <v>E8889</v>
      </c>
      <c r="C19" s="589" t="str">
        <f ca="1">IFERROR(VLOOKUP(B19,Veiculo_Equip_Matriz,2,0),"")</f>
        <v>Veículo leve - 53 kW (sem motorista)</v>
      </c>
      <c r="D19" s="590" t="str">
        <f ca="1">IFERROR(VLOOKUP(C19,MO_Matriz,2,0),"")</f>
        <v/>
      </c>
      <c r="E19" s="296">
        <f>'Memo calc'!F135</f>
        <v>1</v>
      </c>
      <c r="F19" s="31">
        <f>'Memo calc'!H135</f>
        <v>305</v>
      </c>
      <c r="G19" s="44">
        <f>'Memo calc'!J135</f>
        <v>60</v>
      </c>
      <c r="H19" s="44">
        <f>F19/G19</f>
        <v>5.083333333333333</v>
      </c>
      <c r="I19" s="48">
        <f>'Memo calc'!N135</f>
        <v>2</v>
      </c>
      <c r="J19" s="48">
        <f>'Memo calc'!O135</f>
        <v>1</v>
      </c>
      <c r="K19" s="31">
        <f ca="1">'Memo calc'!R135</f>
        <v>36.69</v>
      </c>
      <c r="L19" s="46">
        <f ca="1">E19*H19*I19*J19*K19</f>
        <v>373.01499999999993</v>
      </c>
      <c r="M19" s="44">
        <f>((INT(H19/4))*30)/60</f>
        <v>0.5</v>
      </c>
      <c r="N19" s="135">
        <f>H19+M19</f>
        <v>5.583333333333333</v>
      </c>
      <c r="O19" s="46">
        <v>0</v>
      </c>
      <c r="P19" s="46">
        <f>'Memo calc'!AA135</f>
        <v>73.8</v>
      </c>
      <c r="Q19" s="46">
        <f ca="1">TRUNC(L19+O19+P19,2)</f>
        <v>446.81</v>
      </c>
    </row>
    <row r="20" spans="2:17" ht="15" customHeight="1" x14ac:dyDescent="0.25">
      <c r="B20" s="24" t="s">
        <v>735</v>
      </c>
      <c r="C20" s="12"/>
      <c r="D20" s="12"/>
      <c r="E20" s="12"/>
      <c r="F20" s="12"/>
      <c r="G20" s="12"/>
      <c r="H20" s="12"/>
      <c r="I20" s="12"/>
      <c r="J20" s="12"/>
      <c r="K20" s="12"/>
      <c r="L20" s="12"/>
      <c r="M20" s="12"/>
      <c r="N20" s="12"/>
      <c r="O20" s="12"/>
      <c r="P20" s="12"/>
      <c r="Q20" s="47">
        <f ca="1">Q21</f>
        <v>883.06</v>
      </c>
    </row>
    <row r="21" spans="2:17" ht="15" customHeight="1" x14ac:dyDescent="0.25">
      <c r="B21" s="122" t="str">
        <f>'Memo calc'!B389</f>
        <v>E8891</v>
      </c>
      <c r="C21" s="592" t="str">
        <f ca="1">IFERROR(VLOOKUP(B21,Veiculo_Equip_Matriz,2,0),"")</f>
        <v>Veículo leve picape 4 x 4 com capacidade de 1,10 t - 147 kW (sem motorista)</v>
      </c>
      <c r="D21" s="593" t="str">
        <f ca="1">IFERROR(VLOOKUP(C21,MO_Matriz,2,0),"")</f>
        <v/>
      </c>
      <c r="E21" s="122">
        <f>'Memo calc'!G389</f>
        <v>1</v>
      </c>
      <c r="F21" s="137">
        <f>'Memo calc'!I389</f>
        <v>305</v>
      </c>
      <c r="G21" s="135">
        <f>'Memo calc'!K389</f>
        <v>60</v>
      </c>
      <c r="H21" s="135">
        <f>F21/G21</f>
        <v>5.083333333333333</v>
      </c>
      <c r="I21" s="138">
        <f>'Memo calc'!O389</f>
        <v>2</v>
      </c>
      <c r="J21" s="138">
        <f>'Memo calc'!P389</f>
        <v>1</v>
      </c>
      <c r="K21" s="137">
        <f ca="1">'Memo calc'!S389</f>
        <v>79.599999999999994</v>
      </c>
      <c r="L21" s="80">
        <f ca="1">E21*H21*I21*J21*K21</f>
        <v>809.26666666666654</v>
      </c>
      <c r="M21" s="44">
        <f>((INT(H21/4))*30)/60</f>
        <v>0.5</v>
      </c>
      <c r="N21" s="135">
        <f>H21+M21</f>
        <v>5.583333333333333</v>
      </c>
      <c r="O21" s="80">
        <v>0</v>
      </c>
      <c r="P21" s="80">
        <f>'Memo calc'!AB389</f>
        <v>73.8</v>
      </c>
      <c r="Q21" s="80">
        <f ca="1">TRUNC(L21+O21+P21,2)</f>
        <v>883.06</v>
      </c>
    </row>
    <row r="22" spans="2:17" ht="15" customHeight="1" x14ac:dyDescent="0.25">
      <c r="B22" s="232" t="s">
        <v>509</v>
      </c>
      <c r="C22" s="12"/>
      <c r="D22" s="12"/>
      <c r="E22" s="12"/>
      <c r="F22" s="12"/>
      <c r="G22" s="12"/>
      <c r="H22" s="12"/>
      <c r="I22" s="12"/>
      <c r="J22" s="12"/>
      <c r="K22" s="12"/>
      <c r="L22" s="12"/>
      <c r="M22" s="12"/>
      <c r="N22" s="12"/>
      <c r="O22" s="12"/>
      <c r="P22" s="12"/>
      <c r="Q22" s="47">
        <f ca="1">Q23</f>
        <v>883.06</v>
      </c>
    </row>
    <row r="23" spans="2:17" ht="15" customHeight="1" x14ac:dyDescent="0.25">
      <c r="B23" s="122" t="str">
        <f>'Memo calc'!B949</f>
        <v>E8891</v>
      </c>
      <c r="C23" s="592" t="str">
        <f ca="1">IFERROR(VLOOKUP(B23,Veiculo_Equip_Matriz,2,0),"")</f>
        <v>Veículo leve picape 4 x 4 com capacidade de 1,10 t - 147 kW (sem motorista)</v>
      </c>
      <c r="D23" s="593" t="str">
        <f ca="1">IFERROR(VLOOKUP(C23,MO_Matriz,2,0),"")</f>
        <v/>
      </c>
      <c r="E23" s="122">
        <f>'Memo calc'!G949</f>
        <v>1</v>
      </c>
      <c r="F23" s="137">
        <f>'Memo calc'!I949</f>
        <v>305</v>
      </c>
      <c r="G23" s="135">
        <f>'Memo calc'!K949</f>
        <v>60</v>
      </c>
      <c r="H23" s="135">
        <f>F23/G23</f>
        <v>5.083333333333333</v>
      </c>
      <c r="I23" s="138">
        <f>'Memo calc'!O949</f>
        <v>2</v>
      </c>
      <c r="J23" s="138">
        <f>'Memo calc'!P949</f>
        <v>1</v>
      </c>
      <c r="K23" s="137">
        <f ca="1">'Memo calc'!S949</f>
        <v>79.599999999999994</v>
      </c>
      <c r="L23" s="80">
        <f ca="1">E23*H23*I23*J23*K23</f>
        <v>809.26666666666654</v>
      </c>
      <c r="M23" s="44">
        <f>((INT(H23/4))*30)/60</f>
        <v>0.5</v>
      </c>
      <c r="N23" s="135">
        <f>H23+M23</f>
        <v>5.583333333333333</v>
      </c>
      <c r="O23" s="80">
        <v>0</v>
      </c>
      <c r="P23" s="80">
        <f>'Memo calc'!AB949</f>
        <v>73.8</v>
      </c>
      <c r="Q23" s="80">
        <f ca="1">TRUNC(L23+O23+P23,2)</f>
        <v>883.06</v>
      </c>
    </row>
    <row r="24" spans="2:17" ht="15" customHeight="1" x14ac:dyDescent="0.25">
      <c r="B24" s="441" t="s">
        <v>1227</v>
      </c>
      <c r="C24" s="527"/>
      <c r="D24" s="527"/>
      <c r="E24" s="528"/>
      <c r="F24" s="532"/>
      <c r="G24" s="533"/>
      <c r="H24" s="533"/>
      <c r="I24" s="534"/>
      <c r="J24" s="534"/>
      <c r="K24" s="532"/>
      <c r="L24" s="530"/>
      <c r="M24" s="470"/>
      <c r="N24" s="533"/>
      <c r="O24" s="530"/>
      <c r="P24" s="530"/>
      <c r="Q24" s="531">
        <f ca="1">Q25</f>
        <v>529.63</v>
      </c>
    </row>
    <row r="25" spans="2:17" ht="15" customHeight="1" x14ac:dyDescent="0.25">
      <c r="B25" s="122" t="str">
        <f>'Memo calc'!B525</f>
        <v>E8891</v>
      </c>
      <c r="C25" s="592" t="str">
        <f ca="1">IFERROR(VLOOKUP(B25,Veiculo_Equip_Matriz,2,0),"")</f>
        <v>Veículo leve picape 4 x 4 com capacidade de 1,10 t - 147 kW (sem motorista)</v>
      </c>
      <c r="D25" s="593" t="str">
        <f ca="1">IFERROR(VLOOKUP(C25,MO_Matriz,2,0),"")</f>
        <v/>
      </c>
      <c r="E25" s="122">
        <f>'Memo calc'!G525</f>
        <v>1</v>
      </c>
      <c r="F25" s="137">
        <f>'Memo calc'!I525</f>
        <v>305</v>
      </c>
      <c r="G25" s="135">
        <f>'Memo calc'!K525</f>
        <v>60</v>
      </c>
      <c r="H25" s="135">
        <f>F25/G25</f>
        <v>5.083333333333333</v>
      </c>
      <c r="I25" s="138">
        <f>'Memo calc'!P525</f>
        <v>1</v>
      </c>
      <c r="J25" s="138">
        <f>'Memo calc'!Q525</f>
        <v>1</v>
      </c>
      <c r="K25" s="137">
        <f ca="1">'Memo calc'!T525</f>
        <v>79.599999999999994</v>
      </c>
      <c r="L25" s="80">
        <f ca="1">E25*H25*I25*J25*K25</f>
        <v>404.63333333333327</v>
      </c>
      <c r="M25" s="44">
        <f>((INT(H25/4))*30)/60</f>
        <v>0.5</v>
      </c>
      <c r="N25" s="135">
        <f>H25+M25</f>
        <v>5.583333333333333</v>
      </c>
      <c r="O25" s="80">
        <f>'Memo calc'!AB525</f>
        <v>125</v>
      </c>
      <c r="P25" s="80">
        <f>'Memo calc'!AC525</f>
        <v>0</v>
      </c>
      <c r="Q25" s="80">
        <f ca="1">TRUNC(L25+O25+P25,2)</f>
        <v>529.63</v>
      </c>
    </row>
    <row r="26" spans="2:17" ht="15" customHeight="1" x14ac:dyDescent="0.25">
      <c r="B26" s="441" t="s">
        <v>1239</v>
      </c>
      <c r="C26" s="527"/>
      <c r="D26" s="527"/>
      <c r="E26" s="528"/>
      <c r="F26" s="532"/>
      <c r="G26" s="533"/>
      <c r="H26" s="533"/>
      <c r="I26" s="534"/>
      <c r="J26" s="534"/>
      <c r="K26" s="532"/>
      <c r="L26" s="530"/>
      <c r="M26" s="470"/>
      <c r="N26" s="533"/>
      <c r="O26" s="530"/>
      <c r="P26" s="530"/>
      <c r="Q26" s="531">
        <f ca="1">Q27</f>
        <v>551.79</v>
      </c>
    </row>
    <row r="27" spans="2:17" ht="15" customHeight="1" x14ac:dyDescent="0.25">
      <c r="B27" s="122" t="str">
        <f>'Memo calc'!B620</f>
        <v>E8887</v>
      </c>
      <c r="C27" s="592" t="str">
        <f ca="1">IFERROR(VLOOKUP(B27,Veiculo_Equip_Matriz,2,0),"")</f>
        <v>Veículo tipo van furgão com capacidade de 1,38 t - 100 kW (com motorista)</v>
      </c>
      <c r="D27" s="593" t="str">
        <f ca="1">IFERROR(VLOOKUP(C27,MO_Matriz,2,0),"")</f>
        <v/>
      </c>
      <c r="E27" s="122">
        <f>'Memo calc'!G620</f>
        <v>1</v>
      </c>
      <c r="F27" s="137">
        <f>'Memo calc'!I620</f>
        <v>305</v>
      </c>
      <c r="G27" s="135">
        <f>'Memo calc'!K620</f>
        <v>60</v>
      </c>
      <c r="H27" s="135">
        <f>F27/G27</f>
        <v>5.083333333333333</v>
      </c>
      <c r="I27" s="138">
        <f>'Memo calc'!P620</f>
        <v>1</v>
      </c>
      <c r="J27" s="138">
        <f>'Memo calc'!Q620</f>
        <v>1</v>
      </c>
      <c r="K27" s="137">
        <f ca="1">'Memo calc'!T620</f>
        <v>83.96</v>
      </c>
      <c r="L27" s="80">
        <f ca="1">E27*H27*I27*J27*K27</f>
        <v>426.79666666666662</v>
      </c>
      <c r="M27" s="44">
        <f>((INT(H27/4))*30)/60</f>
        <v>0.5</v>
      </c>
      <c r="N27" s="135">
        <f>H27+M27</f>
        <v>5.583333333333333</v>
      </c>
      <c r="O27" s="80">
        <f>'Memo calc'!AB620</f>
        <v>125</v>
      </c>
      <c r="P27" s="80">
        <f>'Memo calc'!AB953</f>
        <v>0</v>
      </c>
      <c r="Q27" s="80">
        <f ca="1">TRUNC(L27+O27+P27,2)</f>
        <v>551.79</v>
      </c>
    </row>
    <row r="28" spans="2:17" ht="15" customHeight="1" x14ac:dyDescent="0.25">
      <c r="B28" s="441" t="s">
        <v>1241</v>
      </c>
      <c r="C28" s="527"/>
      <c r="D28" s="527"/>
      <c r="E28" s="528"/>
      <c r="F28" s="532"/>
      <c r="G28" s="533"/>
      <c r="H28" s="533"/>
      <c r="I28" s="534"/>
      <c r="J28" s="534"/>
      <c r="K28" s="532"/>
      <c r="L28" s="530"/>
      <c r="M28" s="470"/>
      <c r="N28" s="533"/>
      <c r="O28" s="530"/>
      <c r="P28" s="530"/>
      <c r="Q28" s="531">
        <f ca="1">Q29</f>
        <v>551.79</v>
      </c>
    </row>
    <row r="29" spans="2:17" ht="15" customHeight="1" x14ac:dyDescent="0.25">
      <c r="B29" s="122" t="str">
        <f>'Memo calc'!B722</f>
        <v>E8887</v>
      </c>
      <c r="C29" s="592" t="str">
        <f ca="1">IFERROR(VLOOKUP(B29,Veiculo_Equip_Matriz,2,0),"")</f>
        <v>Veículo tipo van furgão com capacidade de 1,38 t - 100 kW (com motorista)</v>
      </c>
      <c r="D29" s="593" t="str">
        <f ca="1">IFERROR(VLOOKUP(C29,MO_Matriz,2,0),"")</f>
        <v/>
      </c>
      <c r="E29" s="122">
        <f>'Memo calc'!G722</f>
        <v>1</v>
      </c>
      <c r="F29" s="137">
        <f>'Memo calc'!I722</f>
        <v>305</v>
      </c>
      <c r="G29" s="135">
        <f>'Memo calc'!K722</f>
        <v>60</v>
      </c>
      <c r="H29" s="135">
        <f>F29/G29</f>
        <v>5.083333333333333</v>
      </c>
      <c r="I29" s="138">
        <f>'Memo calc'!P722</f>
        <v>1</v>
      </c>
      <c r="J29" s="138">
        <f>'Memo calc'!Q722</f>
        <v>1</v>
      </c>
      <c r="K29" s="137">
        <f ca="1">'Memo calc'!T722</f>
        <v>83.96</v>
      </c>
      <c r="L29" s="80">
        <f ca="1">E29*H29*I29*J29*K29</f>
        <v>426.79666666666662</v>
      </c>
      <c r="M29" s="44">
        <f>((INT(H29/4))*30)/60</f>
        <v>0.5</v>
      </c>
      <c r="N29" s="135">
        <f>H29+M29</f>
        <v>5.583333333333333</v>
      </c>
      <c r="O29" s="80">
        <f>'Memo calc'!AB722</f>
        <v>125</v>
      </c>
      <c r="P29" s="80">
        <f>'Memo calc'!AB955</f>
        <v>0</v>
      </c>
      <c r="Q29" s="80">
        <f ca="1">TRUNC(L29+O29+P29,2)</f>
        <v>551.79</v>
      </c>
    </row>
    <row r="30" spans="2:17" s="84" customFormat="1" ht="15" customHeight="1" x14ac:dyDescent="0.25">
      <c r="B30" s="126"/>
      <c r="C30" s="125"/>
      <c r="D30" s="125"/>
      <c r="E30" s="125"/>
      <c r="F30" s="125"/>
      <c r="G30" s="125"/>
      <c r="H30" s="125"/>
      <c r="I30" s="125"/>
      <c r="J30" s="125"/>
      <c r="K30" s="125"/>
      <c r="L30" s="125"/>
      <c r="M30" s="125"/>
      <c r="N30" s="125"/>
      <c r="O30" s="125"/>
      <c r="P30" s="136" t="s">
        <v>460</v>
      </c>
      <c r="Q30" s="77">
        <f ca="1">Q16+Q18+Q20+Q22+Q24+Q26+Q28</f>
        <v>6531.04</v>
      </c>
    </row>
    <row r="31" spans="2:17" ht="15" customHeight="1" x14ac:dyDescent="0.25">
      <c r="B31" s="126"/>
      <c r="C31" s="125"/>
      <c r="D31" s="125"/>
      <c r="E31" s="125"/>
      <c r="F31" s="125"/>
      <c r="G31" s="125"/>
      <c r="H31" s="125"/>
      <c r="I31" s="125"/>
      <c r="J31" s="125"/>
      <c r="K31" s="125"/>
      <c r="L31" s="125"/>
      <c r="M31" s="125"/>
      <c r="N31" s="125"/>
      <c r="O31" s="125"/>
      <c r="P31" s="136" t="s">
        <v>461</v>
      </c>
      <c r="Q31" s="77">
        <f ca="1">Q30</f>
        <v>6531.04</v>
      </c>
    </row>
    <row r="32" spans="2:17" ht="15" customHeight="1" x14ac:dyDescent="0.25">
      <c r="B32" s="68" t="s">
        <v>587</v>
      </c>
      <c r="C32" s="3"/>
      <c r="D32" s="3"/>
      <c r="E32" s="3"/>
      <c r="F32" s="3"/>
      <c r="G32" s="3"/>
      <c r="H32" s="3"/>
      <c r="I32" s="3"/>
      <c r="J32" s="3"/>
      <c r="K32" s="3"/>
      <c r="L32" s="3"/>
      <c r="P32" s="51"/>
    </row>
    <row r="33" spans="2:13" ht="15" customHeight="1" x14ac:dyDescent="0.25">
      <c r="B33" s="241" t="str">
        <f>"Segundo Decreto nº 16.536, de 26 de dezembro de 2024, os valores de diárias para "&amp;Listas!$D$17&amp;" são:"</f>
        <v>Segundo Decreto nº 16.536, de 26 de dezembro de 2024, os valores de diárias para Nova Andradina são:</v>
      </c>
      <c r="C33" s="87"/>
      <c r="D33" s="87"/>
      <c r="E33" s="87"/>
      <c r="F33" s="87"/>
      <c r="G33" s="87"/>
      <c r="H33" s="87"/>
      <c r="M33" s="87"/>
    </row>
    <row r="34" spans="2:13" ht="15" customHeight="1" x14ac:dyDescent="0.25">
      <c r="B34" s="89" t="str">
        <f>"Diária completa: R$ "&amp;Listas!$D$19&amp;",00"</f>
        <v>Diária completa: R$ 250,00</v>
      </c>
      <c r="C34" s="87"/>
      <c r="D34" s="87"/>
      <c r="E34" s="87"/>
      <c r="F34" s="87"/>
      <c r="G34" s="87"/>
      <c r="H34" s="87"/>
      <c r="M34" s="89"/>
    </row>
    <row r="35" spans="2:13" ht="15" customHeight="1" x14ac:dyDescent="0.25">
      <c r="B35" s="89" t="str">
        <f>"Diária de alimentação: R$ "&amp;Listas!$D$19/2&amp;",00"</f>
        <v>Diária de alimentação: R$ 125,00</v>
      </c>
      <c r="C35" s="87"/>
      <c r="D35" s="87"/>
      <c r="E35" s="87"/>
      <c r="F35" s="87"/>
      <c r="G35" s="87"/>
      <c r="H35" s="87"/>
      <c r="M35" s="89"/>
    </row>
    <row r="36" spans="2:13" ht="15" customHeight="1" x14ac:dyDescent="0.25">
      <c r="B36" s="89" t="str">
        <f>"Diária de hospedagem: R$ "&amp;Listas!$D$19/2&amp;",00"</f>
        <v>Diária de hospedagem: R$ 125,00</v>
      </c>
      <c r="C36" s="87"/>
      <c r="D36" s="87"/>
      <c r="E36" s="87"/>
      <c r="F36" s="87"/>
      <c r="G36" s="87"/>
      <c r="H36" s="87"/>
      <c r="M36" s="89"/>
    </row>
    <row r="37" spans="2:13" ht="9" customHeight="1" x14ac:dyDescent="0.25">
      <c r="C37" s="87"/>
      <c r="D37" s="87"/>
      <c r="E37" s="87"/>
      <c r="F37" s="87"/>
      <c r="G37" s="87"/>
      <c r="H37" s="87"/>
      <c r="I37" s="87"/>
      <c r="J37" s="87"/>
      <c r="K37" s="87"/>
      <c r="L37" s="87"/>
    </row>
    <row r="38" spans="2:13" ht="15" hidden="1" customHeight="1" x14ac:dyDescent="0.25"/>
    <row r="39" spans="2:13" ht="15" hidden="1" customHeight="1" x14ac:dyDescent="0.25"/>
    <row r="40" spans="2:13" ht="15" hidden="1" customHeight="1" x14ac:dyDescent="0.25"/>
    <row r="41" spans="2:13" ht="15" hidden="1" customHeight="1" x14ac:dyDescent="0.25"/>
    <row r="42" spans="2:13" ht="15" hidden="1" customHeight="1" x14ac:dyDescent="0.25"/>
    <row r="43" spans="2:13" ht="15" hidden="1" customHeight="1" x14ac:dyDescent="0.25"/>
    <row r="44" spans="2:13" ht="15" hidden="1" customHeight="1" x14ac:dyDescent="0.25"/>
    <row r="45" spans="2:13" ht="15" hidden="1" customHeight="1" x14ac:dyDescent="0.25"/>
    <row r="46" spans="2:13" ht="15" hidden="1" customHeight="1" x14ac:dyDescent="0.25"/>
    <row r="47" spans="2:13" ht="15" hidden="1" customHeight="1" x14ac:dyDescent="0.25"/>
    <row r="48" spans="2:13"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sheetData>
  <mergeCells count="23">
    <mergeCell ref="B11:Q11"/>
    <mergeCell ref="C5:Q5"/>
    <mergeCell ref="B13:B15"/>
    <mergeCell ref="C13:D15"/>
    <mergeCell ref="P13:P14"/>
    <mergeCell ref="Q13:Q14"/>
    <mergeCell ref="M13:M14"/>
    <mergeCell ref="N13:N14"/>
    <mergeCell ref="O13:O14"/>
    <mergeCell ref="K13:L13"/>
    <mergeCell ref="E13:E14"/>
    <mergeCell ref="F13:F14"/>
    <mergeCell ref="J13:J14"/>
    <mergeCell ref="G13:G14"/>
    <mergeCell ref="H13:H14"/>
    <mergeCell ref="I13:I15"/>
    <mergeCell ref="C25:D25"/>
    <mergeCell ref="C27:D27"/>
    <mergeCell ref="C29:D29"/>
    <mergeCell ref="C23:D23"/>
    <mergeCell ref="C17:D17"/>
    <mergeCell ref="C21:D21"/>
    <mergeCell ref="C19:D19"/>
  </mergeCells>
  <printOptions horizontalCentered="1"/>
  <pageMargins left="0.78740157480314965" right="0.98425196850393704" top="0.39370078740157483" bottom="0.78740157480314965" header="0.19685039370078741" footer="0.19685039370078741"/>
  <pageSetup paperSize="9" scale="65" fitToHeight="0" orientation="landscape"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3">
    <pageSetUpPr fitToPage="1"/>
  </sheetPr>
  <dimension ref="A1:N44"/>
  <sheetViews>
    <sheetView showGridLines="0" view="pageBreakPreview" zoomScaleNormal="100" zoomScaleSheetLayoutView="100" workbookViewId="0">
      <selection activeCell="K22" sqref="K22"/>
    </sheetView>
  </sheetViews>
  <sheetFormatPr defaultColWidth="0" defaultRowHeight="15" customHeight="1" zeroHeight="1" x14ac:dyDescent="0.25"/>
  <cols>
    <col min="1" max="1" width="1.7109375" style="2" customWidth="1"/>
    <col min="2" max="2" width="9.85546875" style="2" bestFit="1" customWidth="1"/>
    <col min="3" max="3" width="7.28515625" style="2" customWidth="1"/>
    <col min="4" max="4" width="26.7109375" style="2" customWidth="1"/>
    <col min="5" max="5" width="20.42578125" style="2" bestFit="1" customWidth="1"/>
    <col min="6" max="6" width="13.28515625" style="2" bestFit="1" customWidth="1"/>
    <col min="7" max="7" width="10" style="2" bestFit="1" customWidth="1"/>
    <col min="8" max="8" width="8" style="2" bestFit="1" customWidth="1"/>
    <col min="9" max="9" width="11.7109375" style="2" bestFit="1" customWidth="1"/>
    <col min="10" max="11" width="8.7109375" style="2" customWidth="1"/>
    <col min="12" max="12" width="10.7109375" style="2" bestFit="1" customWidth="1"/>
    <col min="13" max="13" width="16.28515625" style="2" bestFit="1" customWidth="1"/>
    <col min="14" max="14" width="1.7109375" style="2" customWidth="1"/>
    <col min="15" max="16384" width="9.140625" style="2" hidden="1"/>
  </cols>
  <sheetData>
    <row r="1" spans="2:13" ht="9" customHeight="1" x14ac:dyDescent="0.25"/>
    <row r="2" spans="2:13" ht="34.5" customHeight="1" x14ac:dyDescent="0.25"/>
    <row r="3" spans="2:13" ht="15" customHeight="1" x14ac:dyDescent="0.25"/>
    <row r="4" spans="2:13" ht="15" customHeight="1" x14ac:dyDescent="0.25"/>
    <row r="5" spans="2:13" x14ac:dyDescent="0.25">
      <c r="B5" s="23" t="s">
        <v>0</v>
      </c>
      <c r="C5" s="548" t="str">
        <f>'Qd abrang'!C4</f>
        <v>Contratação de Projeto Executivo de Engenharia para Implantação do Aeródromo no município de Nova Andradina</v>
      </c>
      <c r="D5" s="548"/>
      <c r="E5" s="548"/>
      <c r="F5" s="548"/>
      <c r="G5" s="548"/>
      <c r="H5" s="548"/>
      <c r="I5" s="548"/>
      <c r="J5" s="548"/>
      <c r="K5" s="548"/>
      <c r="L5" s="548"/>
      <c r="M5" s="548"/>
    </row>
    <row r="6" spans="2:13" x14ac:dyDescent="0.25">
      <c r="B6" s="5" t="s">
        <v>862</v>
      </c>
      <c r="C6" s="1" t="str">
        <f>'Qd abrang'!C5</f>
        <v>Nova Andradina/MS</v>
      </c>
    </row>
    <row r="7" spans="2:13" x14ac:dyDescent="0.25">
      <c r="B7" s="5" t="s">
        <v>863</v>
      </c>
      <c r="C7" s="1" t="str">
        <f>'Qd abrang'!C6</f>
        <v>Nova Andradina/MS</v>
      </c>
    </row>
    <row r="8" spans="2:13" x14ac:dyDescent="0.25">
      <c r="B8" s="5" t="s">
        <v>1</v>
      </c>
      <c r="C8" s="239">
        <f>'Qd abrang'!C7</f>
        <v>1.7</v>
      </c>
      <c r="D8" s="2" t="s">
        <v>3</v>
      </c>
      <c r="E8" s="2" t="s">
        <v>1131</v>
      </c>
      <c r="L8" s="5" t="s">
        <v>16</v>
      </c>
      <c r="M8" s="6" t="str">
        <f>'Qd abrang'!N7</f>
        <v>79.010.182-2025</v>
      </c>
    </row>
    <row r="9" spans="2:13" x14ac:dyDescent="0.25">
      <c r="B9" s="5" t="s">
        <v>2</v>
      </c>
      <c r="C9" s="1">
        <f>'Qd abrang'!C8</f>
        <v>365</v>
      </c>
      <c r="D9" s="2" t="s">
        <v>4</v>
      </c>
      <c r="L9" s="5" t="s">
        <v>17</v>
      </c>
      <c r="M9" s="6">
        <f>'Qd abrang'!N8</f>
        <v>45748</v>
      </c>
    </row>
    <row r="10" spans="2:13" ht="15" customHeight="1" x14ac:dyDescent="0.25"/>
    <row r="11" spans="2:13" s="11" customFormat="1" ht="21" x14ac:dyDescent="0.25">
      <c r="B11" s="547" t="s">
        <v>27</v>
      </c>
      <c r="C11" s="547"/>
      <c r="D11" s="547"/>
      <c r="E11" s="547"/>
      <c r="F11" s="547"/>
      <c r="G11" s="547"/>
      <c r="H11" s="547"/>
      <c r="I11" s="547"/>
      <c r="J11" s="547"/>
      <c r="K11" s="547"/>
      <c r="L11" s="547"/>
      <c r="M11" s="547"/>
    </row>
    <row r="12" spans="2:13" ht="15" customHeight="1" x14ac:dyDescent="0.25"/>
    <row r="13" spans="2:13" ht="45" customHeight="1" x14ac:dyDescent="0.25">
      <c r="B13" s="562" t="s">
        <v>29</v>
      </c>
      <c r="C13" s="564" t="s">
        <v>30</v>
      </c>
      <c r="D13" s="565"/>
      <c r="E13" s="563" t="s">
        <v>15</v>
      </c>
      <c r="F13" s="563" t="s">
        <v>680</v>
      </c>
      <c r="G13" s="120" t="s">
        <v>681</v>
      </c>
      <c r="H13" s="120" t="s">
        <v>202</v>
      </c>
      <c r="I13" s="562" t="s">
        <v>635</v>
      </c>
      <c r="J13" s="120" t="s">
        <v>242</v>
      </c>
      <c r="K13" s="120" t="s">
        <v>224</v>
      </c>
      <c r="L13" s="120" t="s">
        <v>361</v>
      </c>
      <c r="M13" s="562" t="s">
        <v>396</v>
      </c>
    </row>
    <row r="14" spans="2:13" ht="15" customHeight="1" x14ac:dyDescent="0.25">
      <c r="B14" s="562"/>
      <c r="C14" s="564"/>
      <c r="D14" s="565"/>
      <c r="E14" s="563"/>
      <c r="F14" s="563"/>
      <c r="G14" s="121" t="s">
        <v>363</v>
      </c>
      <c r="H14" s="120" t="s">
        <v>330</v>
      </c>
      <c r="I14" s="562"/>
      <c r="J14" s="120" t="s">
        <v>331</v>
      </c>
      <c r="K14" s="120" t="s">
        <v>332</v>
      </c>
      <c r="L14" s="120" t="s">
        <v>685</v>
      </c>
      <c r="M14" s="562"/>
    </row>
    <row r="15" spans="2:13" ht="15" customHeight="1" x14ac:dyDescent="0.25">
      <c r="B15" s="24" t="s">
        <v>684</v>
      </c>
      <c r="C15" s="25"/>
      <c r="D15" s="25"/>
      <c r="E15" s="25"/>
      <c r="F15" s="25"/>
      <c r="G15" s="25"/>
      <c r="H15" s="25"/>
      <c r="I15" s="25"/>
      <c r="J15" s="25"/>
      <c r="K15" s="25"/>
      <c r="L15" s="25"/>
      <c r="M15" s="78">
        <f>SUM(M16:M19)</f>
        <v>18666.03</v>
      </c>
    </row>
    <row r="16" spans="2:13" ht="15" customHeight="1" x14ac:dyDescent="0.25">
      <c r="B16" s="61" t="str">
        <f>'Memo calc'!$C$1692</f>
        <v>B8952</v>
      </c>
      <c r="C16" s="594" t="str">
        <f>IFERROR(VLOOKUP(B16,'Imóveis-Mobiliários-Cestas-Dive'!$B$2:$F$13,3,0),"")</f>
        <v>Residencial (2,45% do CMCC - SINAPI)</v>
      </c>
      <c r="D16" s="595"/>
      <c r="E16" s="58" t="s">
        <v>283</v>
      </c>
      <c r="F16" s="82" t="str">
        <f>IFERROR(VLOOKUP(B16,'Imóveis-Mobiliários-Cestas-Dive'!$B$2:$F$13,4,0),"")</f>
        <v>m² x mês</v>
      </c>
      <c r="G16" s="26">
        <f>IFERROR(VLOOKUP(B16,'Imóveis-Mobiliários-Cestas-Dive'!$B$2:$F$13,5,0),"")</f>
        <v>47.46</v>
      </c>
      <c r="H16" s="81">
        <v>1</v>
      </c>
      <c r="I16" s="81">
        <f>'Memo calc'!F1705</f>
        <v>13</v>
      </c>
      <c r="J16" s="45">
        <f>'Memo calc'!I1705</f>
        <v>87.474999999999994</v>
      </c>
      <c r="K16" s="45">
        <f>'Memo calc'!K1705</f>
        <v>129.42857142857142</v>
      </c>
      <c r="L16" s="45">
        <f>K16/30</f>
        <v>4.3142857142857141</v>
      </c>
      <c r="M16" s="46">
        <f>TRUNC(G16*J16*L16,2)</f>
        <v>17911.03</v>
      </c>
    </row>
    <row r="17" spans="2:13" ht="15" customHeight="1" x14ac:dyDescent="0.25">
      <c r="B17" s="109" t="str">
        <f>'Memo calc'!$C$1692</f>
        <v>B8952</v>
      </c>
      <c r="C17" s="594" t="str">
        <f>IFERROR(VLOOKUP(B17,'Imóveis-Mobiliários-Cestas-Dive'!$B$2:$F$13,3,0),"")</f>
        <v>Residencial (2,45% do CMCC - SINAPI)</v>
      </c>
      <c r="D17" s="595"/>
      <c r="E17" s="58" t="s">
        <v>286</v>
      </c>
      <c r="F17" s="82" t="str">
        <f>IFERROR(VLOOKUP(B17,'Imóveis-Mobiliários-Cestas-Dive'!$B$2:$F$13,4,0),"")</f>
        <v>m² x mês</v>
      </c>
      <c r="G17" s="26">
        <f>IFERROR(VLOOKUP(B17,'Imóveis-Mobiliários-Cestas-Dive'!$B$2:$F$13,5,0),"")</f>
        <v>47.46</v>
      </c>
      <c r="H17" s="81">
        <v>1</v>
      </c>
      <c r="I17" s="81">
        <f>'Memo calc'!F1714</f>
        <v>5</v>
      </c>
      <c r="J17" s="45">
        <f>'Memo calc'!H1714</f>
        <v>62.05</v>
      </c>
      <c r="K17" s="45">
        <f>'Memo calc'!J1714</f>
        <v>5.8333333333333339</v>
      </c>
      <c r="L17" s="45">
        <f>K17/30</f>
        <v>0.19444444444444448</v>
      </c>
      <c r="M17" s="46">
        <f t="shared" ref="M17:M19" si="0">TRUNC(G17*J17*L17,2)</f>
        <v>572.61</v>
      </c>
    </row>
    <row r="18" spans="2:13" ht="15" customHeight="1" x14ac:dyDescent="0.25">
      <c r="B18" s="109" t="str">
        <f>'Memo calc'!$C$1692</f>
        <v>B8952</v>
      </c>
      <c r="C18" s="594" t="str">
        <f>IFERROR(VLOOKUP(B18,'Imóveis-Mobiliários-Cestas-Dive'!$B$2:$F$13,3,0),"")</f>
        <v>Residencial (2,45% do CMCC - SINAPI)</v>
      </c>
      <c r="D18" s="595"/>
      <c r="E18" s="58" t="s">
        <v>643</v>
      </c>
      <c r="F18" s="82" t="str">
        <f>IFERROR(VLOOKUP(B18,'Imóveis-Mobiliários-Cestas-Dive'!$B$2:$F$13,4,0),"")</f>
        <v>m² x mês</v>
      </c>
      <c r="G18" s="26">
        <f>IFERROR(VLOOKUP(B18,'Imóveis-Mobiliários-Cestas-Dive'!$B$2:$F$13,5,0),"")</f>
        <v>47.46</v>
      </c>
      <c r="H18" s="81">
        <f>'Memo calc'!G1719</f>
        <v>1</v>
      </c>
      <c r="I18" s="81">
        <v>3</v>
      </c>
      <c r="J18" s="45">
        <f>'Memo calc'!I1719</f>
        <v>14.77</v>
      </c>
      <c r="K18" s="45">
        <f>'Memo calc'!K1719</f>
        <v>1</v>
      </c>
      <c r="L18" s="45">
        <f>K18/30</f>
        <v>3.3333333333333333E-2</v>
      </c>
      <c r="M18" s="46">
        <f t="shared" si="0"/>
        <v>23.36</v>
      </c>
    </row>
    <row r="19" spans="2:13" ht="15" customHeight="1" x14ac:dyDescent="0.25">
      <c r="B19" s="109" t="str">
        <f>'Memo calc'!$C$1692</f>
        <v>B8952</v>
      </c>
      <c r="C19" s="594" t="str">
        <f>IFERROR(VLOOKUP(B19,'Imóveis-Mobiliários-Cestas-Dive'!$B$2:$F$13,3,0),"")</f>
        <v>Residencial (2,45% do CMCC - SINAPI)</v>
      </c>
      <c r="D19" s="595"/>
      <c r="E19" s="58" t="s">
        <v>293</v>
      </c>
      <c r="F19" s="82" t="str">
        <f>IFERROR(VLOOKUP(B19,'Imóveis-Mobiliários-Cestas-Dive'!$B$2:$F$13,4,0),"")</f>
        <v>m² x mês</v>
      </c>
      <c r="G19" s="26">
        <f>IFERROR(VLOOKUP(B19,'Imóveis-Mobiliários-Cestas-Dive'!$B$2:$F$13,5,0),"")</f>
        <v>47.46</v>
      </c>
      <c r="H19" s="81">
        <f>'Memo calc'!G1724</f>
        <v>1</v>
      </c>
      <c r="I19" s="81">
        <v>2</v>
      </c>
      <c r="J19" s="45">
        <f>'Memo calc'!I1724</f>
        <v>11.17</v>
      </c>
      <c r="K19" s="45">
        <f>'Memo calc'!K1724</f>
        <v>9</v>
      </c>
      <c r="L19" s="45">
        <f>K19/30</f>
        <v>0.3</v>
      </c>
      <c r="M19" s="46">
        <f t="shared" si="0"/>
        <v>159.03</v>
      </c>
    </row>
    <row r="20" spans="2:13" ht="15" customHeight="1" x14ac:dyDescent="0.25">
      <c r="B20" s="232" t="s">
        <v>686</v>
      </c>
      <c r="C20" s="12"/>
      <c r="D20" s="12"/>
      <c r="E20" s="12"/>
      <c r="F20" s="12"/>
      <c r="G20" s="12"/>
      <c r="H20" s="12"/>
      <c r="I20" s="12"/>
      <c r="J20" s="12"/>
      <c r="K20" s="12"/>
      <c r="L20" s="12"/>
      <c r="M20" s="47">
        <f>SUM(M21:M24)</f>
        <v>26585.41</v>
      </c>
    </row>
    <row r="21" spans="2:13" ht="15" customHeight="1" x14ac:dyDescent="0.25">
      <c r="B21" s="61" t="str">
        <f>'Memo calc'!B1739</f>
        <v>B8953</v>
      </c>
      <c r="C21" s="594" t="str">
        <f>IFERROR(VLOOKUP(B21,'Imóveis-Mobiliários-Cestas-Dive'!$B$2:$F$13,3,0),"")</f>
        <v>Escritório</v>
      </c>
      <c r="D21" s="595"/>
      <c r="E21" s="58" t="str">
        <f>'Memo calc'!E1739</f>
        <v>Escritório</v>
      </c>
      <c r="F21" s="82" t="str">
        <f>IFERROR(VLOOKUP(B21,'Imóveis-Mobiliários-Cestas-Dive'!$B$2:$F$13,4,0),"")</f>
        <v>ocupante x mês</v>
      </c>
      <c r="G21" s="26">
        <f>IFERROR(VLOOKUP(B21,'Imóveis-Mobiliários-Cestas-Dive'!$B$2:$F$13,5,0),"")</f>
        <v>467.45</v>
      </c>
      <c r="H21" s="83">
        <v>0</v>
      </c>
      <c r="I21" s="81">
        <f>'Memo calc'!K1739</f>
        <v>13</v>
      </c>
      <c r="J21" s="83">
        <v>0</v>
      </c>
      <c r="K21" s="45">
        <f>'Memo calc'!L1739</f>
        <v>129.42857142857142</v>
      </c>
      <c r="L21" s="45">
        <f>K21/30</f>
        <v>4.3142857142857141</v>
      </c>
      <c r="M21" s="46">
        <f>TRUNC(G21*I21*L21,2)</f>
        <v>26217.26</v>
      </c>
    </row>
    <row r="22" spans="2:13" ht="15" customHeight="1" x14ac:dyDescent="0.25">
      <c r="B22" s="109" t="str">
        <f>'Memo calc'!B1740</f>
        <v>B8953</v>
      </c>
      <c r="C22" s="594" t="str">
        <f>IFERROR(VLOOKUP(B22,'Imóveis-Mobiliários-Cestas-Dive'!$B$2:$F$13,3,0),"")</f>
        <v>Escritório</v>
      </c>
      <c r="D22" s="595"/>
      <c r="E22" s="108" t="str">
        <f>'Memo calc'!E1740</f>
        <v>Topografia convencional</v>
      </c>
      <c r="F22" s="82" t="str">
        <f>IFERROR(VLOOKUP(B22,'Imóveis-Mobiliários-Cestas-Dive'!$B$2:$F$13,4,0),"")</f>
        <v>ocupante x mês</v>
      </c>
      <c r="G22" s="26">
        <f>IFERROR(VLOOKUP(B22,'Imóveis-Mobiliários-Cestas-Dive'!$B$2:$F$13,5,0),"")</f>
        <v>467.45</v>
      </c>
      <c r="H22" s="83">
        <v>0</v>
      </c>
      <c r="I22" s="81">
        <f>'Memo calc'!K1740</f>
        <v>3</v>
      </c>
      <c r="J22" s="83">
        <v>0</v>
      </c>
      <c r="K22" s="45">
        <f>'Memo calc'!L1740</f>
        <v>1</v>
      </c>
      <c r="L22" s="45">
        <f>K22/30</f>
        <v>3.3333333333333333E-2</v>
      </c>
      <c r="M22" s="46">
        <f t="shared" ref="M22:M24" si="1">TRUNC(G22*I22*L22,2)</f>
        <v>46.74</v>
      </c>
    </row>
    <row r="23" spans="2:13" ht="15" customHeight="1" x14ac:dyDescent="0.25">
      <c r="B23" s="109" t="str">
        <f>'Memo calc'!B1741</f>
        <v>B8953</v>
      </c>
      <c r="C23" s="594" t="str">
        <f>IFERROR(VLOOKUP(B23,'Imóveis-Mobiliários-Cestas-Dive'!$B$2:$F$13,3,0),"")</f>
        <v>Escritório</v>
      </c>
      <c r="D23" s="595"/>
      <c r="E23" s="108" t="str">
        <f>'Memo calc'!E1741</f>
        <v>Laboratório de solos</v>
      </c>
      <c r="F23" s="82" t="str">
        <f>IFERROR(VLOOKUP(B23,'Imóveis-Mobiliários-Cestas-Dive'!$B$2:$F$13,4,0),"")</f>
        <v>ocupante x mês</v>
      </c>
      <c r="G23" s="26">
        <f>IFERROR(VLOOKUP(B23,'Imóveis-Mobiliários-Cestas-Dive'!$B$2:$F$13,5,0),"")</f>
        <v>467.45</v>
      </c>
      <c r="H23" s="83">
        <v>0</v>
      </c>
      <c r="I23" s="81">
        <f>'Memo calc'!K1741</f>
        <v>2</v>
      </c>
      <c r="J23" s="83">
        <v>0</v>
      </c>
      <c r="K23" s="45">
        <f>'Memo calc'!L1741</f>
        <v>9</v>
      </c>
      <c r="L23" s="45">
        <f>K23/30</f>
        <v>0.3</v>
      </c>
      <c r="M23" s="46">
        <f t="shared" si="1"/>
        <v>280.47000000000003</v>
      </c>
    </row>
    <row r="24" spans="2:13" ht="15" customHeight="1" x14ac:dyDescent="0.25">
      <c r="B24" s="109" t="str">
        <f>'Memo calc'!B1742</f>
        <v>B8954</v>
      </c>
      <c r="C24" s="594" t="str">
        <f>IFERROR(VLOOKUP(B24,'Imóveis-Mobiliários-Cestas-Dive'!$B$2:$F$13,3,0),"")</f>
        <v>Residência</v>
      </c>
      <c r="D24" s="595"/>
      <c r="E24" s="108" t="str">
        <f>'Memo calc'!E1742</f>
        <v>Residência</v>
      </c>
      <c r="F24" s="82" t="str">
        <f>IFERROR(VLOOKUP(B24,'Imóveis-Mobiliários-Cestas-Dive'!$B$2:$F$13,4,0),"")</f>
        <v>ocupante x mês</v>
      </c>
      <c r="G24" s="26">
        <f>IFERROR(VLOOKUP(B24,'Imóveis-Mobiliários-Cestas-Dive'!$B$2:$F$13,5,0),"")</f>
        <v>42.11</v>
      </c>
      <c r="H24" s="83">
        <v>0</v>
      </c>
      <c r="I24" s="81">
        <f>'Memo calc'!K1742</f>
        <v>5</v>
      </c>
      <c r="J24" s="83">
        <v>0</v>
      </c>
      <c r="K24" s="45">
        <f>'Memo calc'!L1742</f>
        <v>5.8333333333333339</v>
      </c>
      <c r="L24" s="45">
        <f>K24/30</f>
        <v>0.19444444444444448</v>
      </c>
      <c r="M24" s="46">
        <f t="shared" si="1"/>
        <v>40.94</v>
      </c>
    </row>
    <row r="25" spans="2:13" ht="15" customHeight="1" x14ac:dyDescent="0.25">
      <c r="B25" s="232" t="s">
        <v>742</v>
      </c>
      <c r="C25" s="12"/>
      <c r="D25" s="12"/>
      <c r="E25" s="12"/>
      <c r="F25" s="12"/>
      <c r="G25" s="12"/>
      <c r="H25" s="12"/>
      <c r="I25" s="12"/>
      <c r="J25" s="12"/>
      <c r="K25" s="12"/>
      <c r="L25" s="12"/>
      <c r="M25" s="47">
        <f>SUM(M26:M29)</f>
        <v>8009.28</v>
      </c>
    </row>
    <row r="26" spans="2:13" ht="15" customHeight="1" x14ac:dyDescent="0.25">
      <c r="B26" s="61" t="str">
        <f>'Memo calc'!B1750</f>
        <v>B8959</v>
      </c>
      <c r="C26" s="594" t="str">
        <f>IFERROR(VLOOKUP(B26,'Imóveis-Mobiliários-Cestas-Dive'!$B$2:$F$13,3,0),"")</f>
        <v>Escritório</v>
      </c>
      <c r="D26" s="595"/>
      <c r="E26" s="58" t="str">
        <f>'Memo calc'!E1750</f>
        <v>Escritório</v>
      </c>
      <c r="F26" s="82" t="str">
        <f>IFERROR(VLOOKUP(B26,'Imóveis-Mobiliários-Cestas-Dive'!$B$2:$F$13,4,0),"")</f>
        <v>ocupante x mês</v>
      </c>
      <c r="G26" s="26">
        <f>IFERROR(VLOOKUP(B26,'Imóveis-Mobiliários-Cestas-Dive'!$B$2:$F$13,5,0),"")</f>
        <v>137.55000000000001</v>
      </c>
      <c r="H26" s="83">
        <v>0</v>
      </c>
      <c r="I26" s="81">
        <f>'Memo calc'!J1750</f>
        <v>13</v>
      </c>
      <c r="J26" s="83">
        <v>0</v>
      </c>
      <c r="K26" s="45">
        <f>'Memo calc'!K1750</f>
        <v>129.42857142857142</v>
      </c>
      <c r="L26" s="45">
        <f>K26/30</f>
        <v>4.3142857142857141</v>
      </c>
      <c r="M26" s="46">
        <f>TRUNC(G26*I26*L26,2)</f>
        <v>7714.59</v>
      </c>
    </row>
    <row r="27" spans="2:13" ht="15" customHeight="1" x14ac:dyDescent="0.25">
      <c r="B27" s="109" t="str">
        <f>'Memo calc'!B1751</f>
        <v>B8959</v>
      </c>
      <c r="C27" s="594" t="str">
        <f>IFERROR(VLOOKUP(B27,'Imóveis-Mobiliários-Cestas-Dive'!$B$2:$F$13,3,0),"")</f>
        <v>Escritório</v>
      </c>
      <c r="D27" s="595"/>
      <c r="E27" s="108" t="str">
        <f>'Memo calc'!E1751</f>
        <v>Topografia convencional</v>
      </c>
      <c r="F27" s="82" t="str">
        <f>IFERROR(VLOOKUP(B27,'Imóveis-Mobiliários-Cestas-Dive'!$B$2:$F$13,4,0),"")</f>
        <v>ocupante x mês</v>
      </c>
      <c r="G27" s="26">
        <f>IFERROR(VLOOKUP(B27,'Imóveis-Mobiliários-Cestas-Dive'!$B$2:$F$13,5,0),"")</f>
        <v>137.55000000000001</v>
      </c>
      <c r="H27" s="83">
        <v>0</v>
      </c>
      <c r="I27" s="81">
        <f>'Memo calc'!J1751</f>
        <v>3</v>
      </c>
      <c r="J27" s="83">
        <v>0</v>
      </c>
      <c r="K27" s="45">
        <f>'Memo calc'!K1751</f>
        <v>1</v>
      </c>
      <c r="L27" s="45">
        <f>K27/30</f>
        <v>3.3333333333333333E-2</v>
      </c>
      <c r="M27" s="46">
        <f t="shared" ref="M27:M29" si="2">TRUNC(G27*I27*L27,2)</f>
        <v>13.75</v>
      </c>
    </row>
    <row r="28" spans="2:13" ht="15" customHeight="1" x14ac:dyDescent="0.25">
      <c r="B28" s="109" t="str">
        <f>'Memo calc'!B1752</f>
        <v>B8959</v>
      </c>
      <c r="C28" s="594" t="str">
        <f>IFERROR(VLOOKUP(B28,'Imóveis-Mobiliários-Cestas-Dive'!$B$2:$F$13,3,0),"")</f>
        <v>Escritório</v>
      </c>
      <c r="D28" s="595"/>
      <c r="E28" s="108" t="str">
        <f>'Memo calc'!E1752</f>
        <v>Laboratório de solos</v>
      </c>
      <c r="F28" s="82" t="str">
        <f>IFERROR(VLOOKUP(B28,'Imóveis-Mobiliários-Cestas-Dive'!$B$2:$F$13,4,0),"")</f>
        <v>ocupante x mês</v>
      </c>
      <c r="G28" s="26">
        <f>IFERROR(VLOOKUP(B28,'Imóveis-Mobiliários-Cestas-Dive'!$B$2:$F$13,5,0),"")</f>
        <v>137.55000000000001</v>
      </c>
      <c r="H28" s="83">
        <v>0</v>
      </c>
      <c r="I28" s="81">
        <f>'Memo calc'!J1752</f>
        <v>2</v>
      </c>
      <c r="J28" s="83">
        <v>0</v>
      </c>
      <c r="K28" s="45">
        <f>'Memo calc'!K1752</f>
        <v>9</v>
      </c>
      <c r="L28" s="45">
        <f>K28/30</f>
        <v>0.3</v>
      </c>
      <c r="M28" s="46">
        <f t="shared" si="2"/>
        <v>82.53</v>
      </c>
    </row>
    <row r="29" spans="2:13" ht="15" customHeight="1" x14ac:dyDescent="0.25">
      <c r="B29" s="122" t="str">
        <f>'Memo calc'!B1753</f>
        <v>B8960</v>
      </c>
      <c r="C29" s="594" t="str">
        <f>IFERROR(VLOOKUP(B29,'Imóveis-Mobiliários-Cestas-Dive'!$B$2:$F$13,3,0),"")</f>
        <v>Residência</v>
      </c>
      <c r="D29" s="595"/>
      <c r="E29" s="124" t="str">
        <f>'Memo calc'!E1753</f>
        <v>Residência</v>
      </c>
      <c r="F29" s="82" t="str">
        <f>IFERROR(VLOOKUP(B29,'Imóveis-Mobiliários-Cestas-Dive'!$B$2:$F$13,4,0),"")</f>
        <v>ocupante x mês</v>
      </c>
      <c r="G29" s="26">
        <f>IFERROR(VLOOKUP(B29,'Imóveis-Mobiliários-Cestas-Dive'!$B$2:$F$13,5,0),"")</f>
        <v>204.08</v>
      </c>
      <c r="H29" s="85">
        <v>0</v>
      </c>
      <c r="I29" s="86">
        <f>'Memo calc'!J1753</f>
        <v>5</v>
      </c>
      <c r="J29" s="85">
        <v>0</v>
      </c>
      <c r="K29" s="79">
        <f>'Memo calc'!K1753</f>
        <v>5.8333333333333339</v>
      </c>
      <c r="L29" s="79">
        <f>K29/30</f>
        <v>0.19444444444444448</v>
      </c>
      <c r="M29" s="46">
        <f t="shared" si="2"/>
        <v>198.41</v>
      </c>
    </row>
    <row r="30" spans="2:13" s="84" customFormat="1" ht="15" customHeight="1" x14ac:dyDescent="0.25">
      <c r="B30" s="126"/>
      <c r="C30" s="125"/>
      <c r="D30" s="125"/>
      <c r="E30" s="125"/>
      <c r="F30" s="125"/>
      <c r="G30" s="125"/>
      <c r="H30" s="125"/>
      <c r="I30" s="125"/>
      <c r="J30" s="125"/>
      <c r="K30" s="125"/>
      <c r="L30" s="136" t="s">
        <v>687</v>
      </c>
      <c r="M30" s="77">
        <f>M15+M20+M25</f>
        <v>53260.72</v>
      </c>
    </row>
    <row r="31" spans="2:13" ht="9" customHeight="1" x14ac:dyDescent="0.25"/>
    <row r="32" spans="2:13"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sheetData>
  <mergeCells count="20">
    <mergeCell ref="C22:D22"/>
    <mergeCell ref="C23:D23"/>
    <mergeCell ref="B11:M11"/>
    <mergeCell ref="F13:F14"/>
    <mergeCell ref="I13:I14"/>
    <mergeCell ref="M13:M14"/>
    <mergeCell ref="C17:D17"/>
    <mergeCell ref="C19:D19"/>
    <mergeCell ref="C21:D21"/>
    <mergeCell ref="C5:M5"/>
    <mergeCell ref="B13:B14"/>
    <mergeCell ref="C13:D14"/>
    <mergeCell ref="C16:D16"/>
    <mergeCell ref="C18:D18"/>
    <mergeCell ref="E13:E14"/>
    <mergeCell ref="C26:D26"/>
    <mergeCell ref="C27:D27"/>
    <mergeCell ref="C28:D28"/>
    <mergeCell ref="C29:D29"/>
    <mergeCell ref="C24:D24"/>
  </mergeCells>
  <printOptions horizontalCentered="1"/>
  <pageMargins left="0.78740157480314965" right="0.98425196850393704" top="0.39370078740157483" bottom="0.78740157480314965" header="0.19685039370078741" footer="0.19685039370078741"/>
  <pageSetup paperSize="9" scale="81" fitToHeight="0" orientation="landscape" r:id="rId1"/>
  <headerFooter>
    <oddFooter xml:space="preserve">&amp;C&amp;10Av. Des. José Nunes da Cunha, Bloco 14, Parque dos Poderes, Campo Grande (MS), CEP 79031-310
PABX: (67) 3318-5300/ Gab: 5538 – Fax (67) 3318-5386 – gabinete@seinfra.ms.gov.br
</oddFooter>
  </headerFooter>
  <ignoredErrors>
    <ignoredError sqref="M25" formula="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9"/>
  <sheetViews>
    <sheetView showGridLines="0" view="pageBreakPreview" topLeftCell="A4" zoomScaleNormal="100" zoomScaleSheetLayoutView="100" workbookViewId="0">
      <selection activeCell="H25" sqref="H25"/>
    </sheetView>
  </sheetViews>
  <sheetFormatPr defaultColWidth="0" defaultRowHeight="33" customHeight="1" x14ac:dyDescent="0.25"/>
  <cols>
    <col min="1" max="1" width="1.7109375" style="2" customWidth="1"/>
    <col min="2" max="2" width="12.85546875" style="2" customWidth="1"/>
    <col min="3" max="3" width="35.42578125" style="2" customWidth="1"/>
    <col min="4" max="4" width="24" style="2" customWidth="1"/>
    <col min="5" max="5" width="13.85546875" style="2" customWidth="1"/>
    <col min="6" max="6" width="13.7109375" style="2" customWidth="1"/>
    <col min="7" max="7" width="1.7109375" style="2" customWidth="1"/>
    <col min="8" max="8" width="16.7109375" style="2" bestFit="1" customWidth="1"/>
    <col min="9" max="9" width="16.28515625" style="2" bestFit="1" customWidth="1"/>
    <col min="10" max="10" width="1.7109375" style="2" customWidth="1"/>
    <col min="11" max="16384" width="9.140625" style="2" hidden="1"/>
  </cols>
  <sheetData>
    <row r="1" spans="2:9" ht="9" customHeight="1" x14ac:dyDescent="0.25"/>
    <row r="2" spans="2:9" ht="34.5" customHeight="1" x14ac:dyDescent="0.25"/>
    <row r="3" spans="2:9" ht="15" customHeight="1" x14ac:dyDescent="0.25"/>
    <row r="4" spans="2:9" ht="15" customHeight="1" x14ac:dyDescent="0.25"/>
    <row r="5" spans="2:9" ht="26.25" customHeight="1" x14ac:dyDescent="0.25">
      <c r="B5" s="5" t="s">
        <v>0</v>
      </c>
      <c r="C5" s="599" t="str">
        <f>'Qd abrang'!C4</f>
        <v>Contratação de Projeto Executivo de Engenharia para Implantação do Aeródromo no município de Nova Andradina</v>
      </c>
      <c r="D5" s="599"/>
      <c r="E5" s="599"/>
      <c r="F5" s="599"/>
      <c r="G5" s="313"/>
      <c r="H5" s="313"/>
      <c r="I5" s="313"/>
    </row>
    <row r="6" spans="2:9" ht="15" x14ac:dyDescent="0.25">
      <c r="B6" s="5" t="s">
        <v>862</v>
      </c>
      <c r="C6" s="2" t="str">
        <f>'Qd abrang'!C5</f>
        <v>Nova Andradina/MS</v>
      </c>
    </row>
    <row r="7" spans="2:9" ht="15" x14ac:dyDescent="0.25">
      <c r="B7" s="5" t="s">
        <v>863</v>
      </c>
      <c r="C7" s="2" t="str">
        <f>'Qd abrang'!C6</f>
        <v>Nova Andradina/MS</v>
      </c>
    </row>
    <row r="8" spans="2:9" ht="15" x14ac:dyDescent="0.25">
      <c r="B8" s="5" t="s">
        <v>1</v>
      </c>
      <c r="C8" s="315" t="s">
        <v>1192</v>
      </c>
      <c r="E8" s="5" t="s">
        <v>16</v>
      </c>
      <c r="F8" s="6" t="str">
        <f>'Qd abrang'!N7</f>
        <v>79.010.182-2025</v>
      </c>
    </row>
    <row r="9" spans="2:9" ht="15" x14ac:dyDescent="0.25">
      <c r="B9" s="5" t="s">
        <v>2</v>
      </c>
      <c r="C9" s="316" t="s">
        <v>1102</v>
      </c>
      <c r="E9" s="5" t="s">
        <v>17</v>
      </c>
      <c r="F9" s="265">
        <f>'Qd abrang'!N8</f>
        <v>45748</v>
      </c>
    </row>
    <row r="10" spans="2:9" ht="15" customHeight="1" x14ac:dyDescent="0.25"/>
    <row r="11" spans="2:9" s="11" customFormat="1" ht="21" x14ac:dyDescent="0.25">
      <c r="C11" s="596" t="s">
        <v>1098</v>
      </c>
      <c r="D11" s="597"/>
      <c r="E11" s="597"/>
      <c r="F11" s="598"/>
    </row>
    <row r="12" spans="2:9" s="11" customFormat="1" ht="21" x14ac:dyDescent="0.25">
      <c r="C12" s="596" t="s">
        <v>1095</v>
      </c>
      <c r="D12" s="597"/>
      <c r="E12" s="597"/>
      <c r="F12" s="598"/>
    </row>
    <row r="13" spans="2:9" s="11" customFormat="1" ht="21" x14ac:dyDescent="0.25">
      <c r="B13" s="4"/>
      <c r="C13" s="600" t="s">
        <v>298</v>
      </c>
      <c r="D13" s="601"/>
      <c r="E13" s="434" t="s">
        <v>1096</v>
      </c>
      <c r="F13" s="434" t="s">
        <v>1097</v>
      </c>
      <c r="G13" s="312"/>
      <c r="H13" s="312"/>
      <c r="I13" s="312"/>
    </row>
    <row r="14" spans="2:9" s="11" customFormat="1" ht="21" x14ac:dyDescent="0.25">
      <c r="B14" s="2"/>
      <c r="C14" s="439" t="s">
        <v>299</v>
      </c>
      <c r="D14" s="439" t="s">
        <v>300</v>
      </c>
      <c r="E14" s="406">
        <f>BDI!C4</f>
        <v>6.8913238233064567</v>
      </c>
      <c r="F14" s="37">
        <f>BDI!D4</f>
        <v>10</v>
      </c>
      <c r="G14" s="312"/>
      <c r="H14" s="312"/>
      <c r="I14" s="312"/>
    </row>
    <row r="15" spans="2:9" s="11" customFormat="1" ht="21" x14ac:dyDescent="0.25">
      <c r="B15" s="2"/>
      <c r="C15" s="439" t="s">
        <v>301</v>
      </c>
      <c r="D15" s="439" t="s">
        <v>1045</v>
      </c>
      <c r="E15" s="406">
        <f>BDI!C5</f>
        <v>1.07</v>
      </c>
      <c r="F15" s="37">
        <f>BDI!D5</f>
        <v>1.56</v>
      </c>
      <c r="G15" s="312"/>
      <c r="H15" s="312"/>
      <c r="I15" s="312"/>
    </row>
    <row r="16" spans="2:9" s="11" customFormat="1" ht="21" x14ac:dyDescent="0.25">
      <c r="B16" s="2"/>
      <c r="C16" s="439" t="s">
        <v>302</v>
      </c>
      <c r="D16" s="439" t="s">
        <v>303</v>
      </c>
      <c r="E16" s="406">
        <f>BDI!C6</f>
        <v>0.5</v>
      </c>
      <c r="F16" s="37">
        <f>BDI!D6</f>
        <v>0.72555000000000003</v>
      </c>
      <c r="G16" s="312"/>
      <c r="H16" s="312"/>
      <c r="I16" s="312"/>
    </row>
    <row r="17" spans="2:9" s="11" customFormat="1" ht="21" x14ac:dyDescent="0.25">
      <c r="B17" s="2"/>
      <c r="C17" s="439" t="s">
        <v>1099</v>
      </c>
      <c r="D17" s="439" t="s">
        <v>304</v>
      </c>
      <c r="E17" s="406">
        <f>BDI!C7</f>
        <v>0.1</v>
      </c>
      <c r="F17" s="37">
        <f>BDI!D7</f>
        <v>0.14511000000000002</v>
      </c>
      <c r="G17" s="312"/>
      <c r="H17" s="312"/>
      <c r="I17" s="312"/>
    </row>
    <row r="18" spans="2:9" s="11" customFormat="1" ht="21" x14ac:dyDescent="0.25">
      <c r="B18" s="2"/>
      <c r="C18" s="602" t="s">
        <v>1046</v>
      </c>
      <c r="D18" s="603"/>
      <c r="E18" s="407">
        <f>BDI!C8</f>
        <v>8.5613238233064575</v>
      </c>
      <c r="F18" s="407">
        <f>BDI!D8</f>
        <v>12.430660000000001</v>
      </c>
      <c r="G18" s="312"/>
      <c r="H18" s="312"/>
      <c r="I18" s="312"/>
    </row>
    <row r="19" spans="2:9" s="11" customFormat="1" ht="21" x14ac:dyDescent="0.25">
      <c r="B19" s="2"/>
      <c r="C19" s="600" t="s">
        <v>305</v>
      </c>
      <c r="D19" s="601"/>
      <c r="E19" s="314"/>
      <c r="F19" s="314"/>
      <c r="G19" s="312"/>
      <c r="H19" s="312"/>
      <c r="I19" s="312"/>
    </row>
    <row r="20" spans="2:9" s="11" customFormat="1" ht="21" x14ac:dyDescent="0.25">
      <c r="B20" s="2"/>
      <c r="C20" s="439" t="s">
        <v>306</v>
      </c>
      <c r="D20" s="439" t="s">
        <v>300</v>
      </c>
      <c r="E20" s="406">
        <f>BDI!C10</f>
        <v>8.269588587967748</v>
      </c>
      <c r="F20" s="406">
        <f>BDI!D10</f>
        <v>12</v>
      </c>
      <c r="G20" s="312"/>
      <c r="H20" s="312"/>
      <c r="I20" s="312"/>
    </row>
    <row r="21" spans="2:9" s="11" customFormat="1" ht="21" x14ac:dyDescent="0.25">
      <c r="B21" s="2"/>
      <c r="C21" s="602" t="s">
        <v>1047</v>
      </c>
      <c r="D21" s="603" t="s">
        <v>1047</v>
      </c>
      <c r="E21" s="407">
        <f>BDI!C11</f>
        <v>8.269588587967748</v>
      </c>
      <c r="F21" s="407">
        <f>BDI!D11</f>
        <v>12</v>
      </c>
      <c r="G21" s="312"/>
      <c r="H21" s="312"/>
      <c r="I21" s="312"/>
    </row>
    <row r="22" spans="2:9" s="11" customFormat="1" ht="21" x14ac:dyDescent="0.25">
      <c r="B22" s="2"/>
      <c r="C22" s="600" t="s">
        <v>307</v>
      </c>
      <c r="D22" s="601"/>
      <c r="E22" s="314"/>
      <c r="F22" s="314"/>
      <c r="G22" s="312"/>
      <c r="H22" s="312"/>
      <c r="I22" s="312"/>
    </row>
    <row r="23" spans="2:9" s="11" customFormat="1" ht="21" x14ac:dyDescent="0.25">
      <c r="B23" s="2"/>
      <c r="C23" s="439" t="s">
        <v>308</v>
      </c>
      <c r="D23" s="439" t="s">
        <v>309</v>
      </c>
      <c r="E23" s="406">
        <f>BDI!C13</f>
        <v>1.65</v>
      </c>
      <c r="F23" s="406">
        <f>BDI!D13</f>
        <v>2.3943149999999997</v>
      </c>
      <c r="G23" s="312"/>
      <c r="H23" s="312"/>
      <c r="I23" s="312"/>
    </row>
    <row r="24" spans="2:9" s="11" customFormat="1" ht="21" x14ac:dyDescent="0.25">
      <c r="B24" s="2"/>
      <c r="C24" s="439" t="s">
        <v>310</v>
      </c>
      <c r="D24" s="439" t="s">
        <v>311</v>
      </c>
      <c r="E24" s="406">
        <f>BDI!C14</f>
        <v>7.6</v>
      </c>
      <c r="F24" s="406">
        <f>BDI!D14</f>
        <v>11.028359999999999</v>
      </c>
      <c r="G24" s="312"/>
      <c r="H24" s="312"/>
      <c r="I24" s="312"/>
    </row>
    <row r="25" spans="2:9" s="11" customFormat="1" ht="21" x14ac:dyDescent="0.25">
      <c r="B25" s="2"/>
      <c r="C25" s="439" t="s">
        <v>1100</v>
      </c>
      <c r="D25" s="439" t="s">
        <v>312</v>
      </c>
      <c r="E25" s="406">
        <f>BDI!C15</f>
        <v>5</v>
      </c>
      <c r="F25" s="406">
        <f>BDI!D15</f>
        <v>7.2555000000000005</v>
      </c>
      <c r="G25" s="312"/>
      <c r="H25" s="312"/>
      <c r="I25" s="312"/>
    </row>
    <row r="26" spans="2:9" s="11" customFormat="1" ht="21" x14ac:dyDescent="0.25">
      <c r="B26" s="2"/>
      <c r="C26" s="602" t="s">
        <v>1048</v>
      </c>
      <c r="D26" s="603" t="s">
        <v>1047</v>
      </c>
      <c r="E26" s="407">
        <f>BDI!C16</f>
        <v>14.25</v>
      </c>
      <c r="F26" s="407">
        <f>BDI!D16</f>
        <v>20.68</v>
      </c>
      <c r="G26" s="312"/>
      <c r="H26" s="312"/>
      <c r="I26" s="312"/>
    </row>
    <row r="27" spans="2:9" s="11" customFormat="1" ht="21" x14ac:dyDescent="0.25">
      <c r="B27" s="2"/>
      <c r="C27" s="602" t="s">
        <v>1049</v>
      </c>
      <c r="D27" s="603"/>
      <c r="E27" s="407">
        <f>BDI!C17</f>
        <v>31.080912411274205</v>
      </c>
      <c r="F27" s="407">
        <f>BDI!D17</f>
        <v>45.11</v>
      </c>
      <c r="G27" s="312"/>
      <c r="H27" s="312"/>
      <c r="I27" s="312"/>
    </row>
    <row r="28" spans="2:9" s="11" customFormat="1" ht="21" customHeight="1" x14ac:dyDescent="0.25">
      <c r="B28" s="312"/>
      <c r="C28" s="68" t="s">
        <v>587</v>
      </c>
      <c r="D28" s="432"/>
      <c r="E28" s="432"/>
      <c r="F28" s="432"/>
      <c r="G28" s="312"/>
      <c r="H28" s="312"/>
      <c r="I28" s="312"/>
    </row>
    <row r="29" spans="2:9" s="11" customFormat="1" ht="21" x14ac:dyDescent="0.25">
      <c r="B29" s="312"/>
      <c r="C29" s="583" t="s">
        <v>1101</v>
      </c>
      <c r="D29" s="583"/>
      <c r="E29" s="583"/>
      <c r="F29" s="583"/>
      <c r="G29" s="312"/>
      <c r="H29" s="312"/>
      <c r="I29" s="312"/>
    </row>
  </sheetData>
  <mergeCells count="11">
    <mergeCell ref="C12:F12"/>
    <mergeCell ref="C11:F11"/>
    <mergeCell ref="C5:F5"/>
    <mergeCell ref="C29:F29"/>
    <mergeCell ref="C13:D13"/>
    <mergeCell ref="C18:D18"/>
    <mergeCell ref="C19:D19"/>
    <mergeCell ref="C21:D21"/>
    <mergeCell ref="C22:D22"/>
    <mergeCell ref="C26:D26"/>
    <mergeCell ref="C27:D27"/>
  </mergeCells>
  <printOptions horizontalCentered="1"/>
  <pageMargins left="0.78740157480314965" right="0.78740157480314965" top="0.39370078740157483" bottom="0.78740157480314965" header="0.19685039370078741" footer="0.19685039370078741"/>
  <pageSetup paperSize="9" scale="82" fitToHeight="0" orientation="portrait"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4"/>
  <dimension ref="A1:J26"/>
  <sheetViews>
    <sheetView showGridLines="0" view="pageBreakPreview" zoomScale="85" zoomScaleNormal="100" zoomScaleSheetLayoutView="85" workbookViewId="0">
      <selection activeCell="B26" sqref="B26:I26"/>
    </sheetView>
  </sheetViews>
  <sheetFormatPr defaultColWidth="0" defaultRowHeight="33" customHeight="1" x14ac:dyDescent="0.25"/>
  <cols>
    <col min="1" max="1" width="1.7109375" style="2" customWidth="1"/>
    <col min="2" max="2" width="9.85546875" style="2" bestFit="1" customWidth="1"/>
    <col min="3" max="3" width="7.28515625" style="2" customWidth="1"/>
    <col min="4" max="4" width="30.7109375" style="2" customWidth="1"/>
    <col min="5" max="7" width="8.7109375" style="2" customWidth="1"/>
    <col min="8" max="8" width="16.7109375" style="2" bestFit="1" customWidth="1"/>
    <col min="9" max="9" width="16.28515625" style="2" bestFit="1" customWidth="1"/>
    <col min="10" max="10" width="1.7109375" style="2" customWidth="1"/>
    <col min="11" max="16384" width="9.140625" style="2" hidden="1"/>
  </cols>
  <sheetData>
    <row r="1" spans="2:9" ht="9" customHeight="1" x14ac:dyDescent="0.25"/>
    <row r="2" spans="2:9" ht="34.5" customHeight="1" x14ac:dyDescent="0.25"/>
    <row r="3" spans="2:9" ht="15" customHeight="1" x14ac:dyDescent="0.25"/>
    <row r="4" spans="2:9" ht="15" customHeight="1" x14ac:dyDescent="0.25"/>
    <row r="5" spans="2:9" ht="15" x14ac:dyDescent="0.25">
      <c r="B5" s="23" t="s">
        <v>0</v>
      </c>
      <c r="C5" s="548" t="str">
        <f>'Qd abrang'!C4</f>
        <v>Contratação de Projeto Executivo de Engenharia para Implantação do Aeródromo no município de Nova Andradina</v>
      </c>
      <c r="D5" s="548"/>
      <c r="E5" s="548"/>
      <c r="F5" s="548"/>
      <c r="G5" s="548"/>
      <c r="H5" s="548"/>
      <c r="I5" s="548"/>
    </row>
    <row r="6" spans="2:9" ht="15" x14ac:dyDescent="0.25">
      <c r="B6" s="5" t="s">
        <v>862</v>
      </c>
      <c r="C6" s="1" t="str">
        <f>'Qd abrang'!C5</f>
        <v>Nova Andradina/MS</v>
      </c>
    </row>
    <row r="7" spans="2:9" ht="15" x14ac:dyDescent="0.25">
      <c r="B7" s="5" t="s">
        <v>863</v>
      </c>
      <c r="C7" s="1" t="str">
        <f>'Qd abrang'!C6</f>
        <v>Nova Andradina/MS</v>
      </c>
    </row>
    <row r="8" spans="2:9" ht="15" x14ac:dyDescent="0.25">
      <c r="B8" s="5" t="s">
        <v>1</v>
      </c>
      <c r="C8" s="239">
        <f>'Qd abrang'!C7</f>
        <v>1.7</v>
      </c>
      <c r="D8" s="2" t="s">
        <v>3</v>
      </c>
      <c r="H8" s="5" t="s">
        <v>16</v>
      </c>
      <c r="I8" s="6" t="str">
        <f>'Qd abrang'!N7</f>
        <v>79.010.182-2025</v>
      </c>
    </row>
    <row r="9" spans="2:9" ht="15" x14ac:dyDescent="0.25">
      <c r="B9" s="5" t="s">
        <v>2</v>
      </c>
      <c r="C9" s="264">
        <f>'Qd abrang'!C8</f>
        <v>365</v>
      </c>
      <c r="D9" s="2" t="s">
        <v>4</v>
      </c>
      <c r="H9" s="5" t="s">
        <v>17</v>
      </c>
      <c r="I9" s="265">
        <f>'Qd abrang'!N8</f>
        <v>45748</v>
      </c>
    </row>
    <row r="10" spans="2:9" ht="15" customHeight="1" x14ac:dyDescent="0.25"/>
    <row r="11" spans="2:9" s="11" customFormat="1" ht="21" x14ac:dyDescent="0.25">
      <c r="B11" s="547" t="s">
        <v>28</v>
      </c>
      <c r="C11" s="547"/>
      <c r="D11" s="547"/>
      <c r="E11" s="547"/>
      <c r="F11" s="547"/>
      <c r="G11" s="547"/>
      <c r="H11" s="547"/>
      <c r="I11" s="547"/>
    </row>
    <row r="12" spans="2:9" ht="15" customHeight="1" x14ac:dyDescent="0.25"/>
    <row r="13" spans="2:9" ht="30" customHeight="1" x14ac:dyDescent="0.25">
      <c r="B13" s="562" t="s">
        <v>698</v>
      </c>
      <c r="C13" s="564" t="s">
        <v>706</v>
      </c>
      <c r="D13" s="565"/>
      <c r="E13" s="562" t="s">
        <v>707</v>
      </c>
      <c r="F13" s="120" t="s">
        <v>710</v>
      </c>
      <c r="G13" s="120" t="s">
        <v>711</v>
      </c>
      <c r="H13" s="120" t="s">
        <v>712</v>
      </c>
      <c r="I13" s="120" t="s">
        <v>396</v>
      </c>
    </row>
    <row r="14" spans="2:9" ht="15" customHeight="1" x14ac:dyDescent="0.25">
      <c r="B14" s="562"/>
      <c r="C14" s="564"/>
      <c r="D14" s="565"/>
      <c r="E14" s="562"/>
      <c r="F14" s="120" t="s">
        <v>363</v>
      </c>
      <c r="G14" s="120" t="s">
        <v>330</v>
      </c>
      <c r="H14" s="120" t="s">
        <v>331</v>
      </c>
      <c r="I14" s="120" t="s">
        <v>667</v>
      </c>
    </row>
    <row r="15" spans="2:9" ht="15" customHeight="1" x14ac:dyDescent="0.25">
      <c r="B15" s="123">
        <v>1</v>
      </c>
      <c r="C15" s="149" t="s">
        <v>702</v>
      </c>
      <c r="D15" s="150"/>
      <c r="E15" s="123" t="s">
        <v>708</v>
      </c>
      <c r="F15" s="151">
        <v>0</v>
      </c>
      <c r="G15" s="152">
        <v>3</v>
      </c>
      <c r="H15" s="92">
        <v>0</v>
      </c>
      <c r="I15" s="92">
        <f>ROUND(F15*G15*H15,2)</f>
        <v>0</v>
      </c>
    </row>
    <row r="16" spans="2:9" ht="15" customHeight="1" x14ac:dyDescent="0.25">
      <c r="B16" s="22">
        <v>2</v>
      </c>
      <c r="C16" s="58" t="s">
        <v>703</v>
      </c>
      <c r="D16" s="59"/>
      <c r="E16" s="22" t="s">
        <v>709</v>
      </c>
      <c r="F16" s="99">
        <v>0</v>
      </c>
      <c r="G16" s="90">
        <v>3</v>
      </c>
      <c r="H16" s="80">
        <v>0</v>
      </c>
      <c r="I16" s="46">
        <f t="shared" ref="I16:I21" si="0">ROUND(F16*G16*H16,2)</f>
        <v>0</v>
      </c>
    </row>
    <row r="17" spans="2:9" ht="15" customHeight="1" x14ac:dyDescent="0.25">
      <c r="B17" s="22">
        <v>3</v>
      </c>
      <c r="C17" s="58" t="s">
        <v>704</v>
      </c>
      <c r="D17" s="59"/>
      <c r="E17" s="22" t="s">
        <v>708</v>
      </c>
      <c r="F17" s="99">
        <v>0</v>
      </c>
      <c r="G17" s="90">
        <v>3</v>
      </c>
      <c r="H17" s="46">
        <v>0</v>
      </c>
      <c r="I17" s="46">
        <f t="shared" si="0"/>
        <v>0</v>
      </c>
    </row>
    <row r="18" spans="2:9" ht="15" customHeight="1" x14ac:dyDescent="0.25">
      <c r="B18" s="22" t="s">
        <v>699</v>
      </c>
      <c r="C18" s="58" t="s">
        <v>212</v>
      </c>
      <c r="D18" s="59"/>
      <c r="E18" s="22" t="s">
        <v>708</v>
      </c>
      <c r="F18" s="99">
        <v>0</v>
      </c>
      <c r="G18" s="90">
        <v>3</v>
      </c>
      <c r="H18" s="46">
        <v>0</v>
      </c>
      <c r="I18" s="46">
        <f t="shared" si="0"/>
        <v>0</v>
      </c>
    </row>
    <row r="19" spans="2:9" ht="15" customHeight="1" x14ac:dyDescent="0.25">
      <c r="B19" s="22" t="s">
        <v>700</v>
      </c>
      <c r="C19" s="58" t="s">
        <v>705</v>
      </c>
      <c r="D19" s="59"/>
      <c r="E19" s="22" t="s">
        <v>708</v>
      </c>
      <c r="F19" s="99">
        <v>0</v>
      </c>
      <c r="G19" s="90">
        <v>3</v>
      </c>
      <c r="H19" s="46">
        <v>0</v>
      </c>
      <c r="I19" s="46">
        <f t="shared" si="0"/>
        <v>0</v>
      </c>
    </row>
    <row r="20" spans="2:9" ht="15" customHeight="1" x14ac:dyDescent="0.25">
      <c r="B20" s="22" t="s">
        <v>701</v>
      </c>
      <c r="C20" s="58" t="s">
        <v>220</v>
      </c>
      <c r="D20" s="59"/>
      <c r="E20" s="22" t="s">
        <v>708</v>
      </c>
      <c r="F20" s="99">
        <v>0</v>
      </c>
      <c r="G20" s="90">
        <v>3</v>
      </c>
      <c r="H20" s="46">
        <v>0</v>
      </c>
      <c r="I20" s="46">
        <f t="shared" si="0"/>
        <v>0</v>
      </c>
    </row>
    <row r="21" spans="2:9" ht="15" customHeight="1" x14ac:dyDescent="0.25">
      <c r="B21" s="22">
        <v>4</v>
      </c>
      <c r="C21" s="17" t="s">
        <v>609</v>
      </c>
      <c r="D21" s="18"/>
      <c r="E21" s="22" t="s">
        <v>708</v>
      </c>
      <c r="F21" s="99">
        <v>0</v>
      </c>
      <c r="G21" s="153">
        <v>6</v>
      </c>
      <c r="H21" s="80">
        <v>0</v>
      </c>
      <c r="I21" s="80">
        <f t="shared" si="0"/>
        <v>0</v>
      </c>
    </row>
    <row r="22" spans="2:9" s="84" customFormat="1" ht="15" customHeight="1" x14ac:dyDescent="0.25">
      <c r="B22" s="126"/>
      <c r="C22" s="125"/>
      <c r="D22" s="125"/>
      <c r="E22" s="125"/>
      <c r="F22" s="125"/>
      <c r="G22" s="125"/>
      <c r="H22" s="136" t="s">
        <v>713</v>
      </c>
      <c r="I22" s="77">
        <f>SUM(I15:I21)</f>
        <v>0</v>
      </c>
    </row>
    <row r="23" spans="2:9" ht="15" customHeight="1" x14ac:dyDescent="0.25">
      <c r="B23" s="68" t="s">
        <v>587</v>
      </c>
    </row>
    <row r="24" spans="2:9" ht="15" customHeight="1" x14ac:dyDescent="0.25">
      <c r="B24" s="87" t="s">
        <v>1126</v>
      </c>
      <c r="F24" s="87"/>
    </row>
    <row r="25" spans="2:9" ht="15" customHeight="1" x14ac:dyDescent="0.25">
      <c r="B25" s="87" t="s">
        <v>1127</v>
      </c>
      <c r="F25" s="89"/>
    </row>
    <row r="26" spans="2:9" ht="45" customHeight="1" x14ac:dyDescent="0.25">
      <c r="B26" s="604" t="s">
        <v>1031</v>
      </c>
      <c r="C26" s="604"/>
      <c r="D26" s="604"/>
      <c r="E26" s="604"/>
      <c r="F26" s="604"/>
      <c r="G26" s="604"/>
      <c r="H26" s="604"/>
      <c r="I26" s="604"/>
    </row>
  </sheetData>
  <mergeCells count="6">
    <mergeCell ref="B26:I26"/>
    <mergeCell ref="C5:I5"/>
    <mergeCell ref="B11:I11"/>
    <mergeCell ref="B13:B14"/>
    <mergeCell ref="C13:D14"/>
    <mergeCell ref="E13:E14"/>
  </mergeCells>
  <printOptions horizontalCentered="1"/>
  <pageMargins left="0.98425196850393704" right="0.98425196850393704" top="0.78740157480314965" bottom="0.78740157480314965" header="0.19685039370078741" footer="0.19685039370078741"/>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5">
    <tabColor theme="9"/>
    <pageSetUpPr fitToPage="1"/>
  </sheetPr>
  <dimension ref="A1:AG46"/>
  <sheetViews>
    <sheetView showGridLines="0" view="pageBreakPreview" zoomScaleNormal="100" zoomScaleSheetLayoutView="100" workbookViewId="0">
      <selection activeCell="G20" sqref="G20"/>
    </sheetView>
  </sheetViews>
  <sheetFormatPr defaultColWidth="0" defaultRowHeight="15" customHeight="1" zeroHeight="1" x14ac:dyDescent="0.25"/>
  <cols>
    <col min="1" max="1" width="1.7109375" style="2" customWidth="1"/>
    <col min="2" max="2" width="9.85546875" style="2" bestFit="1" customWidth="1"/>
    <col min="3" max="3" width="7.28515625" style="2" customWidth="1"/>
    <col min="4" max="4" width="5.85546875" style="2" customWidth="1"/>
    <col min="5" max="5" width="46.5703125" style="2" bestFit="1" customWidth="1"/>
    <col min="6" max="6" width="15.7109375" style="2" bestFit="1" customWidth="1"/>
    <col min="7" max="7" width="13.140625" style="2" bestFit="1" customWidth="1"/>
    <col min="8" max="8" width="16.28515625" style="2" bestFit="1" customWidth="1"/>
    <col min="9" max="9" width="1.7109375" style="2" customWidth="1"/>
    <col min="10" max="19" width="9.140625" style="2" hidden="1" customWidth="1"/>
    <col min="20" max="33" width="0" style="2" hidden="1" customWidth="1"/>
    <col min="34" max="16384" width="9.140625" style="2" hidden="1"/>
  </cols>
  <sheetData>
    <row r="1" spans="2:8" ht="9" customHeight="1" x14ac:dyDescent="0.25"/>
    <row r="2" spans="2:8" ht="34.5" customHeight="1" x14ac:dyDescent="0.25"/>
    <row r="3" spans="2:8" x14ac:dyDescent="0.25"/>
    <row r="4" spans="2:8" x14ac:dyDescent="0.25"/>
    <row r="5" spans="2:8" x14ac:dyDescent="0.25">
      <c r="B5" s="23" t="s">
        <v>0</v>
      </c>
      <c r="C5" s="548" t="str">
        <f>'Qd abrang'!C4</f>
        <v>Contratação de Projeto Executivo de Engenharia para Implantação do Aeródromo no município de Nova Andradina</v>
      </c>
      <c r="D5" s="548"/>
      <c r="E5" s="548"/>
      <c r="F5" s="548"/>
      <c r="G5" s="548"/>
      <c r="H5" s="548"/>
    </row>
    <row r="6" spans="2:8" x14ac:dyDescent="0.25">
      <c r="B6" s="5" t="s">
        <v>862</v>
      </c>
      <c r="C6" s="1" t="str">
        <f>'Qd abrang'!C5</f>
        <v>Nova Andradina/MS</v>
      </c>
    </row>
    <row r="7" spans="2:8" x14ac:dyDescent="0.25">
      <c r="B7" s="5" t="s">
        <v>863</v>
      </c>
      <c r="C7" s="1" t="str">
        <f>'Qd abrang'!C6</f>
        <v>Nova Andradina/MS</v>
      </c>
    </row>
    <row r="8" spans="2:8" x14ac:dyDescent="0.25">
      <c r="B8" s="5" t="s">
        <v>1</v>
      </c>
      <c r="C8" s="239">
        <f>'Qd abrang'!C7</f>
        <v>1.7</v>
      </c>
      <c r="D8" s="2" t="s">
        <v>13</v>
      </c>
      <c r="E8" s="2" t="s">
        <v>1137</v>
      </c>
      <c r="G8" s="5" t="s">
        <v>16</v>
      </c>
      <c r="H8" s="6" t="str">
        <f>'Qd abrang'!N7</f>
        <v>79.010.182-2025</v>
      </c>
    </row>
    <row r="9" spans="2:8" x14ac:dyDescent="0.25">
      <c r="B9" s="5" t="s">
        <v>2</v>
      </c>
      <c r="C9" s="264">
        <f>'Qd abrang'!C8</f>
        <v>365</v>
      </c>
      <c r="D9" s="2" t="s">
        <v>4</v>
      </c>
      <c r="G9" s="5" t="s">
        <v>17</v>
      </c>
      <c r="H9" s="265">
        <f>'Qd abrang'!N8</f>
        <v>45748</v>
      </c>
    </row>
    <row r="10" spans="2:8" x14ac:dyDescent="0.25"/>
    <row r="11" spans="2:8" s="11" customFormat="1" ht="21" x14ac:dyDescent="0.25">
      <c r="E11" s="547" t="s">
        <v>203</v>
      </c>
      <c r="F11" s="547"/>
      <c r="G11" s="547"/>
    </row>
    <row r="12" spans="2:8" ht="15" customHeight="1" x14ac:dyDescent="0.25"/>
    <row r="13" spans="2:8" ht="30" customHeight="1" x14ac:dyDescent="0.25">
      <c r="E13" s="14" t="s">
        <v>204</v>
      </c>
      <c r="F13" s="9" t="s">
        <v>1019</v>
      </c>
      <c r="G13" s="9" t="s">
        <v>205</v>
      </c>
    </row>
    <row r="14" spans="2:8" ht="15" customHeight="1" x14ac:dyDescent="0.25">
      <c r="E14" s="7" t="s">
        <v>206</v>
      </c>
      <c r="F14" s="295">
        <f t="shared" ref="F14:F31" si="0">1/G14</f>
        <v>0.5</v>
      </c>
      <c r="G14" s="187">
        <f>'Memo calc'!D25</f>
        <v>2</v>
      </c>
    </row>
    <row r="15" spans="2:8" ht="15" customHeight="1" x14ac:dyDescent="0.25">
      <c r="E15" s="7" t="s">
        <v>207</v>
      </c>
      <c r="F15" s="377">
        <f t="shared" si="0"/>
        <v>0.33333333333333331</v>
      </c>
      <c r="G15" s="32">
        <f>'Memo calc'!K70</f>
        <v>3</v>
      </c>
    </row>
    <row r="16" spans="2:8" ht="15" customHeight="1" x14ac:dyDescent="0.25">
      <c r="E16" s="7" t="s">
        <v>209</v>
      </c>
      <c r="F16" s="377">
        <f t="shared" si="0"/>
        <v>0.5</v>
      </c>
      <c r="G16" s="40">
        <f>'Memo calc'!H197</f>
        <v>2</v>
      </c>
    </row>
    <row r="17" spans="5:7" ht="15" customHeight="1" x14ac:dyDescent="0.25">
      <c r="E17" s="7" t="s">
        <v>210</v>
      </c>
      <c r="F17" s="377">
        <f t="shared" si="0"/>
        <v>0.5</v>
      </c>
      <c r="G17" s="40">
        <f>'Memo calc'!H241</f>
        <v>2</v>
      </c>
    </row>
    <row r="18" spans="5:7" ht="15" customHeight="1" x14ac:dyDescent="0.25">
      <c r="E18" s="7" t="s">
        <v>208</v>
      </c>
      <c r="F18" s="377">
        <f t="shared" si="0"/>
        <v>1</v>
      </c>
      <c r="G18" s="32">
        <f>'Memo calc'!F283</f>
        <v>1</v>
      </c>
    </row>
    <row r="19" spans="5:7" ht="15" customHeight="1" x14ac:dyDescent="0.25">
      <c r="E19" s="7" t="s">
        <v>211</v>
      </c>
      <c r="F19" s="377">
        <f t="shared" si="0"/>
        <v>0.2</v>
      </c>
      <c r="G19" s="40">
        <f>'Memo calc'!G406</f>
        <v>5</v>
      </c>
    </row>
    <row r="20" spans="5:7" ht="15" customHeight="1" x14ac:dyDescent="0.25">
      <c r="E20" s="433" t="s">
        <v>1225</v>
      </c>
      <c r="F20" s="435">
        <f>0.8*2</f>
        <v>1.6</v>
      </c>
      <c r="G20" s="435">
        <f>F20*1.3</f>
        <v>2.08</v>
      </c>
    </row>
    <row r="21" spans="5:7" ht="15" customHeight="1" x14ac:dyDescent="0.25">
      <c r="E21" s="7" t="s">
        <v>212</v>
      </c>
      <c r="F21" s="377">
        <f t="shared" si="0"/>
        <v>6.25E-2</v>
      </c>
      <c r="G21" s="102">
        <f>ROUNDUP('Memo calc'!H1022+'Memo calc'!H1023+'Memo calc'!J1026,0)</f>
        <v>16</v>
      </c>
    </row>
    <row r="22" spans="5:7" ht="15" customHeight="1" x14ac:dyDescent="0.25">
      <c r="E22" s="7" t="s">
        <v>213</v>
      </c>
      <c r="F22" s="377">
        <f t="shared" si="0"/>
        <v>0.1111111111111111</v>
      </c>
      <c r="G22" s="102">
        <f>ROUNDUP('Memo calc'!M1168,0)</f>
        <v>9</v>
      </c>
    </row>
    <row r="23" spans="5:7" ht="15" customHeight="1" x14ac:dyDescent="0.25">
      <c r="E23" s="7" t="s">
        <v>214</v>
      </c>
      <c r="F23" s="377">
        <f t="shared" si="0"/>
        <v>6.6666666666666666E-2</v>
      </c>
      <c r="G23" s="102">
        <f>ROUNDUP('Memo calc'!M1214,0)</f>
        <v>15</v>
      </c>
    </row>
    <row r="24" spans="5:7" ht="15" customHeight="1" x14ac:dyDescent="0.25">
      <c r="E24" s="7" t="s">
        <v>215</v>
      </c>
      <c r="F24" s="377">
        <f t="shared" si="0"/>
        <v>6.6666666666666666E-2</v>
      </c>
      <c r="G24" s="102">
        <f>ROUNDUP('Memo calc'!M1260,0)</f>
        <v>15</v>
      </c>
    </row>
    <row r="25" spans="5:7" ht="15" customHeight="1" x14ac:dyDescent="0.25">
      <c r="E25" s="7" t="s">
        <v>216</v>
      </c>
      <c r="F25" s="377">
        <f t="shared" si="0"/>
        <v>0.1111111111111111</v>
      </c>
      <c r="G25" s="102">
        <f>ROUNDUP('Memo calc'!M1306,0)</f>
        <v>9</v>
      </c>
    </row>
    <row r="26" spans="5:7" ht="15" customHeight="1" x14ac:dyDescent="0.25">
      <c r="E26" s="7" t="s">
        <v>217</v>
      </c>
      <c r="F26" s="377">
        <f t="shared" si="0"/>
        <v>0.14285714285714285</v>
      </c>
      <c r="G26" s="102">
        <f>ROUNDUP('Memo calc'!M1352,0)</f>
        <v>7</v>
      </c>
    </row>
    <row r="27" spans="5:7" ht="15" customHeight="1" x14ac:dyDescent="0.25">
      <c r="E27" s="7" t="s">
        <v>218</v>
      </c>
      <c r="F27" s="377">
        <f t="shared" si="0"/>
        <v>0.1</v>
      </c>
      <c r="G27" s="102">
        <f>ROUNDUP('Memo calc'!N1398,0)</f>
        <v>10</v>
      </c>
    </row>
    <row r="28" spans="5:7" ht="15" customHeight="1" x14ac:dyDescent="0.25">
      <c r="E28" s="7" t="s">
        <v>219</v>
      </c>
      <c r="F28" s="377">
        <f t="shared" si="0"/>
        <v>0.33333333333333331</v>
      </c>
      <c r="G28" s="102">
        <f>ROUNDUP('Memo calc'!O1441,0)</f>
        <v>3</v>
      </c>
    </row>
    <row r="29" spans="5:7" ht="15" customHeight="1" x14ac:dyDescent="0.25">
      <c r="E29" s="7" t="s">
        <v>220</v>
      </c>
      <c r="F29" s="377">
        <f t="shared" si="0"/>
        <v>0.5</v>
      </c>
      <c r="G29" s="102">
        <f>ROUNDUP('Memo calc'!O1490,0)</f>
        <v>2</v>
      </c>
    </row>
    <row r="30" spans="5:7" ht="15" customHeight="1" x14ac:dyDescent="0.25">
      <c r="E30" s="7" t="s">
        <v>221</v>
      </c>
      <c r="F30" s="377">
        <f t="shared" si="0"/>
        <v>0.14285714285714285</v>
      </c>
      <c r="G30" s="102">
        <f>ROUNDUP('Memo calc'!M1536,0)</f>
        <v>7</v>
      </c>
    </row>
    <row r="31" spans="5:7" ht="15" customHeight="1" x14ac:dyDescent="0.25">
      <c r="E31" s="219" t="s">
        <v>925</v>
      </c>
      <c r="F31" s="377">
        <f t="shared" si="0"/>
        <v>0.16666666666666666</v>
      </c>
      <c r="G31" s="223">
        <f>ROUNDUP('Memo calc'!J1581,0)</f>
        <v>6</v>
      </c>
    </row>
    <row r="32" spans="5:7" ht="9" customHeight="1" x14ac:dyDescent="0.25">
      <c r="G32" s="238"/>
    </row>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customHeight="1" x14ac:dyDescent="0.25"/>
    <row r="45" ht="15" customHeight="1" x14ac:dyDescent="0.25"/>
    <row r="46" ht="15" customHeight="1" x14ac:dyDescent="0.25"/>
  </sheetData>
  <mergeCells count="2">
    <mergeCell ref="E11:G11"/>
    <mergeCell ref="C5:H5"/>
  </mergeCells>
  <pageMargins left="0.511811024" right="0.511811024" top="0.78740157499999996" bottom="0.78740157499999996" header="0.31496062000000002" footer="0.31496062000000002"/>
  <pageSetup paperSize="9" scale="7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6">
    <tabColor theme="9"/>
    <pageSetUpPr fitToPage="1"/>
  </sheetPr>
  <dimension ref="B1:Q94"/>
  <sheetViews>
    <sheetView view="pageBreakPreview" zoomScaleNormal="100" zoomScaleSheetLayoutView="100" workbookViewId="0">
      <selection activeCell="K26" sqref="K26"/>
    </sheetView>
  </sheetViews>
  <sheetFormatPr defaultRowHeight="15" x14ac:dyDescent="0.25"/>
  <cols>
    <col min="1" max="1" width="1.7109375" customWidth="1"/>
    <col min="2" max="2" width="9.85546875" customWidth="1"/>
    <col min="3" max="3" width="5.85546875" customWidth="1"/>
    <col min="6" max="6" width="10" customWidth="1"/>
    <col min="7" max="7" width="17.28515625" customWidth="1"/>
    <col min="8" max="8" width="19.7109375" customWidth="1"/>
    <col min="9" max="9" width="12.7109375" customWidth="1"/>
    <col min="10" max="10" width="17.140625" customWidth="1"/>
  </cols>
  <sheetData>
    <row r="1" spans="2:17" s="2" customFormat="1" ht="9" customHeight="1" x14ac:dyDescent="0.25"/>
    <row r="2" spans="2:17" s="2" customFormat="1" ht="34.5" customHeight="1" x14ac:dyDescent="0.25"/>
    <row r="3" spans="2:17" s="2" customFormat="1" ht="15" customHeight="1" x14ac:dyDescent="0.25"/>
    <row r="4" spans="2:17" s="2" customFormat="1" ht="15" customHeight="1" x14ac:dyDescent="0.25"/>
    <row r="5" spans="2:17" s="2" customFormat="1" x14ac:dyDescent="0.25">
      <c r="B5" s="23" t="s">
        <v>0</v>
      </c>
      <c r="C5" s="548" t="str">
        <f>'Qd abrang'!C4</f>
        <v>Contratação de Projeto Executivo de Engenharia para Implantação do Aeródromo no município de Nova Andradina</v>
      </c>
      <c r="D5" s="548"/>
      <c r="E5" s="548"/>
      <c r="F5" s="548"/>
      <c r="G5" s="548"/>
      <c r="H5" s="548"/>
      <c r="I5" s="548"/>
      <c r="J5" s="548"/>
    </row>
    <row r="6" spans="2:17" s="2" customFormat="1" x14ac:dyDescent="0.25">
      <c r="B6" s="5" t="s">
        <v>862</v>
      </c>
      <c r="C6" s="1" t="str">
        <f>'Qd abrang'!C5</f>
        <v>Nova Andradina/MS</v>
      </c>
    </row>
    <row r="7" spans="2:17" s="2" customFormat="1" x14ac:dyDescent="0.25">
      <c r="B7" s="5" t="s">
        <v>863</v>
      </c>
      <c r="C7" s="1" t="str">
        <f>'Qd abrang'!C6</f>
        <v>Nova Andradina/MS</v>
      </c>
    </row>
    <row r="8" spans="2:17" s="2" customFormat="1" x14ac:dyDescent="0.25">
      <c r="B8" s="5" t="s">
        <v>1</v>
      </c>
      <c r="C8" s="239">
        <f>'Qd abrang'!C7</f>
        <v>1.7</v>
      </c>
      <c r="D8" s="2" t="s">
        <v>13</v>
      </c>
      <c r="I8" s="5" t="s">
        <v>16</v>
      </c>
      <c r="J8" s="6" t="str">
        <f>'Qd abrang'!N7</f>
        <v>79.010.182-2025</v>
      </c>
    </row>
    <row r="9" spans="2:17" s="2" customFormat="1" x14ac:dyDescent="0.25">
      <c r="B9" s="5" t="s">
        <v>2</v>
      </c>
      <c r="C9" s="264">
        <f>'Qd abrang'!C8</f>
        <v>365</v>
      </c>
      <c r="D9" s="2" t="s">
        <v>4</v>
      </c>
      <c r="I9" s="5" t="s">
        <v>17</v>
      </c>
      <c r="J9" s="265">
        <f>'Qd abrang'!N8</f>
        <v>45748</v>
      </c>
    </row>
    <row r="10" spans="2:17" s="2" customFormat="1" ht="15" customHeight="1" x14ac:dyDescent="0.25"/>
    <row r="11" spans="2:17" ht="21" x14ac:dyDescent="0.25">
      <c r="B11" s="547" t="s">
        <v>787</v>
      </c>
      <c r="C11" s="547"/>
      <c r="D11" s="547"/>
      <c r="E11" s="547"/>
      <c r="F11" s="547"/>
      <c r="G11" s="547"/>
      <c r="H11" s="547"/>
      <c r="I11" s="547"/>
      <c r="J11" s="547"/>
      <c r="K11" s="547"/>
      <c r="L11" s="547"/>
      <c r="M11" s="547"/>
      <c r="N11" s="11"/>
      <c r="O11" s="11"/>
      <c r="P11" s="11"/>
      <c r="Q11" s="11"/>
    </row>
    <row r="12" spans="2:17" x14ac:dyDescent="0.25">
      <c r="B12" s="2"/>
      <c r="C12" s="2"/>
      <c r="D12" s="2"/>
      <c r="E12" s="2"/>
      <c r="F12" s="2"/>
      <c r="G12" s="2"/>
      <c r="H12" s="2"/>
      <c r="I12" s="2"/>
      <c r="J12" s="2"/>
      <c r="K12" s="2"/>
      <c r="L12" s="2"/>
      <c r="M12" s="2"/>
      <c r="N12" s="2"/>
      <c r="O12" s="2"/>
      <c r="P12" s="2"/>
      <c r="Q12" s="2"/>
    </row>
    <row r="13" spans="2:17" ht="17.25" x14ac:dyDescent="0.25">
      <c r="B13" s="164" t="s">
        <v>788</v>
      </c>
      <c r="C13" s="2"/>
      <c r="D13" s="2"/>
      <c r="E13" s="2"/>
      <c r="F13" s="2"/>
      <c r="G13" s="2"/>
      <c r="H13" s="2"/>
      <c r="I13" s="2"/>
      <c r="J13" s="2"/>
      <c r="K13" s="2"/>
      <c r="L13" s="2"/>
      <c r="M13" s="2"/>
      <c r="N13" s="2"/>
      <c r="O13" s="2"/>
      <c r="P13" s="2"/>
      <c r="Q13" s="2"/>
    </row>
    <row r="14" spans="2:17" x14ac:dyDescent="0.25">
      <c r="B14" s="159" t="s">
        <v>789</v>
      </c>
      <c r="C14" s="563" t="s">
        <v>790</v>
      </c>
      <c r="D14" s="563"/>
      <c r="E14" s="159" t="s">
        <v>791</v>
      </c>
      <c r="F14" s="159" t="s">
        <v>792</v>
      </c>
      <c r="G14" s="159" t="s">
        <v>793</v>
      </c>
      <c r="H14" s="159" t="s">
        <v>794</v>
      </c>
      <c r="I14" s="563" t="s">
        <v>795</v>
      </c>
      <c r="J14" s="563"/>
      <c r="K14" s="2"/>
      <c r="L14" s="2"/>
      <c r="M14" s="2"/>
      <c r="N14" s="2"/>
      <c r="O14" s="2"/>
      <c r="P14" s="2"/>
      <c r="Q14" s="2"/>
    </row>
    <row r="15" spans="2:17" x14ac:dyDescent="0.25">
      <c r="B15" s="10" t="s">
        <v>796</v>
      </c>
      <c r="C15" s="605">
        <v>0</v>
      </c>
      <c r="D15" s="605"/>
      <c r="E15" s="165">
        <v>0</v>
      </c>
      <c r="F15" s="165">
        <v>0</v>
      </c>
      <c r="G15" s="165">
        <v>0</v>
      </c>
      <c r="H15" s="166">
        <f>MAX(C15:G15)</f>
        <v>0</v>
      </c>
      <c r="I15" s="31">
        <v>1</v>
      </c>
      <c r="J15" s="71" t="s">
        <v>198</v>
      </c>
      <c r="K15" s="2"/>
      <c r="L15" s="3"/>
      <c r="M15" s="2"/>
      <c r="N15" s="2"/>
      <c r="O15" s="2"/>
      <c r="P15" s="2"/>
      <c r="Q15" s="2"/>
    </row>
    <row r="16" spans="2:17" x14ac:dyDescent="0.25">
      <c r="B16" s="10" t="s">
        <v>797</v>
      </c>
      <c r="C16" s="605">
        <v>0</v>
      </c>
      <c r="D16" s="605"/>
      <c r="E16" s="165">
        <v>0</v>
      </c>
      <c r="F16" s="165">
        <v>0</v>
      </c>
      <c r="G16" s="165">
        <v>0</v>
      </c>
      <c r="H16" s="166">
        <f>1-(H15+H17)</f>
        <v>0</v>
      </c>
      <c r="I16" s="31">
        <v>2</v>
      </c>
      <c r="J16" s="71" t="s">
        <v>198</v>
      </c>
      <c r="K16" s="2"/>
      <c r="L16" s="3"/>
      <c r="M16" s="2"/>
      <c r="N16" s="2"/>
      <c r="O16" s="2"/>
      <c r="P16" s="2"/>
      <c r="Q16" s="2"/>
    </row>
    <row r="17" spans="2:17" x14ac:dyDescent="0.25">
      <c r="B17" s="10" t="s">
        <v>798</v>
      </c>
      <c r="C17" s="605">
        <v>1</v>
      </c>
      <c r="D17" s="605"/>
      <c r="E17" s="165">
        <v>1</v>
      </c>
      <c r="F17" s="165">
        <v>1</v>
      </c>
      <c r="G17" s="165">
        <v>1</v>
      </c>
      <c r="H17" s="166">
        <f>MIN(C17:G17)</f>
        <v>1</v>
      </c>
      <c r="I17" s="31">
        <v>3</v>
      </c>
      <c r="J17" s="71" t="s">
        <v>198</v>
      </c>
      <c r="K17" s="2"/>
      <c r="L17" s="3"/>
      <c r="M17" s="2"/>
      <c r="N17" s="2"/>
      <c r="O17" s="2"/>
      <c r="P17" s="2"/>
      <c r="Q17" s="2"/>
    </row>
    <row r="18" spans="2:17" x14ac:dyDescent="0.25">
      <c r="B18" s="2"/>
      <c r="C18" s="606">
        <f>SUM(C15:D17)</f>
        <v>1</v>
      </c>
      <c r="D18" s="606"/>
      <c r="E18" s="167">
        <f>SUM(E15:E17)</f>
        <v>1</v>
      </c>
      <c r="F18" s="167">
        <f>SUM(F15:F17)</f>
        <v>1</v>
      </c>
      <c r="G18" s="167">
        <f>SUM(G15:G17)</f>
        <v>1</v>
      </c>
      <c r="H18" s="167">
        <f>SUM(H15:H17)</f>
        <v>1</v>
      </c>
      <c r="I18" s="168">
        <f>H15*I15+H16*I16+H17*I17</f>
        <v>3</v>
      </c>
      <c r="J18" s="169" t="s">
        <v>198</v>
      </c>
      <c r="K18" s="2"/>
      <c r="L18" s="2"/>
      <c r="M18" s="2"/>
      <c r="N18" s="2"/>
      <c r="O18" s="2"/>
      <c r="P18" s="2"/>
      <c r="Q18" s="2"/>
    </row>
    <row r="19" spans="2:17" x14ac:dyDescent="0.25">
      <c r="B19" s="2"/>
      <c r="C19" s="2"/>
      <c r="D19" s="2"/>
      <c r="E19" s="2"/>
      <c r="F19" s="2"/>
      <c r="G19" s="2"/>
      <c r="H19" s="2"/>
      <c r="I19" s="2"/>
      <c r="J19" s="2"/>
      <c r="K19" s="2"/>
      <c r="L19" s="2"/>
      <c r="M19" s="2"/>
      <c r="N19" s="2"/>
      <c r="O19" s="2"/>
      <c r="P19" s="2"/>
      <c r="Q19" s="2"/>
    </row>
    <row r="20" spans="2:17" ht="17.25" x14ac:dyDescent="0.25">
      <c r="B20" s="164" t="s">
        <v>799</v>
      </c>
      <c r="C20" s="2"/>
      <c r="D20" s="2"/>
      <c r="E20" s="2"/>
      <c r="F20" s="2"/>
      <c r="G20" s="2"/>
      <c r="H20" s="2"/>
      <c r="I20" s="2"/>
      <c r="J20" s="2"/>
      <c r="K20" s="2"/>
      <c r="L20" s="2"/>
      <c r="M20" s="2"/>
      <c r="N20" s="2"/>
      <c r="O20" s="2"/>
      <c r="P20" s="2"/>
      <c r="Q20" s="2"/>
    </row>
    <row r="21" spans="2:17" ht="30" x14ac:dyDescent="0.25">
      <c r="B21" s="159" t="s">
        <v>789</v>
      </c>
      <c r="C21" s="562" t="s">
        <v>800</v>
      </c>
      <c r="D21" s="562"/>
      <c r="E21" s="158" t="s">
        <v>801</v>
      </c>
      <c r="F21" s="159" t="s">
        <v>792</v>
      </c>
      <c r="G21" s="159" t="s">
        <v>793</v>
      </c>
      <c r="H21" s="159" t="s">
        <v>794</v>
      </c>
      <c r="I21" s="563" t="s">
        <v>795</v>
      </c>
      <c r="J21" s="563"/>
      <c r="K21" s="2"/>
      <c r="L21" s="2"/>
      <c r="M21" s="2"/>
      <c r="N21" s="2"/>
      <c r="O21" s="2"/>
      <c r="P21" s="2"/>
      <c r="Q21" s="2"/>
    </row>
    <row r="22" spans="2:17" x14ac:dyDescent="0.25">
      <c r="B22" s="162" t="s">
        <v>796</v>
      </c>
      <c r="C22" s="605">
        <v>0</v>
      </c>
      <c r="D22" s="605"/>
      <c r="E22" s="165">
        <v>0</v>
      </c>
      <c r="F22" s="165">
        <v>0</v>
      </c>
      <c r="G22" s="165">
        <v>0</v>
      </c>
      <c r="H22" s="166">
        <f>MAX(C22:G22)</f>
        <v>0</v>
      </c>
      <c r="I22" s="31">
        <v>5</v>
      </c>
      <c r="J22" s="71" t="s">
        <v>802</v>
      </c>
      <c r="K22" s="2"/>
      <c r="L22" s="2"/>
      <c r="M22" s="2"/>
      <c r="N22" s="2"/>
      <c r="O22" s="2"/>
      <c r="P22" s="2"/>
      <c r="Q22" s="2"/>
    </row>
    <row r="23" spans="2:17" x14ac:dyDescent="0.25">
      <c r="B23" s="162" t="s">
        <v>797</v>
      </c>
      <c r="C23" s="605">
        <v>0</v>
      </c>
      <c r="D23" s="605"/>
      <c r="E23" s="165">
        <v>0</v>
      </c>
      <c r="F23" s="165">
        <v>0</v>
      </c>
      <c r="G23" s="165">
        <v>0</v>
      </c>
      <c r="H23" s="166">
        <f>1-(H22+H24)</f>
        <v>0</v>
      </c>
      <c r="I23" s="31">
        <v>10</v>
      </c>
      <c r="J23" s="71" t="s">
        <v>802</v>
      </c>
      <c r="K23" s="2"/>
      <c r="L23" s="2"/>
      <c r="M23" s="2"/>
      <c r="N23" s="2"/>
      <c r="O23" s="2"/>
      <c r="P23" s="2"/>
      <c r="Q23" s="2"/>
    </row>
    <row r="24" spans="2:17" x14ac:dyDescent="0.25">
      <c r="B24" s="162" t="s">
        <v>798</v>
      </c>
      <c r="C24" s="605">
        <v>1</v>
      </c>
      <c r="D24" s="605"/>
      <c r="E24" s="165">
        <v>1</v>
      </c>
      <c r="F24" s="165">
        <v>1</v>
      </c>
      <c r="G24" s="165">
        <v>1</v>
      </c>
      <c r="H24" s="166">
        <f>MIN(C24:G24)</f>
        <v>1</v>
      </c>
      <c r="I24" s="31">
        <v>15</v>
      </c>
      <c r="J24" s="71" t="s">
        <v>802</v>
      </c>
      <c r="K24" s="2"/>
      <c r="L24" s="2"/>
      <c r="M24" s="2"/>
      <c r="N24" s="2"/>
      <c r="O24" s="2"/>
      <c r="P24" s="2"/>
      <c r="Q24" s="2"/>
    </row>
    <row r="25" spans="2:17" x14ac:dyDescent="0.25">
      <c r="B25" s="2"/>
      <c r="C25" s="606">
        <f>SUM(C22:D24)</f>
        <v>1</v>
      </c>
      <c r="D25" s="606"/>
      <c r="E25" s="167">
        <f>SUM(E22:E24)</f>
        <v>1</v>
      </c>
      <c r="F25" s="167">
        <f>SUM(F22:F24)</f>
        <v>1</v>
      </c>
      <c r="G25" s="167">
        <f>SUM(G22:G24)</f>
        <v>1</v>
      </c>
      <c r="H25" s="167">
        <f>SUM(H22:H24)</f>
        <v>1</v>
      </c>
      <c r="I25" s="168">
        <f>H22*I22+H23*I23+H24*I24</f>
        <v>15</v>
      </c>
      <c r="J25" s="169" t="s">
        <v>802</v>
      </c>
      <c r="K25" s="2"/>
      <c r="L25" s="2"/>
      <c r="M25" s="2"/>
      <c r="N25" s="2"/>
      <c r="O25" s="2"/>
      <c r="P25" s="2"/>
      <c r="Q25" s="2"/>
    </row>
    <row r="26" spans="2:17" x14ac:dyDescent="0.25">
      <c r="B26" s="2"/>
      <c r="C26" s="2"/>
      <c r="D26" s="2"/>
      <c r="E26" s="2"/>
      <c r="F26" s="2"/>
      <c r="G26" s="2"/>
      <c r="H26" s="2"/>
      <c r="I26" s="2"/>
      <c r="J26" s="2"/>
      <c r="K26" s="2"/>
      <c r="L26" s="2"/>
      <c r="M26" s="2"/>
      <c r="N26" s="2"/>
      <c r="O26" s="2"/>
      <c r="P26" s="2"/>
      <c r="Q26" s="2"/>
    </row>
    <row r="27" spans="2:17" ht="17.25" x14ac:dyDescent="0.25">
      <c r="B27" s="164" t="s">
        <v>1209</v>
      </c>
      <c r="C27" s="2"/>
      <c r="D27" s="2"/>
      <c r="E27" s="2"/>
      <c r="F27" s="2"/>
      <c r="G27" s="2"/>
      <c r="H27" s="2"/>
      <c r="I27" s="2"/>
      <c r="J27" s="2"/>
      <c r="K27" s="2"/>
      <c r="L27" s="2"/>
      <c r="M27" s="2"/>
      <c r="N27" s="2"/>
      <c r="O27" s="2"/>
      <c r="P27" s="2"/>
      <c r="Q27" s="2"/>
    </row>
    <row r="28" spans="2:17" x14ac:dyDescent="0.25">
      <c r="B28" s="159" t="s">
        <v>789</v>
      </c>
      <c r="C28" s="563" t="s">
        <v>15</v>
      </c>
      <c r="D28" s="563"/>
      <c r="E28" s="563"/>
      <c r="F28" s="563"/>
      <c r="G28" s="159" t="s">
        <v>803</v>
      </c>
      <c r="H28" s="159" t="s">
        <v>804</v>
      </c>
      <c r="I28" s="159" t="s">
        <v>199</v>
      </c>
      <c r="J28" s="2"/>
      <c r="K28" s="2"/>
      <c r="L28" s="2"/>
      <c r="M28" s="2"/>
      <c r="N28" s="2"/>
      <c r="O28" s="2"/>
      <c r="P28" s="2"/>
      <c r="Q28" s="2"/>
    </row>
    <row r="29" spans="2:17" x14ac:dyDescent="0.25">
      <c r="B29" s="10" t="s">
        <v>796</v>
      </c>
      <c r="C29" s="160" t="s">
        <v>805</v>
      </c>
      <c r="D29" s="15"/>
      <c r="E29" s="15"/>
      <c r="F29" s="161"/>
      <c r="G29" s="31">
        <v>3</v>
      </c>
      <c r="H29" s="71">
        <v>0</v>
      </c>
      <c r="I29" s="31">
        <f>G29*H29</f>
        <v>0</v>
      </c>
      <c r="J29" s="2"/>
      <c r="K29" s="2"/>
      <c r="L29" s="2"/>
      <c r="M29" s="2"/>
      <c r="N29" s="2"/>
      <c r="O29" s="2"/>
      <c r="P29" s="2"/>
      <c r="Q29" s="2"/>
    </row>
    <row r="30" spans="2:17" x14ac:dyDescent="0.25">
      <c r="B30" s="10" t="s">
        <v>797</v>
      </c>
      <c r="C30" s="160" t="s">
        <v>806</v>
      </c>
      <c r="D30" s="15"/>
      <c r="E30" s="15"/>
      <c r="F30" s="161"/>
      <c r="G30" s="31">
        <v>2.5</v>
      </c>
      <c r="H30" s="71">
        <v>0</v>
      </c>
      <c r="I30" s="31">
        <f>G30*H30</f>
        <v>0</v>
      </c>
      <c r="J30" s="2"/>
      <c r="K30" s="2"/>
      <c r="L30" s="2"/>
      <c r="M30" s="2"/>
      <c r="N30" s="2"/>
      <c r="O30" s="2"/>
      <c r="P30" s="2"/>
      <c r="Q30" s="2"/>
    </row>
    <row r="31" spans="2:17" x14ac:dyDescent="0.25">
      <c r="B31" s="10" t="s">
        <v>798</v>
      </c>
      <c r="C31" s="160" t="s">
        <v>1129</v>
      </c>
      <c r="D31" s="15"/>
      <c r="E31" s="15"/>
      <c r="F31" s="161"/>
      <c r="G31" s="31">
        <v>1.5</v>
      </c>
      <c r="H31" s="71">
        <f>(1000/300)*3</f>
        <v>10</v>
      </c>
      <c r="I31" s="31">
        <f>G31*H31</f>
        <v>15</v>
      </c>
      <c r="J31" s="2"/>
      <c r="K31" s="2"/>
      <c r="L31" s="2"/>
      <c r="M31" s="2"/>
      <c r="N31" s="2"/>
      <c r="O31" s="2"/>
      <c r="P31" s="2"/>
      <c r="Q31" s="2"/>
    </row>
    <row r="32" spans="2:17" x14ac:dyDescent="0.25">
      <c r="B32" s="2"/>
      <c r="C32" s="2"/>
      <c r="D32" s="2"/>
      <c r="E32" s="2"/>
      <c r="F32" s="2"/>
      <c r="G32" s="2"/>
      <c r="H32" s="169">
        <f>SUM(H29:H31)</f>
        <v>10</v>
      </c>
      <c r="I32" s="168">
        <f>SUM(I29:I31)</f>
        <v>15</v>
      </c>
      <c r="J32" s="2"/>
      <c r="K32" s="2"/>
      <c r="L32" s="2"/>
      <c r="M32" s="2"/>
      <c r="N32" s="2"/>
      <c r="O32" s="2"/>
      <c r="P32" s="2"/>
      <c r="Q32" s="2"/>
    </row>
    <row r="33" spans="2:17" x14ac:dyDescent="0.25">
      <c r="B33" s="2"/>
      <c r="C33" s="2"/>
      <c r="D33" s="2"/>
      <c r="E33" s="2"/>
      <c r="F33" s="2"/>
      <c r="G33" s="2"/>
      <c r="H33" s="2"/>
      <c r="I33" s="2"/>
      <c r="J33" s="2"/>
      <c r="K33" s="2"/>
      <c r="L33" s="2"/>
      <c r="M33" s="2"/>
      <c r="N33" s="2"/>
      <c r="O33" s="2"/>
      <c r="P33" s="2"/>
      <c r="Q33" s="2"/>
    </row>
    <row r="34" spans="2:17" ht="17.25" x14ac:dyDescent="0.25">
      <c r="B34" s="164" t="s">
        <v>1208</v>
      </c>
      <c r="C34" s="2"/>
      <c r="D34" s="2"/>
      <c r="E34" s="2"/>
      <c r="F34" s="2"/>
      <c r="G34" s="2"/>
      <c r="H34" s="2"/>
      <c r="I34" s="2"/>
      <c r="J34" s="2"/>
      <c r="K34" s="2"/>
      <c r="L34" s="2"/>
      <c r="M34" s="2"/>
      <c r="N34" s="2"/>
      <c r="O34" s="2"/>
      <c r="P34" s="2"/>
      <c r="Q34" s="2"/>
    </row>
    <row r="35" spans="2:17" x14ac:dyDescent="0.25">
      <c r="B35" s="412" t="s">
        <v>789</v>
      </c>
      <c r="C35" s="563" t="s">
        <v>15</v>
      </c>
      <c r="D35" s="563"/>
      <c r="E35" s="563"/>
      <c r="F35" s="563"/>
      <c r="G35" s="412" t="s">
        <v>803</v>
      </c>
      <c r="H35" s="412" t="s">
        <v>804</v>
      </c>
      <c r="I35" s="412" t="s">
        <v>199</v>
      </c>
      <c r="J35" s="2"/>
      <c r="K35" s="2"/>
      <c r="L35" s="2"/>
      <c r="M35" s="2"/>
      <c r="N35" s="2"/>
      <c r="O35" s="2"/>
      <c r="P35" s="2"/>
      <c r="Q35" s="2"/>
    </row>
    <row r="36" spans="2:17" x14ac:dyDescent="0.25">
      <c r="B36" s="10" t="s">
        <v>796</v>
      </c>
      <c r="C36" s="416" t="s">
        <v>805</v>
      </c>
      <c r="D36" s="15"/>
      <c r="E36" s="15"/>
      <c r="F36" s="417"/>
      <c r="G36" s="31">
        <v>0</v>
      </c>
      <c r="H36" s="410">
        <v>0</v>
      </c>
      <c r="I36" s="31">
        <f>G36*H36</f>
        <v>0</v>
      </c>
      <c r="J36" s="2"/>
      <c r="K36" s="2"/>
      <c r="L36" s="2"/>
      <c r="M36" s="2"/>
      <c r="N36" s="2"/>
      <c r="O36" s="2"/>
      <c r="P36" s="2"/>
      <c r="Q36" s="2"/>
    </row>
    <row r="37" spans="2:17" x14ac:dyDescent="0.25">
      <c r="B37" s="10" t="s">
        <v>797</v>
      </c>
      <c r="C37" s="416" t="s">
        <v>806</v>
      </c>
      <c r="D37" s="15"/>
      <c r="E37" s="15"/>
      <c r="F37" s="417"/>
      <c r="G37" s="31">
        <v>12</v>
      </c>
      <c r="H37" s="410">
        <v>3</v>
      </c>
      <c r="I37" s="31">
        <f>G37*H37</f>
        <v>36</v>
      </c>
      <c r="J37" s="2"/>
      <c r="K37" s="2"/>
      <c r="L37" s="2"/>
      <c r="M37" s="2"/>
      <c r="N37" s="2"/>
      <c r="O37" s="2"/>
      <c r="P37" s="2"/>
      <c r="Q37" s="2"/>
    </row>
    <row r="38" spans="2:17" x14ac:dyDescent="0.25">
      <c r="B38" s="10" t="s">
        <v>798</v>
      </c>
      <c r="C38" s="416" t="s">
        <v>1129</v>
      </c>
      <c r="D38" s="15"/>
      <c r="E38" s="15"/>
      <c r="F38" s="417"/>
      <c r="G38" s="31">
        <v>0</v>
      </c>
      <c r="H38" s="410">
        <v>0</v>
      </c>
      <c r="I38" s="31">
        <f>G38*H38</f>
        <v>0</v>
      </c>
      <c r="J38" s="2"/>
      <c r="K38" s="2"/>
      <c r="L38" s="2"/>
      <c r="M38" s="2"/>
      <c r="N38" s="2"/>
      <c r="O38" s="2"/>
      <c r="P38" s="2"/>
      <c r="Q38" s="2"/>
    </row>
    <row r="39" spans="2:17" x14ac:dyDescent="0.25">
      <c r="B39" s="2"/>
      <c r="C39" s="2"/>
      <c r="D39" s="2"/>
      <c r="E39" s="2"/>
      <c r="F39" s="2"/>
      <c r="G39" s="2"/>
      <c r="H39" s="169">
        <f>SUM(H36:H38)</f>
        <v>3</v>
      </c>
      <c r="I39" s="168">
        <f>SUM(I36:I38)</f>
        <v>36</v>
      </c>
      <c r="J39" s="2"/>
      <c r="K39" s="2"/>
      <c r="L39" s="2"/>
      <c r="M39" s="2"/>
      <c r="N39" s="2"/>
      <c r="O39" s="2"/>
      <c r="P39" s="2"/>
      <c r="Q39" s="2"/>
    </row>
    <row r="40" spans="2:17" x14ac:dyDescent="0.25">
      <c r="B40" s="2"/>
      <c r="C40" s="2"/>
      <c r="D40" s="2"/>
      <c r="E40" s="2"/>
      <c r="F40" s="2"/>
      <c r="G40" s="2"/>
      <c r="H40" s="2"/>
      <c r="I40" s="2"/>
      <c r="J40" s="2"/>
      <c r="K40" s="2"/>
      <c r="L40" s="2"/>
      <c r="M40" s="2"/>
      <c r="N40" s="2"/>
      <c r="O40" s="2"/>
      <c r="P40" s="2"/>
      <c r="Q40" s="2"/>
    </row>
    <row r="41" spans="2:17" ht="17.25" x14ac:dyDescent="0.25">
      <c r="B41" s="164" t="s">
        <v>808</v>
      </c>
      <c r="C41" s="2"/>
      <c r="D41" s="2"/>
      <c r="E41" s="2"/>
      <c r="F41" s="2"/>
      <c r="G41" s="2"/>
      <c r="H41" s="2"/>
      <c r="I41" s="2"/>
      <c r="J41" s="2"/>
      <c r="K41" s="2"/>
      <c r="L41" s="2"/>
      <c r="M41" s="2"/>
      <c r="N41" s="2"/>
      <c r="O41" s="2"/>
      <c r="P41" s="2"/>
      <c r="Q41" s="2"/>
    </row>
    <row r="42" spans="2:17" x14ac:dyDescent="0.25">
      <c r="B42" s="159" t="s">
        <v>789</v>
      </c>
      <c r="C42" s="563" t="s">
        <v>809</v>
      </c>
      <c r="D42" s="563"/>
      <c r="E42" s="563"/>
      <c r="F42" s="563" t="s">
        <v>795</v>
      </c>
      <c r="G42" s="563"/>
      <c r="H42" s="2"/>
      <c r="I42" s="2"/>
      <c r="J42" s="2"/>
      <c r="K42" s="2"/>
      <c r="L42" s="2"/>
      <c r="M42" s="2"/>
      <c r="N42" s="2"/>
      <c r="O42" s="2"/>
      <c r="P42" s="2"/>
      <c r="Q42" s="2"/>
    </row>
    <row r="43" spans="2:17" x14ac:dyDescent="0.25">
      <c r="B43" s="10" t="s">
        <v>810</v>
      </c>
      <c r="C43" s="607">
        <v>5</v>
      </c>
      <c r="D43" s="607"/>
      <c r="E43" s="607"/>
      <c r="F43" s="71">
        <v>5</v>
      </c>
      <c r="G43" s="71" t="s">
        <v>200</v>
      </c>
      <c r="H43" s="2"/>
      <c r="I43" s="2"/>
      <c r="J43" s="2"/>
      <c r="K43" s="2"/>
      <c r="L43" s="2"/>
      <c r="M43" s="2"/>
      <c r="N43" s="2"/>
      <c r="O43" s="2"/>
      <c r="P43" s="2"/>
      <c r="Q43" s="2"/>
    </row>
    <row r="44" spans="2:17" x14ac:dyDescent="0.25">
      <c r="B44" s="2"/>
      <c r="C44" s="2"/>
      <c r="D44" s="2"/>
      <c r="E44" s="2"/>
      <c r="F44" s="2"/>
      <c r="G44" s="2"/>
      <c r="H44" s="2"/>
      <c r="I44" s="2"/>
      <c r="J44" s="2"/>
      <c r="K44" s="2"/>
      <c r="L44" s="2"/>
      <c r="M44" s="2"/>
      <c r="N44" s="2"/>
      <c r="O44" s="2"/>
      <c r="P44" s="2"/>
      <c r="Q44" s="2"/>
    </row>
    <row r="45" spans="2:17" x14ac:dyDescent="0.25">
      <c r="B45" s="2" t="s">
        <v>811</v>
      </c>
      <c r="C45" s="2"/>
      <c r="D45" s="2"/>
      <c r="E45" s="2"/>
      <c r="F45" s="2"/>
      <c r="G45" s="2"/>
      <c r="H45" s="2"/>
      <c r="I45" s="2"/>
      <c r="J45" s="2"/>
      <c r="K45" s="2"/>
      <c r="L45" s="2"/>
      <c r="M45" s="2"/>
      <c r="N45" s="2"/>
      <c r="O45" s="2"/>
      <c r="P45" s="2"/>
      <c r="Q45" s="2"/>
    </row>
    <row r="46" spans="2:17" x14ac:dyDescent="0.25">
      <c r="B46" s="2"/>
      <c r="C46" s="2"/>
      <c r="D46" s="2"/>
      <c r="E46" s="2"/>
      <c r="F46" s="2"/>
      <c r="G46" s="2"/>
      <c r="H46" s="2"/>
      <c r="I46" s="2"/>
      <c r="J46" s="2"/>
      <c r="K46" s="2"/>
      <c r="L46" s="2"/>
      <c r="M46" s="2"/>
      <c r="N46" s="2"/>
      <c r="O46" s="2"/>
      <c r="P46" s="2"/>
      <c r="Q46" s="2"/>
    </row>
    <row r="47" spans="2:17" ht="17.25" x14ac:dyDescent="0.25">
      <c r="B47" s="164" t="s">
        <v>812</v>
      </c>
      <c r="C47" s="2"/>
      <c r="D47" s="2"/>
      <c r="E47" s="2"/>
      <c r="F47" s="2"/>
      <c r="G47" s="2"/>
      <c r="H47" s="2"/>
      <c r="I47" s="2"/>
      <c r="J47" s="2"/>
      <c r="K47" s="2"/>
      <c r="L47" s="2"/>
      <c r="M47" s="2"/>
      <c r="N47" s="2"/>
      <c r="O47" s="2"/>
      <c r="P47" s="2"/>
      <c r="Q47" s="2"/>
    </row>
    <row r="48" spans="2:17" x14ac:dyDescent="0.25">
      <c r="B48" s="159" t="s">
        <v>789</v>
      </c>
      <c r="C48" s="563" t="s">
        <v>15</v>
      </c>
      <c r="D48" s="563"/>
      <c r="E48" s="563"/>
      <c r="F48" s="563"/>
      <c r="G48" s="563"/>
      <c r="H48" s="159" t="s">
        <v>809</v>
      </c>
      <c r="I48" s="563" t="s">
        <v>795</v>
      </c>
      <c r="J48" s="563"/>
      <c r="K48" s="2"/>
      <c r="L48" s="2"/>
      <c r="M48" s="2"/>
      <c r="N48" s="2"/>
      <c r="O48" s="2"/>
      <c r="P48" s="2"/>
      <c r="Q48" s="2"/>
    </row>
    <row r="49" spans="2:17" x14ac:dyDescent="0.25">
      <c r="B49" s="10" t="s">
        <v>796</v>
      </c>
      <c r="C49" s="160" t="s">
        <v>805</v>
      </c>
      <c r="D49" s="15"/>
      <c r="E49" s="15"/>
      <c r="F49" s="15"/>
      <c r="G49" s="161"/>
      <c r="H49" s="31">
        <v>5</v>
      </c>
      <c r="I49" s="31">
        <v>4</v>
      </c>
      <c r="J49" s="71" t="s">
        <v>198</v>
      </c>
      <c r="K49" s="2"/>
      <c r="L49" s="2"/>
      <c r="M49" s="2"/>
      <c r="N49" s="2"/>
      <c r="O49" s="2"/>
      <c r="P49" s="2"/>
      <c r="Q49" s="2"/>
    </row>
    <row r="50" spans="2:17" x14ac:dyDescent="0.25">
      <c r="B50" s="10" t="s">
        <v>797</v>
      </c>
      <c r="C50" s="160" t="s">
        <v>806</v>
      </c>
      <c r="D50" s="15"/>
      <c r="E50" s="15"/>
      <c r="F50" s="15"/>
      <c r="G50" s="161"/>
      <c r="H50" s="31">
        <v>4</v>
      </c>
      <c r="I50" s="31">
        <v>5</v>
      </c>
      <c r="J50" s="71" t="s">
        <v>198</v>
      </c>
      <c r="K50" s="2"/>
      <c r="L50" s="2"/>
      <c r="M50" s="2"/>
      <c r="N50" s="2"/>
      <c r="O50" s="2"/>
      <c r="P50" s="2"/>
      <c r="Q50" s="2"/>
    </row>
    <row r="51" spans="2:17" x14ac:dyDescent="0.25">
      <c r="B51" s="10" t="s">
        <v>798</v>
      </c>
      <c r="C51" s="160" t="s">
        <v>807</v>
      </c>
      <c r="D51" s="15"/>
      <c r="E51" s="15"/>
      <c r="F51" s="15"/>
      <c r="G51" s="161"/>
      <c r="H51" s="31">
        <v>3</v>
      </c>
      <c r="I51" s="31">
        <v>6</v>
      </c>
      <c r="J51" s="71" t="s">
        <v>198</v>
      </c>
      <c r="K51" s="2"/>
      <c r="L51" s="2"/>
      <c r="M51" s="2"/>
      <c r="N51" s="2"/>
      <c r="O51" s="2"/>
      <c r="P51" s="2"/>
      <c r="Q51" s="2"/>
    </row>
    <row r="52" spans="2:17" x14ac:dyDescent="0.25">
      <c r="B52" s="2"/>
      <c r="C52" s="2"/>
      <c r="D52" s="2"/>
      <c r="E52" s="2"/>
      <c r="F52" s="2"/>
      <c r="G52" s="2"/>
      <c r="H52" s="168">
        <f>H49*$H$22+H50*$H$23+H51*$H$24</f>
        <v>3</v>
      </c>
      <c r="I52" s="168">
        <f>I49*$H$22+I50*$H$23+I51*$H$24</f>
        <v>6</v>
      </c>
      <c r="J52" s="169" t="s">
        <v>198</v>
      </c>
      <c r="K52" s="4"/>
      <c r="L52" s="2"/>
      <c r="M52" s="2"/>
      <c r="N52" s="2"/>
      <c r="O52" s="2"/>
      <c r="P52" s="2"/>
      <c r="Q52" s="2"/>
    </row>
    <row r="53" spans="2:17" x14ac:dyDescent="0.25">
      <c r="B53" s="2"/>
      <c r="C53" s="2"/>
      <c r="D53" s="2"/>
      <c r="E53" s="2"/>
      <c r="F53" s="2"/>
      <c r="G53" s="2"/>
      <c r="H53" s="2" t="s">
        <v>813</v>
      </c>
      <c r="I53" s="2"/>
      <c r="J53" s="2"/>
      <c r="K53" s="2"/>
      <c r="L53" s="2"/>
      <c r="M53" s="2"/>
      <c r="N53" s="2"/>
      <c r="O53" s="2"/>
      <c r="P53" s="2"/>
      <c r="Q53" s="2"/>
    </row>
    <row r="54" spans="2:17" ht="17.25" x14ac:dyDescent="0.25">
      <c r="B54" s="164" t="s">
        <v>814</v>
      </c>
      <c r="C54" s="2"/>
      <c r="D54" s="2"/>
      <c r="E54" s="2"/>
      <c r="F54" s="2"/>
      <c r="G54" s="2"/>
      <c r="H54" s="2"/>
      <c r="I54" s="2"/>
      <c r="J54" s="2"/>
      <c r="K54" s="2"/>
      <c r="L54" s="2"/>
      <c r="M54" s="2"/>
      <c r="N54" s="2"/>
      <c r="O54" s="2"/>
      <c r="P54" s="2"/>
      <c r="Q54" s="2"/>
    </row>
    <row r="55" spans="2:17" x14ac:dyDescent="0.25">
      <c r="B55" s="159" t="s">
        <v>789</v>
      </c>
      <c r="C55" s="563" t="s">
        <v>809</v>
      </c>
      <c r="D55" s="563"/>
      <c r="E55" s="563"/>
      <c r="F55" s="563" t="s">
        <v>795</v>
      </c>
      <c r="G55" s="563"/>
      <c r="H55" s="2"/>
      <c r="I55" s="2"/>
      <c r="J55" s="2"/>
      <c r="K55" s="2"/>
      <c r="L55" s="2"/>
      <c r="M55" s="2"/>
      <c r="N55" s="2"/>
      <c r="O55" s="2"/>
      <c r="P55" s="2"/>
      <c r="Q55" s="2"/>
    </row>
    <row r="56" spans="2:17" x14ac:dyDescent="0.25">
      <c r="B56" s="10" t="s">
        <v>796</v>
      </c>
      <c r="C56" s="607">
        <v>5</v>
      </c>
      <c r="D56" s="607"/>
      <c r="E56" s="607"/>
      <c r="F56" s="31">
        <v>2</v>
      </c>
      <c r="G56" s="71" t="s">
        <v>198</v>
      </c>
      <c r="H56" s="2"/>
      <c r="I56" s="2"/>
      <c r="J56" s="2"/>
      <c r="K56" s="2"/>
      <c r="L56" s="2"/>
      <c r="M56" s="2"/>
      <c r="N56" s="2"/>
      <c r="O56" s="2"/>
      <c r="P56" s="2"/>
      <c r="Q56" s="2"/>
    </row>
    <row r="57" spans="2:17" x14ac:dyDescent="0.25">
      <c r="B57" s="10" t="s">
        <v>797</v>
      </c>
      <c r="C57" s="607">
        <v>4</v>
      </c>
      <c r="D57" s="607"/>
      <c r="E57" s="607"/>
      <c r="F57" s="31">
        <v>3</v>
      </c>
      <c r="G57" s="71" t="s">
        <v>198</v>
      </c>
      <c r="H57" s="2"/>
      <c r="I57" s="2"/>
      <c r="J57" s="2"/>
      <c r="K57" s="2"/>
      <c r="L57" s="2"/>
      <c r="M57" s="2"/>
      <c r="N57" s="2"/>
      <c r="O57" s="2"/>
      <c r="P57" s="2"/>
      <c r="Q57" s="2"/>
    </row>
    <row r="58" spans="2:17" x14ac:dyDescent="0.25">
      <c r="B58" s="10" t="s">
        <v>798</v>
      </c>
      <c r="C58" s="607">
        <v>3</v>
      </c>
      <c r="D58" s="607"/>
      <c r="E58" s="607"/>
      <c r="F58" s="31">
        <v>4</v>
      </c>
      <c r="G58" s="71" t="s">
        <v>198</v>
      </c>
      <c r="H58" s="2"/>
      <c r="I58" s="2"/>
      <c r="J58" s="2"/>
      <c r="K58" s="2"/>
      <c r="L58" s="2"/>
      <c r="M58" s="2"/>
      <c r="N58" s="2"/>
      <c r="O58" s="2"/>
      <c r="P58" s="2"/>
      <c r="Q58" s="2"/>
    </row>
    <row r="59" spans="2:17" x14ac:dyDescent="0.25">
      <c r="B59" s="2"/>
      <c r="C59" s="608">
        <f>C56*$E$15+C57*$E$16+C58*$E$17</f>
        <v>3</v>
      </c>
      <c r="D59" s="608">
        <f>D56*$H$22+D57*$H$23+D58*$H$24</f>
        <v>0</v>
      </c>
      <c r="E59" s="608">
        <f>E56*$H$22+E57*$H$23+E58*$H$24</f>
        <v>0</v>
      </c>
      <c r="F59" s="168">
        <f>F56*$E$15+F57*$E$16+F58*$E$17</f>
        <v>4</v>
      </c>
      <c r="G59" s="169" t="s">
        <v>198</v>
      </c>
      <c r="H59" s="4"/>
      <c r="I59" s="2"/>
      <c r="J59" s="2"/>
      <c r="K59" s="2"/>
      <c r="L59" s="2"/>
      <c r="M59" s="2"/>
      <c r="N59" s="2"/>
      <c r="O59" s="2"/>
      <c r="P59" s="2"/>
      <c r="Q59" s="2"/>
    </row>
    <row r="60" spans="2:17" x14ac:dyDescent="0.25">
      <c r="B60" s="2"/>
      <c r="C60" s="2" t="s">
        <v>815</v>
      </c>
      <c r="D60" s="2"/>
      <c r="E60" s="2"/>
      <c r="F60" s="2"/>
      <c r="G60" s="2"/>
      <c r="H60" s="2"/>
      <c r="I60" s="2"/>
      <c r="J60" s="2"/>
      <c r="K60" s="2"/>
      <c r="L60" s="2"/>
      <c r="M60" s="2"/>
      <c r="N60" s="2"/>
      <c r="O60" s="2"/>
      <c r="P60" s="2"/>
      <c r="Q60" s="2"/>
    </row>
    <row r="61" spans="2:17" ht="17.25" x14ac:dyDescent="0.25">
      <c r="B61" s="164" t="s">
        <v>816</v>
      </c>
      <c r="C61" s="2"/>
      <c r="D61" s="2"/>
      <c r="E61" s="2"/>
      <c r="F61" s="2"/>
      <c r="G61" s="2"/>
      <c r="H61" s="2"/>
      <c r="I61" s="2"/>
      <c r="J61" s="2"/>
      <c r="K61" s="2"/>
      <c r="L61" s="2"/>
      <c r="M61" s="2"/>
      <c r="N61" s="2"/>
      <c r="O61" s="2"/>
      <c r="P61" s="2"/>
      <c r="Q61" s="2"/>
    </row>
    <row r="62" spans="2:17" x14ac:dyDescent="0.25">
      <c r="B62" s="159" t="s">
        <v>789</v>
      </c>
      <c r="C62" s="563" t="s">
        <v>809</v>
      </c>
      <c r="D62" s="563"/>
      <c r="E62" s="563"/>
      <c r="F62" s="563" t="s">
        <v>795</v>
      </c>
      <c r="G62" s="563"/>
      <c r="H62" s="2"/>
      <c r="I62" s="2"/>
      <c r="J62" s="2"/>
      <c r="K62" s="2"/>
      <c r="L62" s="2"/>
      <c r="M62" s="2"/>
      <c r="N62" s="2"/>
      <c r="O62" s="2"/>
      <c r="P62" s="2"/>
      <c r="Q62" s="2"/>
    </row>
    <row r="63" spans="2:17" x14ac:dyDescent="0.25">
      <c r="B63" s="10" t="s">
        <v>810</v>
      </c>
      <c r="C63" s="609">
        <v>1</v>
      </c>
      <c r="D63" s="609"/>
      <c r="E63" s="609"/>
      <c r="F63" s="31">
        <v>5</v>
      </c>
      <c r="G63" s="71" t="s">
        <v>198</v>
      </c>
      <c r="H63" s="2"/>
      <c r="I63" s="2"/>
      <c r="J63" s="2"/>
      <c r="K63" s="2"/>
      <c r="L63" s="2"/>
      <c r="M63" s="2"/>
      <c r="N63" s="2"/>
      <c r="O63" s="2"/>
      <c r="P63" s="2"/>
      <c r="Q63" s="2"/>
    </row>
    <row r="64" spans="2:17" x14ac:dyDescent="0.25">
      <c r="B64" s="2"/>
      <c r="C64" s="2"/>
      <c r="D64" s="2"/>
      <c r="E64" s="2"/>
      <c r="F64" s="2"/>
      <c r="G64" s="2"/>
      <c r="H64" s="2"/>
      <c r="I64" s="2"/>
      <c r="J64" s="2"/>
      <c r="K64" s="2"/>
      <c r="L64" s="2"/>
      <c r="M64" s="2"/>
      <c r="N64" s="2"/>
      <c r="O64" s="2"/>
      <c r="P64" s="2"/>
      <c r="Q64" s="2"/>
    </row>
    <row r="65" spans="2:17" ht="17.25" x14ac:dyDescent="0.25">
      <c r="B65" s="164" t="s">
        <v>817</v>
      </c>
      <c r="C65" s="2"/>
      <c r="D65" s="2"/>
      <c r="E65" s="2"/>
      <c r="F65" s="2"/>
      <c r="G65" s="2"/>
      <c r="H65" s="2"/>
      <c r="I65" s="2"/>
      <c r="J65" s="2"/>
      <c r="K65" s="2"/>
      <c r="L65" s="2"/>
      <c r="M65" s="2"/>
      <c r="N65" s="2"/>
      <c r="O65" s="2"/>
      <c r="P65" s="2"/>
      <c r="Q65" s="2"/>
    </row>
    <row r="66" spans="2:17" ht="30" x14ac:dyDescent="0.25">
      <c r="B66" s="159" t="s">
        <v>789</v>
      </c>
      <c r="C66" s="563" t="s">
        <v>15</v>
      </c>
      <c r="D66" s="563"/>
      <c r="E66" s="563"/>
      <c r="F66" s="563"/>
      <c r="G66" s="159" t="s">
        <v>818</v>
      </c>
      <c r="H66" s="158" t="s">
        <v>819</v>
      </c>
      <c r="I66" s="563" t="s">
        <v>795</v>
      </c>
      <c r="J66" s="563"/>
      <c r="L66" s="2"/>
      <c r="M66" s="2"/>
      <c r="N66" s="2"/>
      <c r="O66" s="2"/>
      <c r="P66" s="2"/>
      <c r="Q66" s="2"/>
    </row>
    <row r="67" spans="2:17" x14ac:dyDescent="0.25">
      <c r="B67" s="10" t="s">
        <v>796</v>
      </c>
      <c r="C67" s="550" t="s">
        <v>820</v>
      </c>
      <c r="D67" s="550"/>
      <c r="E67" s="550"/>
      <c r="F67" s="550"/>
      <c r="G67" s="165">
        <v>0</v>
      </c>
      <c r="H67" s="71">
        <v>40</v>
      </c>
      <c r="I67" s="71">
        <v>2</v>
      </c>
      <c r="J67" s="71" t="s">
        <v>821</v>
      </c>
      <c r="L67" s="2"/>
      <c r="M67" s="3"/>
      <c r="N67" s="2"/>
      <c r="O67" s="2"/>
      <c r="P67" s="2"/>
      <c r="Q67" s="2"/>
    </row>
    <row r="68" spans="2:17" x14ac:dyDescent="0.25">
      <c r="B68" s="10" t="s">
        <v>797</v>
      </c>
      <c r="C68" s="550" t="s">
        <v>822</v>
      </c>
      <c r="D68" s="550"/>
      <c r="E68" s="550"/>
      <c r="F68" s="550"/>
      <c r="G68" s="165">
        <v>0</v>
      </c>
      <c r="H68" s="71">
        <v>10</v>
      </c>
      <c r="I68" s="71">
        <v>3</v>
      </c>
      <c r="J68" s="71" t="s">
        <v>821</v>
      </c>
      <c r="L68" s="2"/>
      <c r="M68" s="3"/>
      <c r="N68" s="2"/>
      <c r="O68" s="2"/>
      <c r="P68" s="2"/>
      <c r="Q68" s="2"/>
    </row>
    <row r="69" spans="2:17" x14ac:dyDescent="0.25">
      <c r="B69" s="10" t="s">
        <v>798</v>
      </c>
      <c r="C69" s="550" t="s">
        <v>823</v>
      </c>
      <c r="D69" s="550"/>
      <c r="E69" s="550"/>
      <c r="F69" s="550"/>
      <c r="G69" s="165">
        <v>1</v>
      </c>
      <c r="H69" s="71">
        <v>2</v>
      </c>
      <c r="I69" s="71">
        <v>4</v>
      </c>
      <c r="J69" s="71" t="s">
        <v>821</v>
      </c>
      <c r="L69" s="2"/>
      <c r="M69" s="3"/>
      <c r="N69" s="2"/>
      <c r="O69" s="2"/>
      <c r="P69" s="2"/>
      <c r="Q69" s="2"/>
    </row>
    <row r="70" spans="2:17" x14ac:dyDescent="0.25">
      <c r="B70" s="2"/>
      <c r="C70" s="2"/>
      <c r="D70" s="2"/>
      <c r="E70" s="2"/>
      <c r="F70" s="2"/>
      <c r="G70" s="167">
        <f>SUM(G67:G69)</f>
        <v>1</v>
      </c>
      <c r="H70" s="169">
        <f>ROUNDUP(G67*H67+G68*H68+G69*H69, 0)</f>
        <v>2</v>
      </c>
      <c r="I70" s="169">
        <f>ROUNDUP(G67*I67+G68*I68+G69*I69, 0)</f>
        <v>4</v>
      </c>
      <c r="J70" s="169" t="s">
        <v>821</v>
      </c>
      <c r="L70" s="2"/>
      <c r="M70" s="2"/>
      <c r="N70" s="2"/>
      <c r="O70" s="2"/>
      <c r="P70" s="2"/>
      <c r="Q70" s="2"/>
    </row>
    <row r="71" spans="2:17" x14ac:dyDescent="0.25">
      <c r="B71" s="2"/>
      <c r="C71" s="2"/>
      <c r="D71" s="2"/>
      <c r="E71" s="2"/>
      <c r="F71" s="2"/>
      <c r="G71" s="2"/>
      <c r="H71" s="2"/>
      <c r="I71" s="2"/>
      <c r="J71" s="2"/>
      <c r="K71" s="2"/>
      <c r="L71" s="2"/>
      <c r="M71" s="2"/>
      <c r="N71" s="2"/>
      <c r="O71" s="2"/>
      <c r="P71" s="2"/>
      <c r="Q71" s="2"/>
    </row>
    <row r="72" spans="2:17" ht="17.25" x14ac:dyDescent="0.25">
      <c r="B72" s="164" t="s">
        <v>824</v>
      </c>
      <c r="C72" s="2"/>
      <c r="D72" s="2"/>
      <c r="E72" s="2"/>
      <c r="F72" s="2"/>
      <c r="G72" s="2"/>
      <c r="H72" s="2"/>
      <c r="I72" s="2"/>
      <c r="J72" s="2"/>
      <c r="K72" s="2"/>
      <c r="L72" s="2"/>
      <c r="M72" s="2"/>
      <c r="N72" s="2"/>
      <c r="O72" s="2"/>
      <c r="P72" s="2"/>
      <c r="Q72" s="2"/>
    </row>
    <row r="73" spans="2:17" ht="30" x14ac:dyDescent="0.25">
      <c r="B73" s="159" t="s">
        <v>789</v>
      </c>
      <c r="C73" s="563" t="s">
        <v>825</v>
      </c>
      <c r="D73" s="563"/>
      <c r="E73" s="563"/>
      <c r="F73" s="158" t="s">
        <v>826</v>
      </c>
      <c r="G73" s="563" t="s">
        <v>795</v>
      </c>
      <c r="H73" s="563"/>
      <c r="I73" s="2"/>
      <c r="J73" s="2"/>
      <c r="K73" s="2"/>
      <c r="L73" s="2"/>
      <c r="M73" s="2"/>
      <c r="N73" s="2"/>
      <c r="O73" s="2"/>
      <c r="P73" s="2"/>
      <c r="Q73" s="2"/>
    </row>
    <row r="74" spans="2:17" x14ac:dyDescent="0.25">
      <c r="B74" s="10" t="s">
        <v>810</v>
      </c>
      <c r="C74" s="550">
        <v>0.2</v>
      </c>
      <c r="D74" s="550"/>
      <c r="E74" s="550"/>
      <c r="F74" s="71">
        <f>ROUNDUP(C74*C8, 0)</f>
        <v>1</v>
      </c>
      <c r="G74" s="71">
        <v>1</v>
      </c>
      <c r="H74" s="71" t="s">
        <v>827</v>
      </c>
      <c r="I74" s="2"/>
      <c r="J74" s="2"/>
      <c r="K74" s="2"/>
      <c r="L74" s="2"/>
      <c r="M74" s="2"/>
      <c r="N74" s="2"/>
      <c r="O74" s="2"/>
      <c r="P74" s="2"/>
      <c r="Q74" s="2"/>
    </row>
    <row r="75" spans="2:17" x14ac:dyDescent="0.25">
      <c r="B75" s="2"/>
      <c r="C75" s="2"/>
      <c r="D75" s="2"/>
      <c r="E75" s="2"/>
      <c r="F75" s="2"/>
      <c r="G75" s="2"/>
      <c r="H75" s="2"/>
      <c r="I75" s="2"/>
      <c r="J75" s="2"/>
      <c r="K75" s="2"/>
      <c r="L75" s="2"/>
      <c r="M75" s="2"/>
      <c r="N75" s="2"/>
      <c r="O75" s="2"/>
      <c r="P75" s="2"/>
      <c r="Q75" s="2"/>
    </row>
    <row r="76" spans="2:17" ht="17.25" x14ac:dyDescent="0.25">
      <c r="B76" s="164" t="s">
        <v>828</v>
      </c>
      <c r="C76" s="2"/>
      <c r="D76" s="2"/>
      <c r="E76" s="2"/>
      <c r="F76" s="2"/>
      <c r="G76" s="2"/>
      <c r="H76" s="2"/>
      <c r="I76" s="2"/>
      <c r="J76" s="2"/>
      <c r="K76" s="2"/>
      <c r="L76" s="2"/>
      <c r="M76" s="2"/>
      <c r="N76" s="2"/>
      <c r="O76" s="2"/>
      <c r="P76" s="2"/>
      <c r="Q76" s="2"/>
    </row>
    <row r="77" spans="2:17" x14ac:dyDescent="0.25">
      <c r="B77" s="563" t="s">
        <v>15</v>
      </c>
      <c r="C77" s="563"/>
      <c r="D77" s="563"/>
      <c r="E77" s="563" t="s">
        <v>809</v>
      </c>
      <c r="F77" s="563"/>
      <c r="G77" s="159" t="s">
        <v>829</v>
      </c>
      <c r="H77" s="159" t="s">
        <v>202</v>
      </c>
      <c r="I77" s="563" t="s">
        <v>795</v>
      </c>
      <c r="J77" s="563"/>
      <c r="K77" s="2"/>
      <c r="L77" s="2"/>
      <c r="M77" s="2"/>
      <c r="N77" s="2"/>
      <c r="O77" s="2"/>
      <c r="P77" s="2"/>
      <c r="Q77" s="2"/>
    </row>
    <row r="78" spans="2:17" x14ac:dyDescent="0.25">
      <c r="B78" s="550" t="s">
        <v>830</v>
      </c>
      <c r="C78" s="550"/>
      <c r="D78" s="550"/>
      <c r="E78" s="550">
        <v>0</v>
      </c>
      <c r="F78" s="550"/>
      <c r="G78" s="114" t="s">
        <v>831</v>
      </c>
      <c r="H78" s="71">
        <v>0</v>
      </c>
      <c r="I78" s="31">
        <v>1.5</v>
      </c>
      <c r="J78" s="71" t="s">
        <v>832</v>
      </c>
      <c r="K78" s="2"/>
      <c r="L78" s="2"/>
      <c r="M78" s="2"/>
      <c r="N78" s="2"/>
      <c r="O78" s="2"/>
      <c r="P78" s="2"/>
      <c r="Q78" s="2"/>
    </row>
    <row r="79" spans="2:17" x14ac:dyDescent="0.25">
      <c r="B79" s="550" t="s">
        <v>833</v>
      </c>
      <c r="C79" s="550"/>
      <c r="D79" s="550"/>
      <c r="E79" s="550">
        <v>0</v>
      </c>
      <c r="F79" s="550"/>
      <c r="G79" s="114" t="s">
        <v>13</v>
      </c>
      <c r="H79" s="71">
        <v>0</v>
      </c>
      <c r="I79" s="31">
        <v>15</v>
      </c>
      <c r="J79" s="71" t="s">
        <v>198</v>
      </c>
      <c r="K79" s="2"/>
      <c r="L79" s="2"/>
      <c r="M79" s="2"/>
      <c r="N79" s="2"/>
      <c r="O79" s="2"/>
      <c r="P79" s="2"/>
      <c r="Q79" s="2"/>
    </row>
    <row r="80" spans="2:17" x14ac:dyDescent="0.25">
      <c r="B80" s="2"/>
      <c r="C80" s="2"/>
      <c r="D80" s="2"/>
      <c r="E80" s="2"/>
      <c r="F80" s="2"/>
      <c r="G80" s="2"/>
      <c r="H80" s="2"/>
      <c r="I80" s="2"/>
      <c r="J80" s="2"/>
      <c r="K80" s="2"/>
      <c r="L80" s="2"/>
      <c r="M80" s="2"/>
      <c r="N80" s="2"/>
      <c r="O80" s="2"/>
      <c r="P80" s="2"/>
      <c r="Q80" s="2"/>
    </row>
    <row r="81" spans="2:17" ht="17.25" x14ac:dyDescent="0.25">
      <c r="B81" s="164" t="s">
        <v>834</v>
      </c>
      <c r="C81" s="2"/>
      <c r="D81" s="2"/>
      <c r="E81" s="2"/>
      <c r="F81" s="2"/>
      <c r="G81" s="2"/>
      <c r="H81" s="2"/>
      <c r="I81" s="2"/>
      <c r="J81" s="2"/>
      <c r="K81" s="2"/>
      <c r="L81" s="2"/>
      <c r="M81" s="2"/>
      <c r="N81" s="2"/>
      <c r="O81" s="2"/>
      <c r="P81" s="2"/>
      <c r="Q81" s="2"/>
    </row>
    <row r="82" spans="2:17" x14ac:dyDescent="0.25">
      <c r="B82" s="159" t="s">
        <v>789</v>
      </c>
      <c r="C82" s="563" t="s">
        <v>15</v>
      </c>
      <c r="D82" s="563"/>
      <c r="E82" s="563"/>
      <c r="F82" s="563"/>
      <c r="G82" s="563"/>
      <c r="H82" s="159" t="s">
        <v>809</v>
      </c>
      <c r="I82" s="2"/>
      <c r="J82" s="2"/>
      <c r="K82" s="2"/>
      <c r="L82" s="2"/>
      <c r="M82" s="2"/>
      <c r="N82" s="2"/>
      <c r="O82" s="2"/>
      <c r="P82" s="2"/>
      <c r="Q82" s="2"/>
    </row>
    <row r="83" spans="2:17" x14ac:dyDescent="0.25">
      <c r="B83" s="10" t="s">
        <v>835</v>
      </c>
      <c r="C83" s="160" t="s">
        <v>836</v>
      </c>
      <c r="D83" s="15"/>
      <c r="E83" s="15"/>
      <c r="F83" s="15"/>
      <c r="G83" s="161"/>
      <c r="H83" s="71">
        <v>4</v>
      </c>
      <c r="I83" s="3"/>
      <c r="J83" s="2"/>
      <c r="K83" s="2"/>
      <c r="L83" s="2"/>
      <c r="M83" s="2"/>
      <c r="N83" s="2"/>
      <c r="O83" s="2"/>
      <c r="P83" s="2"/>
      <c r="Q83" s="2"/>
    </row>
    <row r="84" spans="2:17" x14ac:dyDescent="0.25">
      <c r="B84" s="10" t="s">
        <v>837</v>
      </c>
      <c r="C84" s="160" t="s">
        <v>838</v>
      </c>
      <c r="D84" s="15"/>
      <c r="E84" s="15"/>
      <c r="F84" s="15"/>
      <c r="G84" s="161"/>
      <c r="H84" s="71">
        <v>3</v>
      </c>
      <c r="I84" s="3"/>
      <c r="J84" s="2"/>
      <c r="K84" s="2"/>
      <c r="L84" s="2"/>
      <c r="M84" s="2"/>
      <c r="N84" s="2"/>
      <c r="O84" s="2"/>
      <c r="P84" s="2"/>
      <c r="Q84" s="2"/>
    </row>
    <row r="85" spans="2:17" x14ac:dyDescent="0.25">
      <c r="B85" s="10" t="s">
        <v>839</v>
      </c>
      <c r="C85" s="160" t="s">
        <v>840</v>
      </c>
      <c r="D85" s="15"/>
      <c r="E85" s="15"/>
      <c r="F85" s="15"/>
      <c r="G85" s="161"/>
      <c r="H85" s="71">
        <v>2</v>
      </c>
      <c r="I85" s="3"/>
      <c r="J85" s="2"/>
      <c r="K85" s="2"/>
      <c r="L85" s="2"/>
      <c r="M85" s="2"/>
      <c r="N85" s="2"/>
      <c r="O85" s="2"/>
      <c r="P85" s="2"/>
      <c r="Q85" s="2"/>
    </row>
    <row r="86" spans="2:17" x14ac:dyDescent="0.25">
      <c r="B86" s="3"/>
      <c r="C86" s="3"/>
      <c r="D86" s="3"/>
      <c r="E86" s="3"/>
      <c r="F86" s="3"/>
      <c r="G86" s="3"/>
      <c r="H86" s="170">
        <v>2</v>
      </c>
      <c r="I86" s="4" t="s">
        <v>201</v>
      </c>
      <c r="J86" s="2" t="s">
        <v>841</v>
      </c>
      <c r="K86" s="2"/>
      <c r="L86" s="2"/>
      <c r="M86" s="2"/>
      <c r="N86" s="2"/>
      <c r="O86" s="2"/>
      <c r="P86" s="2"/>
      <c r="Q86" s="2"/>
    </row>
    <row r="87" spans="2:17" x14ac:dyDescent="0.25">
      <c r="B87" s="2"/>
      <c r="C87" s="2"/>
      <c r="D87" s="2"/>
      <c r="E87" s="2"/>
      <c r="F87" s="2"/>
      <c r="G87" s="2"/>
      <c r="H87" s="2"/>
      <c r="I87" s="2"/>
      <c r="J87" s="2"/>
      <c r="K87" s="2"/>
      <c r="L87" s="2"/>
      <c r="M87" s="2"/>
      <c r="N87" s="2"/>
      <c r="O87" s="2"/>
      <c r="P87" s="2"/>
      <c r="Q87" s="2"/>
    </row>
    <row r="88" spans="2:17" ht="17.25" x14ac:dyDescent="0.25">
      <c r="B88" s="164" t="s">
        <v>842</v>
      </c>
      <c r="C88" s="2"/>
      <c r="D88" s="2"/>
      <c r="E88" s="2"/>
      <c r="F88" s="2"/>
      <c r="G88" s="2"/>
      <c r="H88" s="2"/>
      <c r="I88" s="2"/>
      <c r="J88" s="2"/>
      <c r="K88" s="2"/>
      <c r="L88" s="2"/>
      <c r="M88" s="2"/>
      <c r="N88" s="2"/>
      <c r="O88" s="2"/>
      <c r="P88" s="2"/>
      <c r="Q88" s="2"/>
    </row>
    <row r="89" spans="2:17" x14ac:dyDescent="0.25">
      <c r="B89" s="159" t="s">
        <v>789</v>
      </c>
      <c r="C89" s="563" t="s">
        <v>809</v>
      </c>
      <c r="D89" s="563"/>
      <c r="E89" s="563"/>
      <c r="F89" s="563" t="s">
        <v>795</v>
      </c>
      <c r="G89" s="563"/>
      <c r="H89" s="2"/>
      <c r="I89" s="2"/>
      <c r="J89" s="2"/>
      <c r="K89" s="2"/>
      <c r="L89" s="2"/>
      <c r="M89" s="2"/>
      <c r="N89" s="2"/>
      <c r="O89" s="2"/>
      <c r="P89" s="2"/>
      <c r="Q89" s="2"/>
    </row>
    <row r="90" spans="2:17" x14ac:dyDescent="0.25">
      <c r="B90" s="71" t="s">
        <v>796</v>
      </c>
      <c r="C90" s="607">
        <v>5</v>
      </c>
      <c r="D90" s="607"/>
      <c r="E90" s="607"/>
      <c r="F90" s="31">
        <v>3</v>
      </c>
      <c r="G90" s="71" t="s">
        <v>198</v>
      </c>
      <c r="H90" s="2"/>
      <c r="I90" s="2"/>
      <c r="J90" s="2"/>
      <c r="K90" s="2"/>
      <c r="L90" s="2"/>
      <c r="M90" s="2"/>
      <c r="N90" s="2"/>
      <c r="O90" s="2"/>
      <c r="P90" s="2"/>
      <c r="Q90" s="2"/>
    </row>
    <row r="91" spans="2:17" x14ac:dyDescent="0.25">
      <c r="B91" s="71" t="s">
        <v>797</v>
      </c>
      <c r="C91" s="607">
        <v>4</v>
      </c>
      <c r="D91" s="607"/>
      <c r="E91" s="607"/>
      <c r="F91" s="31">
        <v>4</v>
      </c>
      <c r="G91" s="71" t="s">
        <v>198</v>
      </c>
      <c r="H91" s="2"/>
      <c r="I91" s="2"/>
      <c r="J91" s="2"/>
      <c r="K91" s="2"/>
      <c r="L91" s="2"/>
      <c r="M91" s="2"/>
      <c r="N91" s="2"/>
      <c r="O91" s="2"/>
      <c r="P91" s="2"/>
      <c r="Q91" s="2"/>
    </row>
    <row r="92" spans="2:17" x14ac:dyDescent="0.25">
      <c r="B92" s="71" t="s">
        <v>798</v>
      </c>
      <c r="C92" s="607">
        <v>3</v>
      </c>
      <c r="D92" s="607"/>
      <c r="E92" s="607"/>
      <c r="F92" s="31">
        <v>5</v>
      </c>
      <c r="G92" s="71" t="s">
        <v>198</v>
      </c>
      <c r="H92" s="2"/>
      <c r="I92" s="2"/>
      <c r="J92" s="2"/>
      <c r="K92" s="2"/>
      <c r="L92" s="2"/>
      <c r="M92" s="2"/>
      <c r="N92" s="2"/>
      <c r="O92" s="2"/>
      <c r="P92" s="2"/>
      <c r="Q92" s="2"/>
    </row>
    <row r="93" spans="2:17" x14ac:dyDescent="0.25">
      <c r="B93" s="2"/>
      <c r="C93" s="608">
        <f>C90*$E$15+C91*$E$16+C92*$E$17</f>
        <v>3</v>
      </c>
      <c r="D93" s="608">
        <f>D90*$H$22+D91*$H$23+D92*$H$24</f>
        <v>0</v>
      </c>
      <c r="E93" s="608">
        <f>E90*$H$22+E91*$H$23+E92*$H$24</f>
        <v>0</v>
      </c>
      <c r="F93" s="168">
        <f>F90*$E$15+F91*$E$16+F92*$E$17</f>
        <v>5</v>
      </c>
      <c r="G93" s="169" t="s">
        <v>198</v>
      </c>
      <c r="H93" s="2" t="s">
        <v>815</v>
      </c>
      <c r="I93" s="2"/>
      <c r="J93" s="2"/>
      <c r="K93" s="2"/>
      <c r="L93" s="2"/>
      <c r="M93" s="2"/>
      <c r="N93" s="2"/>
      <c r="O93" s="2"/>
      <c r="P93" s="2"/>
      <c r="Q93" s="2"/>
    </row>
    <row r="94" spans="2:17" x14ac:dyDescent="0.25">
      <c r="B94" s="2"/>
      <c r="C94" s="2"/>
      <c r="D94" s="2"/>
      <c r="E94" s="2"/>
      <c r="F94" s="2"/>
      <c r="G94" s="2"/>
      <c r="H94" s="2"/>
      <c r="I94" s="2"/>
      <c r="J94" s="2"/>
      <c r="K94" s="2"/>
      <c r="L94" s="2"/>
      <c r="M94" s="2"/>
      <c r="N94" s="2"/>
      <c r="O94" s="2"/>
      <c r="P94" s="2"/>
      <c r="Q94" s="2"/>
    </row>
  </sheetData>
  <mergeCells count="52">
    <mergeCell ref="C92:E92"/>
    <mergeCell ref="C93:E93"/>
    <mergeCell ref="C5:J5"/>
    <mergeCell ref="B79:D79"/>
    <mergeCell ref="E79:F79"/>
    <mergeCell ref="C82:G82"/>
    <mergeCell ref="C89:E89"/>
    <mergeCell ref="F89:G89"/>
    <mergeCell ref="C90:E90"/>
    <mergeCell ref="C74:E74"/>
    <mergeCell ref="B77:D77"/>
    <mergeCell ref="E77:F77"/>
    <mergeCell ref="I77:J77"/>
    <mergeCell ref="B78:D78"/>
    <mergeCell ref="E78:F78"/>
    <mergeCell ref="C68:F68"/>
    <mergeCell ref="C69:F69"/>
    <mergeCell ref="C73:E73"/>
    <mergeCell ref="G73:H73"/>
    <mergeCell ref="C91:E91"/>
    <mergeCell ref="F62:G62"/>
    <mergeCell ref="C63:E63"/>
    <mergeCell ref="C22:D22"/>
    <mergeCell ref="I66:J66"/>
    <mergeCell ref="C66:F66"/>
    <mergeCell ref="C67:F67"/>
    <mergeCell ref="C56:E56"/>
    <mergeCell ref="C58:E58"/>
    <mergeCell ref="C57:E57"/>
    <mergeCell ref="C59:E59"/>
    <mergeCell ref="C62:E62"/>
    <mergeCell ref="I48:J48"/>
    <mergeCell ref="C55:E55"/>
    <mergeCell ref="F55:G55"/>
    <mergeCell ref="C43:E43"/>
    <mergeCell ref="C48:G48"/>
    <mergeCell ref="B11:M11"/>
    <mergeCell ref="C42:E42"/>
    <mergeCell ref="F42:G42"/>
    <mergeCell ref="I14:J14"/>
    <mergeCell ref="C15:D15"/>
    <mergeCell ref="C16:D16"/>
    <mergeCell ref="C17:D17"/>
    <mergeCell ref="C18:D18"/>
    <mergeCell ref="C24:D24"/>
    <mergeCell ref="C25:D25"/>
    <mergeCell ref="C28:F28"/>
    <mergeCell ref="C23:D23"/>
    <mergeCell ref="C14:D14"/>
    <mergeCell ref="C21:D21"/>
    <mergeCell ref="C35:F35"/>
    <mergeCell ref="I21:J21"/>
  </mergeCells>
  <printOptions horizontalCentered="1" verticalCentered="1"/>
  <pageMargins left="1.1811023622047245" right="0.78740157480314965" top="0.39370078740157483" bottom="0.78740157480314965" header="0.31496062992125984" footer="0.31496062992125984"/>
  <pageSetup paperSize="9" scale="52" fitToWidth="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7">
    <tabColor theme="9"/>
    <pageSetUpPr fitToPage="1"/>
  </sheetPr>
  <dimension ref="A10:AE2017"/>
  <sheetViews>
    <sheetView view="pageBreakPreview" topLeftCell="A445" zoomScale="85" zoomScaleNormal="40" zoomScaleSheetLayoutView="85" workbookViewId="0">
      <selection activeCell="E845" sqref="E845"/>
    </sheetView>
  </sheetViews>
  <sheetFormatPr defaultRowHeight="15" x14ac:dyDescent="0.25"/>
  <cols>
    <col min="1" max="1" width="14.28515625" style="2" customWidth="1"/>
    <col min="2" max="3" width="9.140625" style="2"/>
    <col min="4" max="4" width="17.7109375" style="2" customWidth="1"/>
    <col min="5" max="5" width="18.85546875" style="2" customWidth="1"/>
    <col min="6" max="6" width="19.85546875" style="2" customWidth="1"/>
    <col min="7" max="7" width="14.5703125" style="2" customWidth="1"/>
    <col min="8" max="8" width="15.42578125" style="2" customWidth="1"/>
    <col min="9" max="9" width="17.42578125" style="2" customWidth="1"/>
    <col min="10" max="10" width="19.42578125" style="2" customWidth="1"/>
    <col min="11" max="11" width="19" style="2" customWidth="1"/>
    <col min="12" max="12" width="19.140625" style="2" customWidth="1"/>
    <col min="13" max="13" width="16.7109375" style="2" customWidth="1"/>
    <col min="14" max="14" width="17.5703125" style="2" customWidth="1"/>
    <col min="15" max="15" width="18.5703125" style="2" customWidth="1"/>
    <col min="16" max="16" width="15.140625" style="2" customWidth="1"/>
    <col min="17" max="17" width="9.140625" style="2"/>
    <col min="18" max="18" width="12.85546875" style="2" customWidth="1"/>
    <col min="19" max="19" width="16.140625" style="2" customWidth="1"/>
    <col min="20" max="20" width="14.85546875" style="2" customWidth="1"/>
    <col min="21" max="21" width="20.5703125" style="2" customWidth="1"/>
    <col min="22" max="22" width="16.85546875" style="2" customWidth="1"/>
    <col min="23" max="23" width="17.42578125" style="2" customWidth="1"/>
    <col min="24" max="24" width="11.5703125" style="2" customWidth="1"/>
    <col min="25" max="25" width="16" style="2" customWidth="1"/>
    <col min="26" max="26" width="17.28515625" style="2" customWidth="1"/>
    <col min="27" max="27" width="11.28515625" style="2" customWidth="1"/>
    <col min="28" max="28" width="18" style="2" customWidth="1"/>
    <col min="29" max="29" width="20.28515625" style="2" customWidth="1"/>
    <col min="30" max="30" width="9.140625" style="2"/>
    <col min="31" max="31" width="13.140625" style="2" bestFit="1" customWidth="1"/>
    <col min="32" max="16384" width="9.140625" style="2"/>
  </cols>
  <sheetData>
    <row r="10" spans="1:8" x14ac:dyDescent="0.25">
      <c r="A10" s="332" t="s">
        <v>0</v>
      </c>
      <c r="B10" s="2" t="s">
        <v>1220</v>
      </c>
    </row>
    <row r="11" spans="1:8" x14ac:dyDescent="0.25">
      <c r="A11" s="332" t="s">
        <v>862</v>
      </c>
      <c r="B11" s="2" t="s">
        <v>1216</v>
      </c>
    </row>
    <row r="12" spans="1:8" x14ac:dyDescent="0.25">
      <c r="A12" s="332" t="s">
        <v>863</v>
      </c>
      <c r="B12" s="2" t="s">
        <v>1221</v>
      </c>
    </row>
    <row r="13" spans="1:8" x14ac:dyDescent="0.25">
      <c r="A13" s="332" t="s">
        <v>1</v>
      </c>
      <c r="B13" s="2">
        <v>1.7</v>
      </c>
      <c r="C13" s="2" t="s">
        <v>1134</v>
      </c>
      <c r="G13" s="332" t="s">
        <v>16</v>
      </c>
      <c r="H13" s="2" t="s">
        <v>1154</v>
      </c>
    </row>
    <row r="14" spans="1:8" x14ac:dyDescent="0.25">
      <c r="A14" s="332" t="s">
        <v>2</v>
      </c>
      <c r="B14" s="2">
        <v>365</v>
      </c>
      <c r="C14" s="2" t="s">
        <v>4</v>
      </c>
      <c r="G14" s="332" t="s">
        <v>17</v>
      </c>
      <c r="H14" s="376">
        <v>45748</v>
      </c>
    </row>
    <row r="16" spans="1:8" ht="36" x14ac:dyDescent="0.25">
      <c r="A16" s="325" t="s">
        <v>313</v>
      </c>
    </row>
    <row r="18" spans="1:25" s="326" customFormat="1" ht="21" x14ac:dyDescent="0.25">
      <c r="A18" s="326" t="s">
        <v>315</v>
      </c>
      <c r="B18" s="326" t="s">
        <v>314</v>
      </c>
    </row>
    <row r="19" spans="1:25" s="84" customFormat="1" x14ac:dyDescent="0.25">
      <c r="B19" s="84" t="str">
        <f>"Foi considedarada a cidade de "&amp;Listas!D17&amp;" como local para as instalações físicas."</f>
        <v>Foi considedarada a cidade de Nova Andradina como local para as instalações físicas.</v>
      </c>
    </row>
    <row r="20" spans="1:25" s="84" customFormat="1" x14ac:dyDescent="0.25"/>
    <row r="21" spans="1:25" s="326" customFormat="1" ht="21" x14ac:dyDescent="0.25">
      <c r="A21" s="327" t="s">
        <v>316</v>
      </c>
      <c r="B21" s="327" t="s">
        <v>358</v>
      </c>
      <c r="C21" s="327"/>
      <c r="D21" s="327"/>
    </row>
    <row r="22" spans="1:25" s="28" customFormat="1" ht="17.25" x14ac:dyDescent="0.25">
      <c r="A22" s="328" t="s">
        <v>482</v>
      </c>
      <c r="B22" s="328" t="s">
        <v>206</v>
      </c>
      <c r="C22" s="328"/>
      <c r="D22" s="328"/>
      <c r="E22" s="328"/>
    </row>
    <row r="23" spans="1:25" x14ac:dyDescent="0.25">
      <c r="A23" s="329" t="s">
        <v>61</v>
      </c>
      <c r="B23" s="2" t="s">
        <v>338</v>
      </c>
    </row>
    <row r="24" spans="1:25" x14ac:dyDescent="0.25">
      <c r="C24" s="51" t="s">
        <v>318</v>
      </c>
      <c r="D24" s="238">
        <v>1</v>
      </c>
    </row>
    <row r="25" spans="1:25" x14ac:dyDescent="0.25">
      <c r="C25" s="51" t="s">
        <v>319</v>
      </c>
      <c r="D25" s="2">
        <f>ROUNDUP(D24*Listas!$E$5,0)</f>
        <v>2</v>
      </c>
    </row>
    <row r="27" spans="1:25" x14ac:dyDescent="0.25">
      <c r="B27" s="2" t="s">
        <v>320</v>
      </c>
      <c r="C27" s="2" t="s">
        <v>15</v>
      </c>
      <c r="G27" s="4" t="s">
        <v>321</v>
      </c>
      <c r="I27" s="4" t="s">
        <v>322</v>
      </c>
      <c r="K27" s="4" t="s">
        <v>323</v>
      </c>
      <c r="N27" s="4" t="s">
        <v>324</v>
      </c>
      <c r="O27" s="4"/>
      <c r="Q27" s="4" t="s">
        <v>325</v>
      </c>
      <c r="R27" s="4"/>
      <c r="S27" s="4" t="s">
        <v>326</v>
      </c>
      <c r="T27" s="4"/>
      <c r="U27" s="4" t="s">
        <v>327</v>
      </c>
      <c r="V27" s="4"/>
      <c r="W27" s="4" t="s">
        <v>328</v>
      </c>
      <c r="Y27" s="330" t="s">
        <v>329</v>
      </c>
    </row>
    <row r="28" spans="1:25" x14ac:dyDescent="0.25">
      <c r="I28" s="4" t="s">
        <v>330</v>
      </c>
      <c r="K28" s="4" t="s">
        <v>331</v>
      </c>
      <c r="N28" s="4" t="s">
        <v>332</v>
      </c>
      <c r="O28" s="4"/>
      <c r="Q28" s="4" t="s">
        <v>333</v>
      </c>
      <c r="R28" s="4"/>
      <c r="S28" s="4" t="s">
        <v>334</v>
      </c>
      <c r="T28" s="4"/>
      <c r="U28" s="4" t="s">
        <v>335</v>
      </c>
      <c r="V28" s="4"/>
      <c r="W28" s="4" t="s">
        <v>336</v>
      </c>
      <c r="Y28" s="330" t="s">
        <v>337</v>
      </c>
    </row>
    <row r="29" spans="1:25" x14ac:dyDescent="0.25">
      <c r="B29" s="4" t="s">
        <v>112</v>
      </c>
      <c r="C29" s="2" t="str">
        <f ca="1">IFERROR(VLOOKUP(B29,MO_Matriz,2,0),"")</f>
        <v>Engenheiro de projetos júnior</v>
      </c>
      <c r="G29" s="4" t="str">
        <f ca="1">IFERROR(VLOOKUP(B29,MO_Matriz,3,0),"")</f>
        <v>S</v>
      </c>
      <c r="I29" s="2">
        <v>1</v>
      </c>
      <c r="K29" s="2">
        <v>1</v>
      </c>
      <c r="N29" s="2">
        <f>Listas!$B$6</f>
        <v>7.333333333333333</v>
      </c>
      <c r="Q29" s="238">
        <f>$D$24</f>
        <v>1</v>
      </c>
      <c r="S29" s="2">
        <f>I29*K29*N29*Q29</f>
        <v>7.333333333333333</v>
      </c>
      <c r="U29" s="2">
        <f>S29/220</f>
        <v>3.3333333333333333E-2</v>
      </c>
      <c r="W29" s="310">
        <f ca="1">IFERROR(VLOOKUP(B29,MO_Matriz,5,0),"")</f>
        <v>24288.81</v>
      </c>
      <c r="Y29" s="331">
        <f ca="1">TRUNC(U29*W29,2)</f>
        <v>809.62</v>
      </c>
    </row>
    <row r="30" spans="1:25" x14ac:dyDescent="0.25">
      <c r="B30" s="4" t="s">
        <v>169</v>
      </c>
      <c r="C30" s="2" t="str">
        <f ca="1">IFERROR(VLOOKUP(B30,MO_Matriz,2,0),"")</f>
        <v>Técnico de obras</v>
      </c>
      <c r="G30" s="4" t="str">
        <f ca="1">IFERROR(VLOOKUP(B30,MO_Matriz,3,0),"")</f>
        <v>T</v>
      </c>
      <c r="I30" s="2">
        <v>1</v>
      </c>
      <c r="K30" s="2">
        <v>1</v>
      </c>
      <c r="N30" s="2">
        <f>Listas!$B$6</f>
        <v>7.333333333333333</v>
      </c>
      <c r="Q30" s="238">
        <f>$D$24</f>
        <v>1</v>
      </c>
      <c r="S30" s="2">
        <f>I30*K30*N30*Q30</f>
        <v>7.333333333333333</v>
      </c>
      <c r="U30" s="2">
        <f>S30/220</f>
        <v>3.3333333333333333E-2</v>
      </c>
      <c r="W30" s="310">
        <f ca="1">IFERROR(VLOOKUP(B30,MO_Matriz,5,0),"")</f>
        <v>7040.14</v>
      </c>
      <c r="Y30" s="331">
        <f ca="1">TRUNC(U30*W30,2)</f>
        <v>234.67</v>
      </c>
    </row>
    <row r="31" spans="1:25" x14ac:dyDescent="0.25">
      <c r="X31" s="332" t="s">
        <v>329</v>
      </c>
      <c r="Y31" s="331">
        <f ca="1">SUM(Y29:Y30)</f>
        <v>1044.29</v>
      </c>
    </row>
    <row r="33" spans="1:10" x14ac:dyDescent="0.25">
      <c r="A33" s="329" t="s">
        <v>339</v>
      </c>
      <c r="B33" s="2" t="s">
        <v>340</v>
      </c>
    </row>
    <row r="34" spans="1:10" x14ac:dyDescent="0.25">
      <c r="B34" s="2" t="s">
        <v>341</v>
      </c>
    </row>
    <row r="36" spans="1:10" x14ac:dyDescent="0.25">
      <c r="A36" s="4" t="s">
        <v>348</v>
      </c>
      <c r="B36" s="2" t="s">
        <v>349</v>
      </c>
    </row>
    <row r="37" spans="1:10" x14ac:dyDescent="0.25">
      <c r="A37" s="4" t="s">
        <v>451</v>
      </c>
      <c r="B37" s="2" t="s">
        <v>452</v>
      </c>
    </row>
    <row r="38" spans="1:10" x14ac:dyDescent="0.25">
      <c r="B38" s="4" t="s">
        <v>360</v>
      </c>
      <c r="C38" s="2" t="s">
        <v>15</v>
      </c>
      <c r="F38" s="4" t="s">
        <v>321</v>
      </c>
      <c r="G38" s="4"/>
      <c r="H38" s="4" t="s">
        <v>453</v>
      </c>
      <c r="I38" s="4"/>
      <c r="J38" s="4" t="s">
        <v>454</v>
      </c>
    </row>
    <row r="39" spans="1:10" x14ac:dyDescent="0.25">
      <c r="B39" s="4" t="str">
        <f>B29</f>
        <v>P8065</v>
      </c>
      <c r="C39" s="2" t="str">
        <f ca="1">IFERROR(VLOOKUP(B39,MO_Matriz,2,0),"")</f>
        <v>Engenheiro de projetos júnior</v>
      </c>
      <c r="F39" s="4" t="str">
        <f ca="1">IFERROR(VLOOKUP(B39,MO_Matriz,3,0),"")</f>
        <v>S</v>
      </c>
      <c r="H39" s="2" t="s">
        <v>455</v>
      </c>
      <c r="J39" s="2">
        <v>1</v>
      </c>
    </row>
    <row r="40" spans="1:10" x14ac:dyDescent="0.25">
      <c r="B40" s="4" t="str">
        <f>B30</f>
        <v>P8147</v>
      </c>
      <c r="C40" s="2" t="str">
        <f ca="1">IFERROR(VLOOKUP(B40,MO_Matriz,2,0),"")</f>
        <v>Técnico de obras</v>
      </c>
      <c r="F40" s="4" t="str">
        <f ca="1">IFERROR(VLOOKUP(B40,MO_Matriz,3,0),"")</f>
        <v>T</v>
      </c>
      <c r="H40" s="2" t="s">
        <v>455</v>
      </c>
      <c r="J40" s="2">
        <v>1</v>
      </c>
    </row>
    <row r="41" spans="1:10" x14ac:dyDescent="0.25">
      <c r="I41" s="332" t="s">
        <v>329</v>
      </c>
      <c r="J41" s="332">
        <f>SUM(J39:J40)</f>
        <v>2</v>
      </c>
    </row>
    <row r="43" spans="1:10" x14ac:dyDescent="0.25">
      <c r="A43" s="4" t="s">
        <v>456</v>
      </c>
      <c r="B43" s="2" t="s">
        <v>457</v>
      </c>
    </row>
    <row r="44" spans="1:10" x14ac:dyDescent="0.25">
      <c r="A44" s="4"/>
      <c r="B44" s="2" t="s">
        <v>1032</v>
      </c>
    </row>
    <row r="46" spans="1:10" x14ac:dyDescent="0.25">
      <c r="A46" s="4" t="s">
        <v>350</v>
      </c>
      <c r="B46" s="2" t="s">
        <v>351</v>
      </c>
    </row>
    <row r="47" spans="1:10" x14ac:dyDescent="0.25">
      <c r="B47" s="2" t="s">
        <v>344</v>
      </c>
    </row>
    <row r="49" spans="1:15" x14ac:dyDescent="0.25">
      <c r="A49" s="4" t="s">
        <v>197</v>
      </c>
      <c r="B49" s="2" t="s">
        <v>352</v>
      </c>
    </row>
    <row r="50" spans="1:15" s="28" customFormat="1" ht="17.25" x14ac:dyDescent="0.25">
      <c r="A50" s="2"/>
      <c r="B50" s="2" t="s">
        <v>346</v>
      </c>
      <c r="C50" s="2"/>
      <c r="D50" s="2"/>
      <c r="E50" s="2"/>
      <c r="F50" s="2"/>
      <c r="G50" s="2"/>
      <c r="H50" s="2"/>
      <c r="I50" s="2"/>
      <c r="J50" s="2"/>
      <c r="K50" s="2"/>
      <c r="L50" s="2"/>
      <c r="M50" s="2"/>
      <c r="N50" s="2"/>
      <c r="O50" s="2"/>
    </row>
    <row r="51" spans="1:15" s="84" customFormat="1" x14ac:dyDescent="0.25">
      <c r="A51" s="2"/>
      <c r="B51" s="2"/>
      <c r="C51" s="2"/>
      <c r="D51" s="2"/>
      <c r="E51" s="2"/>
      <c r="F51" s="2"/>
      <c r="G51" s="2"/>
      <c r="H51" s="2"/>
      <c r="I51" s="2"/>
      <c r="J51" s="2"/>
      <c r="K51" s="2"/>
      <c r="L51" s="2"/>
      <c r="M51" s="2"/>
      <c r="N51" s="2"/>
      <c r="O51" s="2"/>
    </row>
    <row r="52" spans="1:15" s="84" customFormat="1" x14ac:dyDescent="0.25">
      <c r="A52" s="4" t="s">
        <v>353</v>
      </c>
      <c r="B52" s="2" t="s">
        <v>354</v>
      </c>
      <c r="C52" s="2"/>
      <c r="D52" s="2"/>
      <c r="E52" s="2"/>
      <c r="F52" s="2"/>
      <c r="G52" s="2"/>
      <c r="H52" s="2"/>
      <c r="I52" s="2"/>
      <c r="J52" s="2"/>
      <c r="K52" s="2"/>
      <c r="L52" s="2"/>
      <c r="M52" s="2"/>
      <c r="N52" s="2"/>
      <c r="O52" s="2"/>
    </row>
    <row r="53" spans="1:15" s="84" customFormat="1" x14ac:dyDescent="0.25">
      <c r="A53" s="2"/>
      <c r="B53" s="2" t="s">
        <v>347</v>
      </c>
      <c r="C53" s="2"/>
      <c r="D53" s="2"/>
      <c r="E53" s="2"/>
      <c r="F53" s="2"/>
      <c r="G53" s="2"/>
      <c r="H53" s="2"/>
      <c r="I53" s="2"/>
      <c r="J53" s="2"/>
      <c r="K53" s="2"/>
      <c r="L53" s="2"/>
      <c r="M53" s="2"/>
      <c r="N53" s="2"/>
      <c r="O53" s="2"/>
    </row>
    <row r="54" spans="1:15" s="84" customFormat="1" x14ac:dyDescent="0.25">
      <c r="A54" s="2"/>
      <c r="B54" s="2"/>
      <c r="C54" s="2"/>
      <c r="D54" s="2"/>
      <c r="E54" s="2"/>
      <c r="F54" s="2"/>
      <c r="G54" s="2"/>
      <c r="H54" s="2"/>
      <c r="I54" s="2"/>
      <c r="J54" s="2"/>
      <c r="K54" s="2"/>
      <c r="L54" s="2"/>
      <c r="M54" s="2"/>
      <c r="N54" s="2"/>
      <c r="O54" s="2"/>
    </row>
    <row r="55" spans="1:15" s="84" customFormat="1" x14ac:dyDescent="0.25">
      <c r="A55" s="4" t="s">
        <v>355</v>
      </c>
      <c r="B55" s="2" t="s">
        <v>356</v>
      </c>
      <c r="C55" s="2"/>
      <c r="D55" s="2"/>
      <c r="E55" s="2"/>
      <c r="F55" s="2"/>
      <c r="G55" s="2"/>
      <c r="H55" s="2"/>
      <c r="I55" s="2"/>
      <c r="J55" s="2"/>
      <c r="K55" s="2"/>
      <c r="L55" s="2"/>
      <c r="M55" s="2"/>
      <c r="N55" s="2"/>
      <c r="O55" s="2"/>
    </row>
    <row r="56" spans="1:15" s="84" customFormat="1" x14ac:dyDescent="0.25">
      <c r="A56" s="2"/>
      <c r="B56" s="2" t="s">
        <v>15</v>
      </c>
      <c r="C56" s="2"/>
      <c r="D56" s="2"/>
      <c r="E56" s="2"/>
      <c r="F56" s="2" t="s">
        <v>357</v>
      </c>
      <c r="G56" s="2"/>
      <c r="H56" s="2"/>
      <c r="I56" s="2"/>
      <c r="J56" s="2"/>
      <c r="K56" s="2"/>
      <c r="L56" s="2"/>
      <c r="M56" s="2"/>
      <c r="N56" s="2"/>
      <c r="O56" s="2"/>
    </row>
    <row r="57" spans="1:15" s="84" customFormat="1" x14ac:dyDescent="0.25">
      <c r="A57" s="2"/>
      <c r="B57" s="2" t="s">
        <v>317</v>
      </c>
      <c r="C57" s="2"/>
      <c r="D57" s="2"/>
      <c r="E57" s="2"/>
      <c r="F57" s="310">
        <f ca="1">Y31</f>
        <v>1044.29</v>
      </c>
      <c r="G57" s="2"/>
      <c r="H57" s="2"/>
      <c r="I57" s="2"/>
      <c r="J57" s="2"/>
      <c r="K57" s="2"/>
      <c r="L57" s="2"/>
      <c r="M57" s="2"/>
      <c r="N57" s="2"/>
      <c r="O57" s="2"/>
    </row>
    <row r="58" spans="1:15" s="84" customFormat="1" x14ac:dyDescent="0.25">
      <c r="A58" s="2"/>
      <c r="B58" s="2" t="s">
        <v>276</v>
      </c>
      <c r="C58" s="2"/>
      <c r="D58" s="2"/>
      <c r="E58" s="2"/>
      <c r="F58" s="310">
        <v>0</v>
      </c>
      <c r="G58" s="2"/>
      <c r="H58" s="2"/>
      <c r="I58" s="2"/>
      <c r="J58" s="2"/>
      <c r="K58" s="2"/>
      <c r="L58" s="2"/>
      <c r="M58" s="2"/>
      <c r="N58" s="2"/>
      <c r="O58" s="2"/>
    </row>
    <row r="59" spans="1:15" s="84" customFormat="1" x14ac:dyDescent="0.25">
      <c r="A59" s="2"/>
      <c r="B59" s="2" t="s">
        <v>342</v>
      </c>
      <c r="C59" s="2"/>
      <c r="D59" s="2"/>
      <c r="E59" s="2"/>
      <c r="F59" s="310">
        <v>0</v>
      </c>
      <c r="G59" s="2"/>
      <c r="H59" s="2"/>
      <c r="I59" s="2"/>
      <c r="J59" s="2"/>
      <c r="K59" s="2"/>
      <c r="L59" s="2"/>
      <c r="M59" s="2"/>
      <c r="N59" s="2"/>
      <c r="O59" s="2"/>
    </row>
    <row r="60" spans="1:15" s="84" customFormat="1" x14ac:dyDescent="0.25">
      <c r="A60" s="2"/>
      <c r="B60" s="2" t="s">
        <v>343</v>
      </c>
      <c r="C60" s="2"/>
      <c r="D60" s="2"/>
      <c r="E60" s="2"/>
      <c r="F60" s="310">
        <v>0</v>
      </c>
      <c r="G60" s="2"/>
      <c r="H60" s="2"/>
      <c r="I60" s="2"/>
      <c r="J60" s="2"/>
      <c r="K60" s="2"/>
      <c r="L60" s="2"/>
      <c r="M60" s="2"/>
      <c r="N60" s="2"/>
      <c r="O60" s="2"/>
    </row>
    <row r="61" spans="1:15" s="84" customFormat="1" x14ac:dyDescent="0.25">
      <c r="A61" s="2"/>
      <c r="B61" s="2" t="s">
        <v>345</v>
      </c>
      <c r="C61" s="2"/>
      <c r="D61" s="2"/>
      <c r="E61" s="2"/>
      <c r="F61" s="310">
        <v>0</v>
      </c>
      <c r="G61" s="2"/>
      <c r="H61" s="2"/>
      <c r="I61" s="2"/>
      <c r="J61" s="2"/>
      <c r="K61" s="2"/>
      <c r="L61" s="2"/>
      <c r="M61" s="2"/>
      <c r="N61" s="2"/>
      <c r="O61" s="2"/>
    </row>
    <row r="62" spans="1:15" s="84" customFormat="1" x14ac:dyDescent="0.25">
      <c r="A62" s="2"/>
      <c r="B62" s="2" t="s">
        <v>516</v>
      </c>
      <c r="C62" s="2"/>
      <c r="D62" s="2"/>
      <c r="E62" s="2"/>
      <c r="F62" s="310">
        <v>0</v>
      </c>
      <c r="G62" s="2"/>
      <c r="H62" s="2"/>
      <c r="I62" s="2"/>
      <c r="J62" s="2"/>
      <c r="K62" s="2"/>
      <c r="L62" s="2"/>
      <c r="M62" s="2"/>
      <c r="N62" s="2"/>
      <c r="O62" s="2"/>
    </row>
    <row r="63" spans="1:15" s="84" customFormat="1" x14ac:dyDescent="0.25">
      <c r="A63" s="2"/>
      <c r="B63" s="2"/>
      <c r="C63" s="2"/>
      <c r="D63" s="2"/>
      <c r="E63" s="332" t="s">
        <v>329</v>
      </c>
      <c r="F63" s="331">
        <f ca="1">SUM(F57:F62)</f>
        <v>1044.29</v>
      </c>
      <c r="G63" s="2"/>
      <c r="H63" s="2"/>
      <c r="I63" s="2"/>
      <c r="J63" s="2"/>
      <c r="K63" s="2"/>
      <c r="L63" s="2"/>
      <c r="M63" s="2"/>
      <c r="N63" s="2"/>
      <c r="O63" s="2"/>
    </row>
    <row r="64" spans="1:15" s="84" customFormat="1" x14ac:dyDescent="0.25">
      <c r="A64" s="2"/>
      <c r="B64" s="2"/>
      <c r="C64" s="2"/>
      <c r="D64" s="2"/>
      <c r="E64" s="2"/>
      <c r="F64" s="2"/>
      <c r="G64" s="2"/>
      <c r="H64" s="2"/>
      <c r="I64" s="2"/>
      <c r="J64" s="2"/>
      <c r="K64" s="2"/>
      <c r="L64" s="2"/>
      <c r="M64" s="2"/>
      <c r="N64" s="2"/>
      <c r="O64" s="2"/>
    </row>
    <row r="65" spans="1:22" s="84" customFormat="1" ht="17.25" x14ac:dyDescent="0.25">
      <c r="A65" s="328" t="s">
        <v>428</v>
      </c>
      <c r="B65" s="328" t="s">
        <v>207</v>
      </c>
      <c r="C65" s="328"/>
      <c r="D65" s="328"/>
      <c r="E65" s="328"/>
      <c r="F65" s="28"/>
      <c r="G65" s="28"/>
      <c r="H65" s="28"/>
      <c r="I65" s="28"/>
      <c r="J65" s="28"/>
      <c r="K65" s="28"/>
      <c r="L65" s="28"/>
      <c r="M65" s="28"/>
      <c r="N65" s="28"/>
      <c r="O65" s="28"/>
    </row>
    <row r="66" spans="1:22" s="84" customFormat="1" x14ac:dyDescent="0.25">
      <c r="A66" s="333" t="s">
        <v>429</v>
      </c>
      <c r="B66" s="333" t="s">
        <v>732</v>
      </c>
      <c r="C66" s="333"/>
      <c r="D66" s="333"/>
      <c r="E66" s="333"/>
      <c r="F66" s="333"/>
    </row>
    <row r="67" spans="1:22" s="84" customFormat="1" x14ac:dyDescent="0.25">
      <c r="C67" s="334" t="s">
        <v>729</v>
      </c>
      <c r="D67" s="84">
        <v>1</v>
      </c>
      <c r="E67" s="84" t="s">
        <v>198</v>
      </c>
    </row>
    <row r="68" spans="1:22" s="84" customFormat="1" x14ac:dyDescent="0.25">
      <c r="C68" s="334" t="s">
        <v>1</v>
      </c>
      <c r="D68" s="84">
        <v>1</v>
      </c>
      <c r="E68" s="84" t="s">
        <v>13</v>
      </c>
    </row>
    <row r="69" spans="1:22" s="84" customFormat="1" x14ac:dyDescent="0.25">
      <c r="C69" s="334" t="s">
        <v>730</v>
      </c>
      <c r="D69" s="84">
        <f>ROUNDUP(D68/D67,0)</f>
        <v>1</v>
      </c>
      <c r="F69" s="334" t="s">
        <v>1106</v>
      </c>
      <c r="G69" s="84">
        <v>2</v>
      </c>
      <c r="H69" s="84" t="s">
        <v>1107</v>
      </c>
      <c r="J69" s="334" t="s">
        <v>1108</v>
      </c>
      <c r="K69" s="84">
        <f>D69+G69-1</f>
        <v>2</v>
      </c>
    </row>
    <row r="70" spans="1:22" s="84" customFormat="1" x14ac:dyDescent="0.25">
      <c r="C70" s="334"/>
      <c r="I70" s="2"/>
      <c r="J70" s="51" t="s">
        <v>319</v>
      </c>
      <c r="K70" s="2">
        <f>ROUNDUP(K69*Listas!$E$5,0)</f>
        <v>3</v>
      </c>
    </row>
    <row r="71" spans="1:22" s="84" customFormat="1" x14ac:dyDescent="0.25"/>
    <row r="72" spans="1:22" s="84" customFormat="1" x14ac:dyDescent="0.25">
      <c r="B72" s="84" t="s">
        <v>430</v>
      </c>
      <c r="D72" s="84" t="s">
        <v>15</v>
      </c>
    </row>
    <row r="73" spans="1:22" s="84" customFormat="1" x14ac:dyDescent="0.25">
      <c r="B73" s="84">
        <v>1</v>
      </c>
      <c r="D73" s="84" t="s">
        <v>1222</v>
      </c>
    </row>
    <row r="74" spans="1:22" s="84" customFormat="1" x14ac:dyDescent="0.25">
      <c r="B74" s="84">
        <v>2</v>
      </c>
      <c r="D74" s="84" t="s">
        <v>866</v>
      </c>
    </row>
    <row r="75" spans="1:22" s="84" customFormat="1" x14ac:dyDescent="0.25">
      <c r="B75" s="84">
        <v>3</v>
      </c>
      <c r="D75" s="84" t="s">
        <v>1223</v>
      </c>
    </row>
    <row r="76" spans="1:22" s="84" customFormat="1" x14ac:dyDescent="0.25">
      <c r="J76" s="335"/>
    </row>
    <row r="77" spans="1:22" s="84" customFormat="1" x14ac:dyDescent="0.25">
      <c r="A77" s="4" t="s">
        <v>61</v>
      </c>
      <c r="B77" s="2" t="s">
        <v>338</v>
      </c>
      <c r="J77" s="335"/>
    </row>
    <row r="78" spans="1:22" s="84" customFormat="1" x14ac:dyDescent="0.25">
      <c r="B78" s="4" t="s">
        <v>360</v>
      </c>
      <c r="C78" s="2" t="s">
        <v>15</v>
      </c>
      <c r="D78" s="4"/>
      <c r="E78" s="4"/>
      <c r="F78" s="4" t="s">
        <v>321</v>
      </c>
      <c r="G78" s="4"/>
      <c r="H78" s="4" t="s">
        <v>322</v>
      </c>
      <c r="I78" s="4"/>
      <c r="J78" s="4" t="s">
        <v>323</v>
      </c>
      <c r="K78" s="4"/>
      <c r="L78" s="2"/>
      <c r="M78" s="4" t="s">
        <v>324</v>
      </c>
      <c r="N78" s="4"/>
      <c r="O78" s="4" t="s">
        <v>325</v>
      </c>
      <c r="P78" s="4"/>
      <c r="Q78" s="4" t="s">
        <v>326</v>
      </c>
      <c r="R78" s="4"/>
      <c r="S78" s="4" t="s">
        <v>327</v>
      </c>
      <c r="T78" s="4"/>
      <c r="U78" s="4" t="s">
        <v>328</v>
      </c>
      <c r="V78" s="330" t="s">
        <v>329</v>
      </c>
    </row>
    <row r="79" spans="1:22" s="84" customFormat="1" x14ac:dyDescent="0.25">
      <c r="B79" s="4"/>
      <c r="C79" s="4"/>
      <c r="D79" s="4"/>
      <c r="E79" s="4"/>
      <c r="F79" s="4"/>
      <c r="G79" s="4"/>
      <c r="H79" s="4" t="s">
        <v>330</v>
      </c>
      <c r="I79" s="4"/>
      <c r="J79" s="4" t="s">
        <v>331</v>
      </c>
      <c r="K79" s="4"/>
      <c r="L79" s="2"/>
      <c r="M79" s="4" t="s">
        <v>332</v>
      </c>
      <c r="N79" s="4"/>
      <c r="O79" s="4" t="s">
        <v>333</v>
      </c>
      <c r="P79" s="4"/>
      <c r="Q79" s="4" t="s">
        <v>334</v>
      </c>
      <c r="R79" s="4"/>
      <c r="S79" s="4" t="s">
        <v>335</v>
      </c>
      <c r="T79" s="4"/>
      <c r="U79" s="4" t="s">
        <v>336</v>
      </c>
      <c r="V79" s="330" t="s">
        <v>337</v>
      </c>
    </row>
    <row r="80" spans="1:22" s="84" customFormat="1" x14ac:dyDescent="0.25">
      <c r="B80" s="4" t="s">
        <v>98</v>
      </c>
      <c r="C80" s="2" t="str">
        <f ca="1">IFERROR(VLOOKUP(B80,MO_Matriz,2,0),"")</f>
        <v>Engenheiro ambiental pleno</v>
      </c>
      <c r="D80" s="2"/>
      <c r="E80" s="2"/>
      <c r="F80" s="4" t="str">
        <f ca="1">IFERROR(VLOOKUP(B80,MO_Matriz,3,0),"")</f>
        <v>S</v>
      </c>
      <c r="G80" s="2"/>
      <c r="H80" s="2">
        <v>1</v>
      </c>
      <c r="I80" s="2"/>
      <c r="J80" s="2">
        <v>1</v>
      </c>
      <c r="K80" s="2"/>
      <c r="L80" s="2"/>
      <c r="M80" s="2">
        <f>Listas!$B$6</f>
        <v>7.333333333333333</v>
      </c>
      <c r="N80" s="2"/>
      <c r="O80" s="238">
        <v>3</v>
      </c>
      <c r="P80" s="2"/>
      <c r="Q80" s="2">
        <f>H80*J80*M80*O80</f>
        <v>22</v>
      </c>
      <c r="R80" s="2"/>
      <c r="S80" s="2">
        <f>Q80/220</f>
        <v>0.1</v>
      </c>
      <c r="T80" s="2"/>
      <c r="U80" s="310">
        <f ca="1">IFERROR(VLOOKUP(B80,MO_Matriz,5,0),"")</f>
        <v>26558.86</v>
      </c>
      <c r="V80" s="331">
        <f ca="1">TRUNC(S80*U80,2)</f>
        <v>2655.88</v>
      </c>
    </row>
    <row r="81" spans="1:22" s="84" customFormat="1" x14ac:dyDescent="0.25">
      <c r="B81" s="4" t="s">
        <v>59</v>
      </c>
      <c r="C81" s="2" t="str">
        <f ca="1">IFERROR(VLOOKUP(B81,MO_Matriz,2,0),"")</f>
        <v>Auxiliar</v>
      </c>
      <c r="D81" s="2"/>
      <c r="E81" s="2"/>
      <c r="F81" s="4" t="str">
        <f ca="1">IFERROR(VLOOKUP(B81,MO_Matriz,3,0),"")</f>
        <v>A</v>
      </c>
      <c r="G81" s="2"/>
      <c r="H81" s="2">
        <v>1</v>
      </c>
      <c r="I81" s="2"/>
      <c r="J81" s="2">
        <v>1</v>
      </c>
      <c r="K81" s="2"/>
      <c r="L81" s="2"/>
      <c r="M81" s="2">
        <f>Listas!$B$6</f>
        <v>7.333333333333333</v>
      </c>
      <c r="N81" s="2"/>
      <c r="O81" s="238">
        <v>3</v>
      </c>
      <c r="P81" s="2"/>
      <c r="Q81" s="2">
        <f>H81*J81*M81*O81</f>
        <v>22</v>
      </c>
      <c r="R81" s="2"/>
      <c r="S81" s="2">
        <f>Q81/220</f>
        <v>0.1</v>
      </c>
      <c r="T81" s="2"/>
      <c r="U81" s="310">
        <f ca="1">IFERROR(VLOOKUP(B81,MO_Matriz,5,0),"")</f>
        <v>4276.41</v>
      </c>
      <c r="V81" s="331">
        <f t="shared" ref="V81" ca="1" si="0">TRUNC(S81*U81,2)</f>
        <v>427.64</v>
      </c>
    </row>
    <row r="82" spans="1:22" s="84" customFormat="1" x14ac:dyDescent="0.25">
      <c r="B82" s="2"/>
      <c r="C82" s="2"/>
      <c r="D82" s="2"/>
      <c r="E82" s="2"/>
      <c r="F82" s="2"/>
      <c r="G82" s="2"/>
      <c r="H82" s="2"/>
      <c r="I82" s="2"/>
      <c r="J82" s="2"/>
      <c r="K82" s="2"/>
      <c r="L82" s="2"/>
      <c r="M82" s="2"/>
      <c r="N82" s="2"/>
      <c r="O82" s="2"/>
      <c r="P82" s="2"/>
      <c r="Q82" s="2"/>
      <c r="R82" s="2"/>
      <c r="S82" s="2"/>
      <c r="T82" s="2"/>
      <c r="U82" s="332" t="s">
        <v>329</v>
      </c>
      <c r="V82" s="331">
        <f ca="1">SUM(V80:V81)</f>
        <v>3083.52</v>
      </c>
    </row>
    <row r="83" spans="1:22" s="84" customFormat="1" x14ac:dyDescent="0.25">
      <c r="A83" s="329" t="s">
        <v>339</v>
      </c>
      <c r="B83" s="2" t="s">
        <v>340</v>
      </c>
      <c r="J83" s="335"/>
    </row>
    <row r="84" spans="1:22" s="84" customFormat="1" x14ac:dyDescent="0.25">
      <c r="B84" s="2" t="s">
        <v>360</v>
      </c>
      <c r="C84" s="2" t="s">
        <v>15</v>
      </c>
      <c r="D84" s="2"/>
      <c r="E84" s="2"/>
      <c r="F84" s="2"/>
      <c r="G84" s="2" t="s">
        <v>31</v>
      </c>
      <c r="H84" s="2" t="s">
        <v>224</v>
      </c>
      <c r="I84" s="2" t="s">
        <v>361</v>
      </c>
      <c r="J84" s="2"/>
      <c r="K84" s="2" t="s">
        <v>328</v>
      </c>
      <c r="L84" s="2"/>
      <c r="M84" s="332" t="s">
        <v>362</v>
      </c>
    </row>
    <row r="85" spans="1:22" s="84" customFormat="1" x14ac:dyDescent="0.25">
      <c r="B85" s="2"/>
      <c r="C85" s="2"/>
      <c r="D85" s="2"/>
      <c r="E85" s="2"/>
      <c r="F85" s="2"/>
      <c r="G85" s="4" t="s">
        <v>363</v>
      </c>
      <c r="H85" s="4" t="s">
        <v>330</v>
      </c>
      <c r="I85" s="4" t="s">
        <v>364</v>
      </c>
      <c r="J85" s="4"/>
      <c r="K85" s="4" t="s">
        <v>332</v>
      </c>
      <c r="L85" s="4"/>
      <c r="M85" s="330" t="s">
        <v>365</v>
      </c>
    </row>
    <row r="86" spans="1:22" s="84" customFormat="1" x14ac:dyDescent="0.25">
      <c r="B86" s="43" t="s">
        <v>190</v>
      </c>
      <c r="C86" s="2" t="str">
        <f ca="1">IFERROR(VLOOKUP(B86,Veiculo_Equip_Matriz,2,0),"")</f>
        <v>Veículo leve - 53 kW (sem motorista)</v>
      </c>
      <c r="D86" s="2"/>
      <c r="E86" s="2"/>
      <c r="F86" s="2"/>
      <c r="G86" s="2">
        <v>1</v>
      </c>
      <c r="H86" s="4">
        <v>2</v>
      </c>
      <c r="I86" s="2">
        <f>H86/30</f>
        <v>6.6666666666666666E-2</v>
      </c>
      <c r="J86" s="4"/>
      <c r="K86" s="310">
        <f ca="1">IFERROR(VLOOKUP(B86,Veiculo_Equip_Matriz,10,0),"")</f>
        <v>3186.8793000000001</v>
      </c>
      <c r="L86" s="4"/>
      <c r="M86" s="331">
        <f ca="1">TRUNC(G86*I86*K86,2)</f>
        <v>212.45</v>
      </c>
    </row>
    <row r="87" spans="1:22" s="84" customFormat="1" x14ac:dyDescent="0.25">
      <c r="B87" s="43"/>
      <c r="C87" s="2"/>
      <c r="D87" s="2"/>
      <c r="E87" s="2"/>
      <c r="F87" s="2"/>
      <c r="G87" s="2"/>
      <c r="H87" s="238"/>
      <c r="I87" s="2"/>
      <c r="J87" s="2"/>
      <c r="K87" s="310"/>
      <c r="L87" s="332" t="s">
        <v>329</v>
      </c>
      <c r="M87" s="331">
        <f ca="1">SUM(M86:M86)</f>
        <v>212.45</v>
      </c>
    </row>
    <row r="88" spans="1:22" s="84" customFormat="1" x14ac:dyDescent="0.25">
      <c r="A88" s="4" t="s">
        <v>348</v>
      </c>
      <c r="B88" s="2" t="s">
        <v>349</v>
      </c>
    </row>
    <row r="89" spans="1:22" s="84" customFormat="1" x14ac:dyDescent="0.25">
      <c r="A89" s="4" t="s">
        <v>451</v>
      </c>
      <c r="B89" s="2" t="s">
        <v>452</v>
      </c>
      <c r="C89" s="2"/>
      <c r="D89" s="2"/>
      <c r="E89" s="2"/>
      <c r="F89" s="2"/>
      <c r="G89" s="2"/>
      <c r="H89" s="2"/>
      <c r="I89" s="2"/>
      <c r="J89" s="2"/>
    </row>
    <row r="90" spans="1:22" s="84" customFormat="1" x14ac:dyDescent="0.25">
      <c r="A90" s="2"/>
      <c r="B90" s="2" t="s">
        <v>1033</v>
      </c>
      <c r="C90" s="2"/>
      <c r="D90" s="2"/>
      <c r="E90" s="2"/>
      <c r="F90" s="4"/>
      <c r="G90" s="4"/>
      <c r="H90" s="4"/>
      <c r="I90" s="4"/>
      <c r="J90" s="4"/>
    </row>
    <row r="91" spans="1:22" s="84" customFormat="1" x14ac:dyDescent="0.25">
      <c r="A91" s="2"/>
      <c r="B91" s="4"/>
      <c r="C91" s="2"/>
      <c r="D91" s="2"/>
      <c r="E91" s="2"/>
      <c r="F91" s="4"/>
      <c r="G91" s="2"/>
      <c r="H91" s="2"/>
      <c r="I91" s="2"/>
      <c r="J91" s="2"/>
    </row>
    <row r="92" spans="1:22" s="84" customFormat="1" x14ac:dyDescent="0.25">
      <c r="A92" s="4" t="s">
        <v>456</v>
      </c>
      <c r="B92" s="2" t="s">
        <v>457</v>
      </c>
      <c r="C92" s="2"/>
      <c r="D92" s="2"/>
      <c r="E92" s="2"/>
      <c r="F92" s="2"/>
      <c r="G92" s="2"/>
      <c r="H92" s="2"/>
      <c r="I92" s="2"/>
      <c r="J92" s="2"/>
    </row>
    <row r="93" spans="1:22" s="84" customFormat="1" x14ac:dyDescent="0.25">
      <c r="A93" s="2"/>
      <c r="B93" s="2"/>
      <c r="C93" s="2"/>
      <c r="D93" s="2"/>
      <c r="E93" s="2"/>
      <c r="F93" s="2"/>
      <c r="G93" s="2"/>
      <c r="H93" s="2"/>
      <c r="I93" s="2"/>
      <c r="J93" s="2"/>
    </row>
    <row r="94" spans="1:22" s="84" customFormat="1" x14ac:dyDescent="0.25">
      <c r="A94" s="2"/>
      <c r="B94" s="4" t="s">
        <v>360</v>
      </c>
      <c r="C94" s="2" t="s">
        <v>15</v>
      </c>
      <c r="D94" s="2"/>
      <c r="E94" s="2"/>
      <c r="F94" s="4" t="s">
        <v>321</v>
      </c>
      <c r="G94" s="4"/>
      <c r="H94" s="4" t="s">
        <v>453</v>
      </c>
      <c r="I94" s="4"/>
      <c r="J94" s="4" t="s">
        <v>454</v>
      </c>
    </row>
    <row r="95" spans="1:22" s="84" customFormat="1" x14ac:dyDescent="0.25">
      <c r="A95" s="2"/>
      <c r="B95" s="4" t="str">
        <f>B80</f>
        <v>P8058</v>
      </c>
      <c r="C95" s="2" t="str">
        <f ca="1">IFERROR(VLOOKUP(B95,MO_Matriz,2,0),"")</f>
        <v>Engenheiro ambiental pleno</v>
      </c>
      <c r="D95" s="2"/>
      <c r="E95" s="2"/>
      <c r="F95" s="4" t="str">
        <f ca="1">IFERROR(VLOOKUP(B95,MO_Matriz,3,0),"")</f>
        <v>S</v>
      </c>
      <c r="G95" s="2"/>
      <c r="H95" s="4" t="s">
        <v>455</v>
      </c>
      <c r="I95" s="2"/>
      <c r="J95" s="2">
        <v>1</v>
      </c>
    </row>
    <row r="96" spans="1:22" s="84" customFormat="1" x14ac:dyDescent="0.25">
      <c r="A96" s="2"/>
      <c r="B96" s="2"/>
      <c r="C96" s="2"/>
      <c r="D96" s="2"/>
      <c r="E96" s="2"/>
      <c r="F96" s="2"/>
      <c r="G96" s="2"/>
      <c r="H96" s="2"/>
      <c r="I96" s="332" t="s">
        <v>329</v>
      </c>
      <c r="J96" s="332">
        <f>SUM(J95:J95)</f>
        <v>1</v>
      </c>
    </row>
    <row r="97" spans="1:11" s="84" customFormat="1" x14ac:dyDescent="0.25">
      <c r="A97" s="2"/>
      <c r="B97" s="2"/>
    </row>
    <row r="98" spans="1:11" s="84" customFormat="1" x14ac:dyDescent="0.25">
      <c r="A98" s="4" t="s">
        <v>350</v>
      </c>
      <c r="B98" s="2" t="s">
        <v>351</v>
      </c>
      <c r="J98" s="335"/>
    </row>
    <row r="99" spans="1:11" s="84" customFormat="1" x14ac:dyDescent="0.25">
      <c r="A99" s="2"/>
      <c r="B99" s="2" t="s">
        <v>344</v>
      </c>
      <c r="J99" s="335"/>
    </row>
    <row r="100" spans="1:11" s="84" customFormat="1" x14ac:dyDescent="0.25">
      <c r="J100" s="335"/>
    </row>
    <row r="101" spans="1:11" s="84" customFormat="1" x14ac:dyDescent="0.25">
      <c r="A101" s="4" t="s">
        <v>197</v>
      </c>
      <c r="B101" s="2" t="s">
        <v>352</v>
      </c>
      <c r="C101" s="2"/>
      <c r="D101" s="2"/>
      <c r="E101" s="2"/>
      <c r="F101" s="2"/>
      <c r="G101" s="2"/>
      <c r="H101" s="2"/>
      <c r="I101" s="2"/>
      <c r="J101" s="2"/>
      <c r="K101" s="2"/>
    </row>
    <row r="102" spans="1:11" s="84" customFormat="1" x14ac:dyDescent="0.25">
      <c r="A102" s="4"/>
      <c r="B102" s="2" t="s">
        <v>1035</v>
      </c>
      <c r="C102" s="2"/>
      <c r="D102" s="2"/>
      <c r="E102" s="2"/>
      <c r="F102" s="2"/>
      <c r="G102" s="2"/>
      <c r="H102" s="2"/>
      <c r="I102" s="2"/>
      <c r="J102" s="2"/>
      <c r="K102" s="2"/>
    </row>
    <row r="103" spans="1:11" s="84" customFormat="1" x14ac:dyDescent="0.25">
      <c r="A103" s="4" t="s">
        <v>450</v>
      </c>
      <c r="B103" s="2" t="s">
        <v>433</v>
      </c>
      <c r="C103" s="2"/>
      <c r="D103" s="2"/>
      <c r="E103" s="2"/>
      <c r="F103" s="2"/>
      <c r="G103" s="2"/>
      <c r="H103" s="2"/>
      <c r="I103" s="2"/>
      <c r="J103" s="2"/>
      <c r="K103" s="2"/>
    </row>
    <row r="104" spans="1:11" s="84" customFormat="1" x14ac:dyDescent="0.25">
      <c r="A104" s="2"/>
      <c r="B104" s="2" t="str">
        <f>"Segundo Decreto Estadual 13.329/2011, para "&amp;Listas!$D$17&amp;" :"</f>
        <v>Segundo Decreto Estadual 13.329/2011, para Nova Andradina :</v>
      </c>
      <c r="C104" s="2"/>
      <c r="D104" s="2"/>
      <c r="E104" s="2"/>
      <c r="F104" s="2"/>
      <c r="G104" s="2"/>
      <c r="H104" s="2"/>
      <c r="I104" s="2"/>
      <c r="J104" s="2"/>
      <c r="K104" s="2"/>
    </row>
    <row r="105" spans="1:11" s="84" customFormat="1" x14ac:dyDescent="0.25">
      <c r="A105" s="2"/>
      <c r="B105" s="2" t="s">
        <v>15</v>
      </c>
      <c r="C105" s="2"/>
      <c r="D105" s="2"/>
      <c r="E105" s="2" t="s">
        <v>357</v>
      </c>
      <c r="F105" s="2" t="s">
        <v>202</v>
      </c>
      <c r="G105" s="2"/>
      <c r="H105" s="2"/>
      <c r="I105" s="2"/>
      <c r="J105" s="2"/>
      <c r="K105" s="2"/>
    </row>
    <row r="106" spans="1:11" s="84" customFormat="1" x14ac:dyDescent="0.25">
      <c r="A106" s="2"/>
      <c r="B106" s="2" t="s">
        <v>248</v>
      </c>
      <c r="C106" s="2"/>
      <c r="D106" s="2"/>
      <c r="E106" s="238">
        <f>Listas!$D$19</f>
        <v>250</v>
      </c>
      <c r="F106" s="2"/>
      <c r="G106" s="2"/>
      <c r="H106" s="2"/>
      <c r="I106" s="2"/>
      <c r="J106" s="2"/>
      <c r="K106" s="2"/>
    </row>
    <row r="107" spans="1:11" s="84" customFormat="1" x14ac:dyDescent="0.25">
      <c r="A107" s="2"/>
      <c r="B107" s="2" t="s">
        <v>252</v>
      </c>
      <c r="C107" s="2"/>
      <c r="D107" s="2"/>
      <c r="E107" s="238">
        <f>E106/2</f>
        <v>125</v>
      </c>
      <c r="F107" s="238">
        <f>O80</f>
        <v>3</v>
      </c>
      <c r="G107" s="2"/>
      <c r="H107" s="2"/>
      <c r="I107" s="2"/>
      <c r="J107" s="2"/>
      <c r="K107" s="2"/>
    </row>
    <row r="108" spans="1:11" s="84" customFormat="1" x14ac:dyDescent="0.25">
      <c r="A108" s="2"/>
      <c r="B108" s="2" t="s">
        <v>255</v>
      </c>
      <c r="C108" s="2"/>
      <c r="D108" s="2"/>
      <c r="E108" s="238">
        <f>E107</f>
        <v>125</v>
      </c>
      <c r="F108" s="238">
        <f>F107-1</f>
        <v>2</v>
      </c>
      <c r="G108" s="2"/>
      <c r="H108" s="2"/>
      <c r="I108" s="2"/>
      <c r="J108" s="2"/>
      <c r="K108" s="2"/>
    </row>
    <row r="109" spans="1:11" s="84" customFormat="1" x14ac:dyDescent="0.25">
      <c r="A109" s="2"/>
      <c r="B109" s="2"/>
      <c r="C109" s="2"/>
      <c r="D109" s="2"/>
      <c r="E109" s="2"/>
      <c r="F109" s="2"/>
      <c r="G109" s="2"/>
      <c r="H109" s="2"/>
      <c r="I109" s="2"/>
      <c r="J109" s="2"/>
      <c r="K109" s="2"/>
    </row>
    <row r="110" spans="1:11" s="84" customFormat="1" x14ac:dyDescent="0.25">
      <c r="A110" s="2"/>
      <c r="B110" s="4" t="s">
        <v>360</v>
      </c>
      <c r="C110" s="2" t="s">
        <v>15</v>
      </c>
      <c r="D110" s="4"/>
      <c r="E110" s="4"/>
      <c r="F110" s="4" t="s">
        <v>321</v>
      </c>
      <c r="G110" s="4"/>
      <c r="H110" s="4" t="s">
        <v>434</v>
      </c>
      <c r="I110" s="4"/>
      <c r="J110" s="4" t="s">
        <v>435</v>
      </c>
      <c r="K110" s="330" t="s">
        <v>329</v>
      </c>
    </row>
    <row r="111" spans="1:11" s="84" customFormat="1" x14ac:dyDescent="0.25">
      <c r="A111" s="2"/>
      <c r="B111" s="4"/>
      <c r="C111" s="4"/>
      <c r="D111" s="4"/>
      <c r="E111" s="4"/>
      <c r="F111" s="4"/>
      <c r="G111" s="4"/>
      <c r="H111" s="4" t="s">
        <v>363</v>
      </c>
      <c r="I111" s="4"/>
      <c r="J111" s="4" t="s">
        <v>330</v>
      </c>
      <c r="K111" s="330" t="s">
        <v>436</v>
      </c>
    </row>
    <row r="112" spans="1:11" s="84" customFormat="1" x14ac:dyDescent="0.25">
      <c r="A112" s="2"/>
      <c r="B112" s="4" t="str">
        <f>B80</f>
        <v>P8058</v>
      </c>
      <c r="C112" s="2" t="str">
        <f ca="1">IFERROR(VLOOKUP(B112,MO_Matriz,2,0),"")</f>
        <v>Engenheiro ambiental pleno</v>
      </c>
      <c r="D112" s="2"/>
      <c r="E112" s="2"/>
      <c r="F112" s="4" t="str">
        <f ca="1">IFERROR(VLOOKUP(B112,MO_Matriz,3,0),"")</f>
        <v>S</v>
      </c>
      <c r="G112" s="2"/>
      <c r="H112" s="310">
        <f>$E$107*$F$107</f>
        <v>375</v>
      </c>
      <c r="I112" s="310"/>
      <c r="J112" s="310">
        <f>$E$108*$F$108</f>
        <v>250</v>
      </c>
      <c r="K112" s="331">
        <f>H112+J112</f>
        <v>625</v>
      </c>
    </row>
    <row r="113" spans="1:28" s="84" customFormat="1" x14ac:dyDescent="0.25">
      <c r="A113" s="2"/>
      <c r="B113" s="2"/>
      <c r="C113" s="2"/>
      <c r="D113" s="2"/>
      <c r="E113" s="2"/>
      <c r="F113" s="2"/>
      <c r="G113" s="2"/>
      <c r="H113" s="2"/>
      <c r="I113" s="2"/>
      <c r="J113" s="332" t="s">
        <v>329</v>
      </c>
      <c r="K113" s="331">
        <f>SUM(K112:K112)</f>
        <v>625</v>
      </c>
    </row>
    <row r="114" spans="1:28" s="84" customFormat="1" x14ac:dyDescent="0.25">
      <c r="A114" s="4" t="s">
        <v>459</v>
      </c>
      <c r="B114" s="2" t="s">
        <v>437</v>
      </c>
      <c r="C114" s="2"/>
      <c r="D114" s="2"/>
      <c r="E114" s="2"/>
      <c r="F114" s="2"/>
      <c r="G114" s="2"/>
      <c r="H114" s="2"/>
      <c r="I114" s="2"/>
      <c r="J114" s="2"/>
      <c r="K114" s="2"/>
    </row>
    <row r="115" spans="1:28" s="84" customFormat="1" x14ac:dyDescent="0.25">
      <c r="A115" s="2"/>
      <c r="B115" s="2" t="s">
        <v>438</v>
      </c>
      <c r="C115" s="2"/>
      <c r="D115" s="2"/>
      <c r="E115" s="2"/>
      <c r="F115" s="2"/>
      <c r="G115" s="2"/>
      <c r="H115" s="2"/>
      <c r="I115" s="2"/>
      <c r="J115" s="2"/>
      <c r="K115" s="2"/>
    </row>
    <row r="116" spans="1:28" s="84" customFormat="1" x14ac:dyDescent="0.25">
      <c r="A116" s="2"/>
      <c r="B116" s="2"/>
      <c r="C116" s="2"/>
      <c r="D116" s="2"/>
      <c r="E116" s="2"/>
      <c r="F116" s="2"/>
      <c r="G116" s="2"/>
      <c r="H116" s="2"/>
      <c r="I116" s="2"/>
      <c r="J116" s="2"/>
      <c r="K116" s="2"/>
    </row>
    <row r="117" spans="1:28" s="84" customFormat="1" x14ac:dyDescent="0.25">
      <c r="A117" s="4" t="s">
        <v>353</v>
      </c>
      <c r="B117" s="2" t="s">
        <v>354</v>
      </c>
      <c r="C117" s="2"/>
      <c r="D117" s="2"/>
      <c r="E117" s="2"/>
      <c r="F117" s="2"/>
      <c r="G117" s="2"/>
      <c r="H117" s="2"/>
      <c r="I117" s="2"/>
      <c r="J117" s="2"/>
      <c r="K117" s="2"/>
    </row>
    <row r="118" spans="1:28" s="84" customFormat="1" x14ac:dyDescent="0.25">
      <c r="A118" s="4" t="s">
        <v>385</v>
      </c>
      <c r="B118" s="2" t="s">
        <v>317</v>
      </c>
      <c r="C118" s="2"/>
      <c r="D118" s="2"/>
      <c r="E118" s="2"/>
      <c r="F118" s="2"/>
      <c r="G118" s="2"/>
      <c r="H118" s="2"/>
      <c r="I118" s="2"/>
      <c r="J118" s="2"/>
      <c r="K118" s="2"/>
      <c r="P118" s="2"/>
      <c r="Q118" s="2"/>
      <c r="R118" s="4"/>
      <c r="S118" s="4"/>
      <c r="T118" s="4"/>
      <c r="U118" s="4"/>
      <c r="V118" s="4"/>
      <c r="W118" s="2"/>
      <c r="X118" s="4"/>
      <c r="Y118" s="4"/>
      <c r="Z118" s="4"/>
      <c r="AA118" s="4"/>
      <c r="AB118" s="330"/>
    </row>
    <row r="119" spans="1:28" s="84" customFormat="1" x14ac:dyDescent="0.25">
      <c r="A119" s="4"/>
      <c r="B119" s="2" t="s">
        <v>1034</v>
      </c>
      <c r="C119" s="2"/>
      <c r="D119" s="2"/>
      <c r="E119" s="2"/>
      <c r="F119" s="2"/>
      <c r="G119" s="2"/>
      <c r="H119" s="2"/>
      <c r="I119" s="2"/>
      <c r="J119" s="2"/>
      <c r="K119" s="2"/>
      <c r="P119" s="4"/>
      <c r="Q119" s="2"/>
      <c r="R119" s="4"/>
      <c r="S119" s="4"/>
      <c r="T119" s="4"/>
      <c r="U119" s="4"/>
      <c r="V119" s="4"/>
      <c r="W119" s="2"/>
      <c r="X119" s="4"/>
      <c r="Y119" s="4"/>
      <c r="Z119" s="4"/>
      <c r="AA119" s="4"/>
      <c r="AB119" s="330"/>
    </row>
    <row r="120" spans="1:28" s="84" customFormat="1" x14ac:dyDescent="0.25">
      <c r="A120" s="4"/>
      <c r="B120" s="2"/>
      <c r="C120" s="2"/>
      <c r="D120" s="2"/>
      <c r="E120" s="2"/>
      <c r="F120" s="2"/>
      <c r="G120" s="2"/>
      <c r="H120" s="2"/>
      <c r="I120" s="2"/>
      <c r="J120" s="2"/>
      <c r="K120" s="2"/>
      <c r="P120" s="4"/>
      <c r="Q120" s="2"/>
      <c r="R120" s="238"/>
      <c r="S120" s="4"/>
      <c r="T120" s="310"/>
      <c r="U120" s="4"/>
      <c r="V120" s="2"/>
      <c r="W120" s="2"/>
      <c r="X120" s="2"/>
      <c r="Y120" s="4"/>
      <c r="Z120" s="310"/>
      <c r="AA120" s="310"/>
      <c r="AB120" s="331"/>
    </row>
    <row r="121" spans="1:28" s="84" customFormat="1" x14ac:dyDescent="0.25">
      <c r="A121" s="4" t="s">
        <v>386</v>
      </c>
      <c r="B121" s="2" t="s">
        <v>366</v>
      </c>
      <c r="C121" s="2"/>
      <c r="D121" s="2"/>
      <c r="E121" s="2"/>
      <c r="F121" s="2"/>
      <c r="G121" s="2"/>
      <c r="H121" s="2"/>
      <c r="I121" s="2"/>
      <c r="J121" s="2"/>
      <c r="K121" s="2"/>
      <c r="P121" s="4"/>
      <c r="Q121" s="2"/>
      <c r="R121" s="238"/>
      <c r="S121" s="4"/>
      <c r="T121" s="310"/>
      <c r="U121" s="4"/>
      <c r="V121" s="2"/>
      <c r="W121" s="2"/>
      <c r="X121" s="2"/>
      <c r="Y121" s="4"/>
      <c r="Z121" s="310"/>
      <c r="AA121" s="310"/>
      <c r="AB121" s="331"/>
    </row>
    <row r="122" spans="1:28" s="84" customFormat="1" x14ac:dyDescent="0.25">
      <c r="A122" s="4"/>
      <c r="B122" s="2"/>
      <c r="C122" s="2"/>
      <c r="D122" s="2"/>
      <c r="E122" s="2"/>
      <c r="F122" s="2"/>
      <c r="G122" s="2"/>
      <c r="H122" s="2"/>
      <c r="I122" s="2"/>
      <c r="J122" s="2"/>
      <c r="K122" s="2"/>
      <c r="AA122" s="332"/>
      <c r="AB122" s="331"/>
    </row>
    <row r="123" spans="1:28" s="84" customFormat="1" x14ac:dyDescent="0.25">
      <c r="A123" s="4"/>
      <c r="B123" s="2" t="s">
        <v>367</v>
      </c>
      <c r="C123" s="2"/>
      <c r="D123" s="2" t="s">
        <v>237</v>
      </c>
      <c r="E123" s="2"/>
      <c r="F123" s="4" t="s">
        <v>387</v>
      </c>
      <c r="G123" s="2"/>
      <c r="H123" s="4" t="s">
        <v>13</v>
      </c>
      <c r="I123" s="4" t="s">
        <v>414</v>
      </c>
      <c r="J123" s="2"/>
      <c r="K123" s="2" t="s">
        <v>15</v>
      </c>
      <c r="N123" s="4" t="s">
        <v>368</v>
      </c>
      <c r="O123" s="4" t="s">
        <v>357</v>
      </c>
    </row>
    <row r="124" spans="1:28" s="84" customFormat="1" x14ac:dyDescent="0.25">
      <c r="A124" s="4"/>
      <c r="B124" s="2" t="s">
        <v>245</v>
      </c>
      <c r="C124" s="2"/>
      <c r="D124" s="2" t="s">
        <v>245</v>
      </c>
      <c r="E124" s="2"/>
      <c r="F124" s="238">
        <f>Listas!$J$3</f>
        <v>60</v>
      </c>
      <c r="G124" s="2"/>
      <c r="H124" s="238">
        <f>Listas!D18</f>
        <v>305</v>
      </c>
      <c r="I124" s="311">
        <f>H124/H127</f>
        <v>1</v>
      </c>
      <c r="J124" s="2"/>
      <c r="K124" s="2" t="s">
        <v>369</v>
      </c>
      <c r="N124" s="336" t="str">
        <f>Listas!$D$21</f>
        <v>ABRIL/25</v>
      </c>
      <c r="O124" s="84">
        <f>Listas!$D$23</f>
        <v>303.67500000000001</v>
      </c>
    </row>
    <row r="125" spans="1:28" s="84" customFormat="1" x14ac:dyDescent="0.25">
      <c r="A125" s="4"/>
      <c r="B125" s="2"/>
      <c r="C125" s="2"/>
      <c r="D125" s="2" t="s">
        <v>251</v>
      </c>
      <c r="E125" s="2"/>
      <c r="F125" s="238">
        <f>Listas!$J$4</f>
        <v>50</v>
      </c>
      <c r="G125" s="2"/>
      <c r="H125" s="238">
        <f>Listas!$L$4</f>
        <v>0</v>
      </c>
      <c r="I125" s="311">
        <f>H125/H127</f>
        <v>0</v>
      </c>
      <c r="J125" s="2"/>
      <c r="K125" s="2" t="s">
        <v>369</v>
      </c>
      <c r="N125" s="336" t="str">
        <f>Listas!$D$21</f>
        <v>ABRIL/25</v>
      </c>
      <c r="O125" s="84">
        <f>Listas!$D$23</f>
        <v>303.67500000000001</v>
      </c>
    </row>
    <row r="126" spans="1:28" s="84" customFormat="1" x14ac:dyDescent="0.25">
      <c r="A126" s="4"/>
      <c r="B126" s="2"/>
      <c r="C126" s="2"/>
      <c r="D126" s="2" t="s">
        <v>254</v>
      </c>
      <c r="E126" s="2"/>
      <c r="F126" s="238">
        <f>Listas!$J$5</f>
        <v>40</v>
      </c>
      <c r="G126" s="2"/>
      <c r="H126" s="238">
        <f>Listas!$L$5</f>
        <v>0</v>
      </c>
      <c r="I126" s="311">
        <f>H126/H127</f>
        <v>0</v>
      </c>
      <c r="J126" s="2"/>
      <c r="K126" s="2" t="s">
        <v>370</v>
      </c>
      <c r="N126" s="329" t="s">
        <v>259</v>
      </c>
      <c r="O126" s="337">
        <f>O125/O124-1</f>
        <v>0</v>
      </c>
    </row>
    <row r="127" spans="1:28" s="84" customFormat="1" x14ac:dyDescent="0.25">
      <c r="A127" s="4"/>
      <c r="B127" s="2"/>
      <c r="C127" s="2"/>
      <c r="D127" s="2"/>
      <c r="E127" s="2"/>
      <c r="F127" s="2"/>
      <c r="G127" s="332" t="s">
        <v>329</v>
      </c>
      <c r="H127" s="238">
        <f>SUM(H124:H126)</f>
        <v>305</v>
      </c>
      <c r="I127" s="311">
        <f>SUM(I124:I126)</f>
        <v>1</v>
      </c>
      <c r="J127" s="2"/>
      <c r="K127" s="2" t="s">
        <v>867</v>
      </c>
      <c r="N127" s="338">
        <v>45839</v>
      </c>
      <c r="O127" s="339">
        <v>36.9</v>
      </c>
    </row>
    <row r="128" spans="1:28" s="84" customFormat="1" x14ac:dyDescent="0.25">
      <c r="A128" s="4"/>
      <c r="B128" s="2"/>
      <c r="C128" s="2"/>
      <c r="D128" s="2"/>
      <c r="E128" s="2"/>
      <c r="F128" s="2"/>
      <c r="G128" s="2"/>
      <c r="H128" s="2"/>
      <c r="I128" s="2"/>
      <c r="J128" s="2"/>
      <c r="K128" s="2" t="s">
        <v>868</v>
      </c>
      <c r="N128" s="338">
        <v>45839</v>
      </c>
      <c r="O128" s="339">
        <f>Listas!$D$26</f>
        <v>36.9</v>
      </c>
    </row>
    <row r="129" spans="1:28" s="84" customFormat="1" x14ac:dyDescent="0.25">
      <c r="A129" s="4"/>
      <c r="B129" s="2"/>
      <c r="C129" s="2"/>
      <c r="D129" s="2"/>
      <c r="E129" s="2"/>
      <c r="F129" s="4"/>
      <c r="G129" s="2"/>
      <c r="H129" s="4"/>
      <c r="I129" s="4"/>
      <c r="J129" s="2"/>
      <c r="K129" s="2" t="s">
        <v>869</v>
      </c>
      <c r="N129" s="336" t="s">
        <v>1156</v>
      </c>
      <c r="O129" s="310">
        <f>ROUND(O127*(1+O126), 2)</f>
        <v>36.9</v>
      </c>
    </row>
    <row r="130" spans="1:28" s="84" customFormat="1" x14ac:dyDescent="0.25">
      <c r="A130" s="4"/>
      <c r="B130" s="2"/>
      <c r="C130" s="2"/>
      <c r="D130" s="2"/>
      <c r="E130" s="2"/>
      <c r="F130" s="238"/>
      <c r="G130" s="2"/>
      <c r="H130" s="238"/>
      <c r="I130" s="311"/>
      <c r="J130" s="2"/>
      <c r="K130" s="2" t="s">
        <v>870</v>
      </c>
      <c r="N130" s="336" t="s">
        <v>1156</v>
      </c>
      <c r="O130" s="310">
        <f>ROUND(O128*(1+O126), 2)</f>
        <v>36.9</v>
      </c>
    </row>
    <row r="131" spans="1:28" s="84" customFormat="1" x14ac:dyDescent="0.25">
      <c r="A131" s="4"/>
      <c r="B131" s="2"/>
      <c r="C131" s="2"/>
      <c r="D131" s="2"/>
      <c r="E131" s="2"/>
      <c r="F131" s="2"/>
      <c r="G131" s="2"/>
      <c r="H131" s="238"/>
      <c r="I131" s="311"/>
      <c r="J131" s="2"/>
      <c r="K131" s="2"/>
      <c r="N131" s="336"/>
      <c r="O131" s="310"/>
    </row>
    <row r="132" spans="1:28" s="84" customFormat="1" x14ac:dyDescent="0.25">
      <c r="A132" s="4"/>
      <c r="B132" s="2"/>
      <c r="C132" s="2"/>
      <c r="D132" s="2"/>
      <c r="E132" s="2"/>
      <c r="F132" s="2"/>
      <c r="G132" s="2"/>
      <c r="H132" s="2"/>
      <c r="I132" s="2"/>
      <c r="J132" s="2"/>
      <c r="K132" s="2"/>
    </row>
    <row r="133" spans="1:28" s="84" customFormat="1" x14ac:dyDescent="0.25">
      <c r="A133" s="4"/>
      <c r="B133" s="2" t="s">
        <v>360</v>
      </c>
      <c r="C133" s="2" t="s">
        <v>15</v>
      </c>
      <c r="D133" s="2"/>
      <c r="E133" s="2"/>
      <c r="F133" s="4" t="s">
        <v>202</v>
      </c>
      <c r="G133" s="2"/>
      <c r="H133" s="4" t="s">
        <v>401</v>
      </c>
      <c r="I133" s="2"/>
      <c r="J133" s="4" t="s">
        <v>402</v>
      </c>
      <c r="K133" s="2"/>
      <c r="L133" s="4" t="s">
        <v>371</v>
      </c>
      <c r="M133" s="2"/>
      <c r="N133" s="4" t="s">
        <v>372</v>
      </c>
      <c r="O133" s="4" t="s">
        <v>373</v>
      </c>
      <c r="P133" s="84" t="s">
        <v>236</v>
      </c>
      <c r="R133" s="84" t="s">
        <v>183</v>
      </c>
      <c r="T133" s="84" t="s">
        <v>374</v>
      </c>
      <c r="V133" s="84" t="s">
        <v>375</v>
      </c>
      <c r="X133" s="84" t="s">
        <v>376</v>
      </c>
      <c r="Z133" s="84" t="s">
        <v>377</v>
      </c>
      <c r="AA133" s="84" t="s">
        <v>388</v>
      </c>
      <c r="AB133" s="84" t="s">
        <v>362</v>
      </c>
    </row>
    <row r="134" spans="1:28" x14ac:dyDescent="0.25">
      <c r="A134" s="4"/>
      <c r="F134" s="4" t="s">
        <v>363</v>
      </c>
      <c r="H134" s="4" t="s">
        <v>330</v>
      </c>
      <c r="J134" s="4" t="s">
        <v>331</v>
      </c>
      <c r="L134" s="4" t="s">
        <v>403</v>
      </c>
      <c r="N134" s="4" t="s">
        <v>372</v>
      </c>
      <c r="O134" s="4" t="s">
        <v>333</v>
      </c>
      <c r="R134" s="2" t="s">
        <v>378</v>
      </c>
      <c r="T134" s="2" t="s">
        <v>407</v>
      </c>
      <c r="V134" s="2" t="s">
        <v>389</v>
      </c>
      <c r="X134" s="2" t="s">
        <v>413</v>
      </c>
      <c r="Z134" s="2" t="s">
        <v>410</v>
      </c>
      <c r="AA134" s="2" t="s">
        <v>411</v>
      </c>
      <c r="AB134" s="2" t="s">
        <v>412</v>
      </c>
    </row>
    <row r="135" spans="1:28" x14ac:dyDescent="0.25">
      <c r="A135" s="4"/>
      <c r="B135" s="43" t="str">
        <f>B86</f>
        <v>E8889</v>
      </c>
      <c r="C135" s="2" t="str">
        <f ca="1">IFERROR(VLOOKUP(B135,Veiculo_Equip_Matriz,2,0),"")</f>
        <v>Veículo leve - 53 kW (sem motorista)</v>
      </c>
      <c r="F135" s="2">
        <f>G86</f>
        <v>1</v>
      </c>
      <c r="H135" s="238">
        <f>$H$127</f>
        <v>305</v>
      </c>
      <c r="J135" s="2">
        <v>60</v>
      </c>
      <c r="L135" s="2">
        <f>H135/J135</f>
        <v>5.083333333333333</v>
      </c>
      <c r="N135" s="84">
        <v>2</v>
      </c>
      <c r="O135" s="84">
        <v>1</v>
      </c>
      <c r="P135" s="2" t="str">
        <f>B86</f>
        <v>E8889</v>
      </c>
      <c r="R135" s="238">
        <f ca="1">IFERROR(VLOOKUP(P135,Veiculo_Equip_Matriz,4,0),"")</f>
        <v>36.69</v>
      </c>
      <c r="S135" s="4"/>
      <c r="T135" s="310">
        <f ca="1">F135*L135*N135*O135*R135</f>
        <v>373.01499999999993</v>
      </c>
      <c r="U135" s="4"/>
      <c r="V135" s="2">
        <f>((INT(L135/4))*30)/60</f>
        <v>0.5</v>
      </c>
      <c r="X135" s="2">
        <f>L135+V135</f>
        <v>5.583333333333333</v>
      </c>
      <c r="Y135" s="4"/>
      <c r="Z135" s="310">
        <v>0</v>
      </c>
      <c r="AA135" s="310">
        <f>O129*N135</f>
        <v>73.8</v>
      </c>
      <c r="AB135" s="331">
        <f ca="1">TRUNC(T135+Z135+AA135,2)</f>
        <v>446.81</v>
      </c>
    </row>
    <row r="136" spans="1:28" x14ac:dyDescent="0.25">
      <c r="A136" s="4"/>
      <c r="L136" s="84"/>
      <c r="M136" s="84"/>
      <c r="N136" s="84"/>
      <c r="O136" s="84"/>
      <c r="R136" s="84"/>
      <c r="S136" s="84"/>
      <c r="T136" s="84"/>
      <c r="U136" s="84"/>
      <c r="V136" s="84"/>
      <c r="W136" s="84"/>
      <c r="X136" s="84"/>
      <c r="Y136" s="84"/>
      <c r="Z136" s="84"/>
      <c r="AA136" s="332" t="s">
        <v>329</v>
      </c>
      <c r="AB136" s="331">
        <f ca="1">AB135</f>
        <v>446.81</v>
      </c>
    </row>
    <row r="137" spans="1:28" x14ac:dyDescent="0.25">
      <c r="A137" s="4" t="s">
        <v>355</v>
      </c>
      <c r="B137" s="2" t="s">
        <v>356</v>
      </c>
      <c r="L137" s="84"/>
      <c r="M137" s="84"/>
      <c r="N137" s="84"/>
      <c r="O137" s="84"/>
    </row>
    <row r="138" spans="1:28" x14ac:dyDescent="0.25">
      <c r="B138" s="2" t="s">
        <v>15</v>
      </c>
      <c r="F138" s="2" t="s">
        <v>357</v>
      </c>
      <c r="L138" s="84"/>
      <c r="M138" s="84"/>
      <c r="N138" s="84"/>
      <c r="O138" s="84"/>
    </row>
    <row r="139" spans="1:28" x14ac:dyDescent="0.25">
      <c r="B139" s="2" t="s">
        <v>317</v>
      </c>
      <c r="F139" s="310">
        <f ca="1">V82</f>
        <v>3083.52</v>
      </c>
      <c r="L139" s="84"/>
      <c r="M139" s="84"/>
      <c r="N139" s="84"/>
      <c r="O139" s="84"/>
    </row>
    <row r="140" spans="1:28" x14ac:dyDescent="0.25">
      <c r="B140" s="2" t="s">
        <v>276</v>
      </c>
      <c r="F140" s="310">
        <f ca="1">M87</f>
        <v>212.45</v>
      </c>
      <c r="L140" s="84"/>
      <c r="M140" s="84"/>
      <c r="N140" s="84"/>
      <c r="O140" s="84"/>
    </row>
    <row r="141" spans="1:28" x14ac:dyDescent="0.25">
      <c r="B141" s="2" t="s">
        <v>342</v>
      </c>
      <c r="F141" s="310">
        <v>0</v>
      </c>
      <c r="L141" s="84"/>
      <c r="M141" s="84"/>
      <c r="N141" s="84"/>
      <c r="O141" s="84"/>
    </row>
    <row r="142" spans="1:28" x14ac:dyDescent="0.25">
      <c r="B142" s="2" t="s">
        <v>343</v>
      </c>
      <c r="F142" s="310">
        <v>0</v>
      </c>
      <c r="L142" s="84"/>
      <c r="M142" s="84"/>
      <c r="N142" s="84"/>
      <c r="O142" s="84"/>
      <c r="P142" s="4"/>
    </row>
    <row r="143" spans="1:28" x14ac:dyDescent="0.25">
      <c r="B143" s="2" t="s">
        <v>345</v>
      </c>
      <c r="F143" s="310">
        <f>K113</f>
        <v>625</v>
      </c>
      <c r="L143" s="84"/>
      <c r="M143" s="84"/>
      <c r="N143" s="84"/>
      <c r="O143" s="84"/>
      <c r="P143" s="4"/>
    </row>
    <row r="144" spans="1:28" x14ac:dyDescent="0.25">
      <c r="B144" s="2" t="s">
        <v>516</v>
      </c>
      <c r="F144" s="310">
        <f ca="1">AB136</f>
        <v>446.81</v>
      </c>
      <c r="L144" s="84"/>
      <c r="M144" s="84"/>
      <c r="N144" s="84"/>
      <c r="O144" s="84"/>
    </row>
    <row r="145" spans="1:22" x14ac:dyDescent="0.25">
      <c r="E145" s="332" t="s">
        <v>329</v>
      </c>
      <c r="F145" s="331">
        <f ca="1">SUM(F139:F144)</f>
        <v>4367.78</v>
      </c>
      <c r="L145" s="84"/>
      <c r="M145" s="84"/>
      <c r="N145" s="84"/>
      <c r="O145" s="84"/>
    </row>
    <row r="146" spans="1:22" x14ac:dyDescent="0.25">
      <c r="L146" s="84"/>
      <c r="M146" s="84"/>
      <c r="N146" s="84"/>
      <c r="O146" s="84"/>
    </row>
    <row r="147" spans="1:22" x14ac:dyDescent="0.25">
      <c r="A147" s="333" t="s">
        <v>440</v>
      </c>
      <c r="B147" s="333" t="s">
        <v>734</v>
      </c>
      <c r="C147" s="333"/>
      <c r="D147" s="333"/>
      <c r="E147" s="333"/>
      <c r="F147" s="333"/>
      <c r="G147" s="333"/>
      <c r="H147" s="333"/>
      <c r="I147" s="333"/>
      <c r="J147" s="84"/>
      <c r="K147" s="84"/>
      <c r="L147" s="84"/>
      <c r="M147" s="84"/>
      <c r="N147" s="84"/>
      <c r="O147" s="84"/>
    </row>
    <row r="148" spans="1:22" x14ac:dyDescent="0.25">
      <c r="A148" s="4" t="s">
        <v>61</v>
      </c>
      <c r="B148" s="2" t="s">
        <v>338</v>
      </c>
    </row>
    <row r="149" spans="1:22" x14ac:dyDescent="0.25">
      <c r="B149" s="2" t="s">
        <v>15</v>
      </c>
      <c r="G149" s="2" t="s">
        <v>325</v>
      </c>
      <c r="L149" s="2" t="s">
        <v>381</v>
      </c>
    </row>
    <row r="150" spans="1:22" x14ac:dyDescent="0.25">
      <c r="B150" s="2" t="s">
        <v>441</v>
      </c>
      <c r="G150" s="238">
        <f>G151+G152</f>
        <v>3</v>
      </c>
      <c r="L150" s="2">
        <f>ROUNDUP(G150*Listas!$E$5,0)</f>
        <v>4</v>
      </c>
    </row>
    <row r="151" spans="1:22" x14ac:dyDescent="0.25">
      <c r="B151" s="2" t="s">
        <v>866</v>
      </c>
      <c r="G151" s="238">
        <f>D69</f>
        <v>1</v>
      </c>
      <c r="H151" s="4"/>
      <c r="I151" s="238"/>
      <c r="L151" s="238">
        <f>G151</f>
        <v>1</v>
      </c>
      <c r="M151" s="4"/>
      <c r="N151" s="238"/>
    </row>
    <row r="152" spans="1:22" x14ac:dyDescent="0.25">
      <c r="B152" s="2" t="s">
        <v>382</v>
      </c>
      <c r="G152" s="238">
        <v>2</v>
      </c>
      <c r="H152" s="4" t="s">
        <v>201</v>
      </c>
      <c r="I152" s="238">
        <f>$G$152/3</f>
        <v>0.66666666666666663</v>
      </c>
      <c r="J152" s="2" t="s">
        <v>443</v>
      </c>
      <c r="L152" s="340">
        <f>L150-L151</f>
        <v>3</v>
      </c>
      <c r="M152" s="4" t="s">
        <v>201</v>
      </c>
      <c r="N152" s="238">
        <f>ROUNDUP($L$152/3,0)</f>
        <v>1</v>
      </c>
      <c r="O152" s="2" t="s">
        <v>358</v>
      </c>
      <c r="Q152" s="4"/>
      <c r="R152" s="4"/>
      <c r="S152" s="4"/>
      <c r="T152" s="4"/>
      <c r="U152" s="4"/>
      <c r="V152" s="4"/>
    </row>
    <row r="153" spans="1:22" x14ac:dyDescent="0.25">
      <c r="I153" s="238">
        <f>$G$152/3</f>
        <v>0.66666666666666663</v>
      </c>
      <c r="J153" s="2" t="s">
        <v>444</v>
      </c>
      <c r="N153" s="238">
        <f t="shared" ref="N153:N154" si="1">ROUNDUP($L$152/3,0)</f>
        <v>1</v>
      </c>
      <c r="O153" s="2" t="s">
        <v>445</v>
      </c>
      <c r="Q153" s="4"/>
      <c r="R153" s="4"/>
      <c r="S153" s="4"/>
      <c r="T153" s="4"/>
      <c r="U153" s="4"/>
      <c r="V153" s="4"/>
    </row>
    <row r="154" spans="1:22" x14ac:dyDescent="0.25">
      <c r="G154" s="238"/>
      <c r="I154" s="238">
        <f>G152-I152-I153</f>
        <v>0.66666666666666685</v>
      </c>
      <c r="J154" s="2" t="s">
        <v>446</v>
      </c>
      <c r="L154" s="238"/>
      <c r="N154" s="238">
        <f t="shared" si="1"/>
        <v>1</v>
      </c>
      <c r="O154" s="2" t="s">
        <v>447</v>
      </c>
      <c r="U154" s="310"/>
      <c r="V154" s="310"/>
    </row>
    <row r="155" spans="1:22" x14ac:dyDescent="0.25">
      <c r="G155" s="238"/>
      <c r="I155" s="238"/>
      <c r="L155" s="238"/>
      <c r="N155" s="238">
        <f>SUM(N152:N154)</f>
        <v>3</v>
      </c>
      <c r="U155" s="310"/>
      <c r="V155" s="310"/>
    </row>
    <row r="156" spans="1:22" x14ac:dyDescent="0.25">
      <c r="U156" s="332"/>
      <c r="V156" s="331"/>
    </row>
    <row r="157" spans="1:22" x14ac:dyDescent="0.25">
      <c r="B157" s="4" t="s">
        <v>360</v>
      </c>
      <c r="C157" s="2" t="s">
        <v>15</v>
      </c>
      <c r="F157" s="4" t="s">
        <v>321</v>
      </c>
      <c r="G157" s="4"/>
      <c r="H157" s="4" t="s">
        <v>322</v>
      </c>
      <c r="I157" s="4"/>
      <c r="J157" s="4" t="s">
        <v>323</v>
      </c>
      <c r="K157" s="4"/>
      <c r="L157" s="4" t="s">
        <v>324</v>
      </c>
      <c r="M157" s="4"/>
      <c r="O157" s="4" t="s">
        <v>325</v>
      </c>
      <c r="Q157" s="4" t="s">
        <v>326</v>
      </c>
      <c r="R157" s="4"/>
      <c r="S157" s="4" t="s">
        <v>327</v>
      </c>
      <c r="T157" s="4"/>
      <c r="U157" s="4" t="s">
        <v>328</v>
      </c>
      <c r="V157" s="4" t="s">
        <v>329</v>
      </c>
    </row>
    <row r="158" spans="1:22" x14ac:dyDescent="0.25">
      <c r="F158" s="4"/>
      <c r="G158" s="4"/>
      <c r="H158" s="4" t="s">
        <v>330</v>
      </c>
      <c r="I158" s="4"/>
      <c r="J158" s="4" t="s">
        <v>331</v>
      </c>
      <c r="K158" s="4"/>
      <c r="L158" s="4" t="s">
        <v>332</v>
      </c>
      <c r="M158" s="4"/>
      <c r="O158" s="4" t="s">
        <v>333</v>
      </c>
      <c r="Q158" s="4" t="s">
        <v>334</v>
      </c>
      <c r="R158" s="4"/>
      <c r="S158" s="4" t="s">
        <v>335</v>
      </c>
      <c r="T158" s="4"/>
      <c r="U158" s="4" t="s">
        <v>336</v>
      </c>
      <c r="V158" s="4" t="s">
        <v>337</v>
      </c>
    </row>
    <row r="159" spans="1:22" x14ac:dyDescent="0.25">
      <c r="B159" s="4" t="s">
        <v>98</v>
      </c>
      <c r="C159" s="2" t="str">
        <f ca="1">IFERROR(VLOOKUP(B159,MO_Matriz,2,0),"")</f>
        <v>Engenheiro ambiental pleno</v>
      </c>
      <c r="F159" s="4" t="str">
        <f ca="1">IFERROR(VLOOKUP(B159,MO_Matriz,3,0),"")</f>
        <v>S</v>
      </c>
      <c r="H159" s="2">
        <v>1</v>
      </c>
      <c r="J159" s="2">
        <v>1</v>
      </c>
      <c r="L159" s="2">
        <f>Listas!$B$6</f>
        <v>7.333333333333333</v>
      </c>
      <c r="O159" s="238">
        <f>$G$152</f>
        <v>2</v>
      </c>
      <c r="Q159" s="2">
        <f>H159*J159*L159*O159</f>
        <v>14.666666666666666</v>
      </c>
      <c r="S159" s="2">
        <f>Q159/220</f>
        <v>6.6666666666666666E-2</v>
      </c>
      <c r="U159" s="310">
        <f ca="1">IFERROR(VLOOKUP(B159,MO_Matriz,5,0),"")</f>
        <v>26558.86</v>
      </c>
      <c r="V159" s="310">
        <f ca="1">TRUNC(S159*U159,2)</f>
        <v>1770.59</v>
      </c>
    </row>
    <row r="160" spans="1:22" x14ac:dyDescent="0.25">
      <c r="B160" s="4" t="s">
        <v>167</v>
      </c>
      <c r="C160" s="2" t="str">
        <f ca="1">IFERROR(VLOOKUP(B160,MO_Matriz,2,0),"")</f>
        <v>Técnico ambiental</v>
      </c>
      <c r="F160" s="4" t="str">
        <f ca="1">IFERROR(VLOOKUP(B160,MO_Matriz,3,0),"")</f>
        <v>T</v>
      </c>
      <c r="H160" s="2">
        <v>1</v>
      </c>
      <c r="J160" s="2">
        <v>1</v>
      </c>
      <c r="L160" s="2">
        <f>Listas!$B$6</f>
        <v>7.333333333333333</v>
      </c>
      <c r="O160" s="238">
        <f>$G$152</f>
        <v>2</v>
      </c>
      <c r="Q160" s="2">
        <f>H160*J160*L160*O160</f>
        <v>14.666666666666666</v>
      </c>
      <c r="S160" s="2">
        <f>Q160/220</f>
        <v>6.6666666666666666E-2</v>
      </c>
      <c r="U160" s="310">
        <f ca="1">IFERROR(VLOOKUP(B160,MO_Matriz,5,0),"")</f>
        <v>6565.04</v>
      </c>
      <c r="V160" s="310">
        <f ca="1">TRUNC(S160*U160,2)</f>
        <v>437.66</v>
      </c>
    </row>
    <row r="161" spans="1:22" x14ac:dyDescent="0.25">
      <c r="U161" s="332" t="s">
        <v>329</v>
      </c>
      <c r="V161" s="331">
        <f ca="1">SUM(V159:V160)</f>
        <v>2208.25</v>
      </c>
    </row>
    <row r="162" spans="1:22" x14ac:dyDescent="0.25">
      <c r="A162" s="329" t="s">
        <v>339</v>
      </c>
      <c r="B162" s="2" t="s">
        <v>340</v>
      </c>
    </row>
    <row r="163" spans="1:22" x14ac:dyDescent="0.25">
      <c r="B163" s="2" t="s">
        <v>341</v>
      </c>
    </row>
    <row r="165" spans="1:22" x14ac:dyDescent="0.25">
      <c r="A165" s="4" t="s">
        <v>348</v>
      </c>
      <c r="B165" s="2" t="s">
        <v>349</v>
      </c>
    </row>
    <row r="166" spans="1:22" x14ac:dyDescent="0.25">
      <c r="A166" s="4" t="s">
        <v>451</v>
      </c>
      <c r="B166" s="2" t="s">
        <v>452</v>
      </c>
    </row>
    <row r="167" spans="1:22" x14ac:dyDescent="0.25">
      <c r="B167" s="4" t="s">
        <v>360</v>
      </c>
      <c r="C167" s="2" t="s">
        <v>15</v>
      </c>
      <c r="F167" s="4" t="s">
        <v>321</v>
      </c>
      <c r="G167" s="4"/>
      <c r="H167" s="4" t="s">
        <v>453</v>
      </c>
      <c r="I167" s="4"/>
      <c r="J167" s="4" t="s">
        <v>454</v>
      </c>
    </row>
    <row r="168" spans="1:22" x14ac:dyDescent="0.25">
      <c r="B168" s="4" t="str">
        <f>B159</f>
        <v>P8058</v>
      </c>
      <c r="C168" s="2" t="str">
        <f ca="1">IFERROR(VLOOKUP(B168,MO_Matriz,2,0),"")</f>
        <v>Engenheiro ambiental pleno</v>
      </c>
      <c r="F168" s="4" t="str">
        <f ca="1">IFERROR(VLOOKUP(B168,MO_Matriz,3,0),"")</f>
        <v>S</v>
      </c>
      <c r="H168" s="4" t="s">
        <v>455</v>
      </c>
      <c r="J168" s="2">
        <v>1</v>
      </c>
    </row>
    <row r="169" spans="1:22" x14ac:dyDescent="0.25">
      <c r="B169" s="4" t="str">
        <f>B160</f>
        <v>P8143</v>
      </c>
      <c r="C169" s="2" t="str">
        <f ca="1">IFERROR(VLOOKUP(B169,MO_Matriz,2,0),"")</f>
        <v>Técnico ambiental</v>
      </c>
      <c r="F169" s="4" t="str">
        <f ca="1">IFERROR(VLOOKUP(B169,MO_Matriz,3,0),"")</f>
        <v>T</v>
      </c>
      <c r="H169" s="4" t="s">
        <v>455</v>
      </c>
      <c r="J169" s="2">
        <v>1</v>
      </c>
    </row>
    <row r="170" spans="1:22" x14ac:dyDescent="0.25">
      <c r="I170" s="332" t="s">
        <v>329</v>
      </c>
      <c r="J170" s="332">
        <f>SUM(J168:J169)</f>
        <v>2</v>
      </c>
    </row>
    <row r="172" spans="1:22" x14ac:dyDescent="0.25">
      <c r="A172" s="4" t="s">
        <v>456</v>
      </c>
      <c r="B172" s="2" t="s">
        <v>457</v>
      </c>
    </row>
    <row r="173" spans="1:22" x14ac:dyDescent="0.25">
      <c r="A173" s="4"/>
      <c r="B173" s="2" t="s">
        <v>1032</v>
      </c>
    </row>
    <row r="175" spans="1:22" x14ac:dyDescent="0.25">
      <c r="A175" s="4" t="s">
        <v>350</v>
      </c>
      <c r="B175" s="2" t="s">
        <v>351</v>
      </c>
    </row>
    <row r="176" spans="1:22" x14ac:dyDescent="0.25">
      <c r="B176" s="2" t="s">
        <v>344</v>
      </c>
      <c r="J176" s="310"/>
    </row>
    <row r="178" spans="1:15" x14ac:dyDescent="0.25">
      <c r="A178" s="4" t="s">
        <v>197</v>
      </c>
      <c r="B178" s="2" t="s">
        <v>352</v>
      </c>
    </row>
    <row r="179" spans="1:15" s="28" customFormat="1" ht="17.25" x14ac:dyDescent="0.25">
      <c r="A179" s="2"/>
      <c r="B179" s="2" t="s">
        <v>346</v>
      </c>
      <c r="C179" s="2"/>
      <c r="D179" s="2"/>
      <c r="E179" s="2"/>
      <c r="F179" s="2"/>
      <c r="G179" s="2"/>
      <c r="H179" s="2"/>
      <c r="I179" s="2"/>
      <c r="J179" s="2"/>
      <c r="K179" s="2"/>
      <c r="L179" s="2"/>
      <c r="M179" s="2"/>
      <c r="N179" s="2"/>
      <c r="O179" s="2"/>
    </row>
    <row r="181" spans="1:15" x14ac:dyDescent="0.25">
      <c r="A181" s="4" t="s">
        <v>353</v>
      </c>
      <c r="B181" s="2" t="s">
        <v>354</v>
      </c>
    </row>
    <row r="182" spans="1:15" x14ac:dyDescent="0.25">
      <c r="B182" s="2" t="s">
        <v>347</v>
      </c>
    </row>
    <row r="184" spans="1:15" x14ac:dyDescent="0.25">
      <c r="A184" s="4" t="s">
        <v>355</v>
      </c>
      <c r="B184" s="2" t="s">
        <v>356</v>
      </c>
    </row>
    <row r="185" spans="1:15" x14ac:dyDescent="0.25">
      <c r="B185" s="2" t="s">
        <v>15</v>
      </c>
      <c r="F185" s="2" t="s">
        <v>357</v>
      </c>
    </row>
    <row r="186" spans="1:15" x14ac:dyDescent="0.25">
      <c r="B186" s="2" t="s">
        <v>317</v>
      </c>
      <c r="F186" s="310">
        <f ca="1">V161</f>
        <v>2208.25</v>
      </c>
    </row>
    <row r="187" spans="1:15" x14ac:dyDescent="0.25">
      <c r="B187" s="2" t="s">
        <v>276</v>
      </c>
      <c r="F187" s="310">
        <v>0</v>
      </c>
    </row>
    <row r="188" spans="1:15" x14ac:dyDescent="0.25">
      <c r="B188" s="2" t="s">
        <v>342</v>
      </c>
      <c r="F188" s="310">
        <v>0</v>
      </c>
      <c r="I188" s="2" t="s">
        <v>448</v>
      </c>
      <c r="J188" s="4" t="s">
        <v>406</v>
      </c>
      <c r="K188" s="4" t="s">
        <v>414</v>
      </c>
    </row>
    <row r="189" spans="1:15" x14ac:dyDescent="0.25">
      <c r="B189" s="2" t="s">
        <v>343</v>
      </c>
      <c r="F189" s="310">
        <v>0</v>
      </c>
      <c r="I189" s="2" t="s">
        <v>449</v>
      </c>
      <c r="J189" s="310">
        <f ca="1">J192*K189</f>
        <v>3653.3499999999995</v>
      </c>
      <c r="K189" s="341">
        <f>(G151+I152)/$G$150</f>
        <v>0.55555555555555547</v>
      </c>
    </row>
    <row r="190" spans="1:15" x14ac:dyDescent="0.25">
      <c r="B190" s="2" t="s">
        <v>345</v>
      </c>
      <c r="F190" s="310">
        <v>0</v>
      </c>
      <c r="I190" s="2" t="s">
        <v>445</v>
      </c>
      <c r="J190" s="310">
        <f ca="1">J192*K190</f>
        <v>1461.34</v>
      </c>
      <c r="K190" s="341">
        <f>I153/$G$150</f>
        <v>0.22222222222222221</v>
      </c>
    </row>
    <row r="191" spans="1:15" x14ac:dyDescent="0.25">
      <c r="B191" s="2" t="s">
        <v>516</v>
      </c>
      <c r="F191" s="310">
        <v>0</v>
      </c>
      <c r="I191" s="2" t="s">
        <v>447</v>
      </c>
      <c r="J191" s="310">
        <f ca="1">J192-J189-J190</f>
        <v>1461.3400000000004</v>
      </c>
      <c r="K191" s="341">
        <f>K192-K189-K190</f>
        <v>0.22222222222222232</v>
      </c>
    </row>
    <row r="192" spans="1:15" x14ac:dyDescent="0.25">
      <c r="E192" s="332" t="s">
        <v>329</v>
      </c>
      <c r="F192" s="331">
        <f ca="1">SUM(F186:F191)</f>
        <v>2208.25</v>
      </c>
      <c r="I192" s="2" t="s">
        <v>329</v>
      </c>
      <c r="J192" s="310">
        <f ca="1">F145+F192</f>
        <v>6576.03</v>
      </c>
      <c r="K192" s="341">
        <v>1</v>
      </c>
    </row>
    <row r="194" spans="1:23" ht="17.25" x14ac:dyDescent="0.25">
      <c r="A194" s="328" t="s">
        <v>483</v>
      </c>
      <c r="B194" s="328" t="s">
        <v>209</v>
      </c>
      <c r="C194" s="328"/>
      <c r="D194" s="328"/>
      <c r="F194" s="28"/>
      <c r="G194" s="28"/>
      <c r="H194" s="28"/>
      <c r="I194" s="28"/>
      <c r="J194" s="28"/>
      <c r="K194" s="28"/>
      <c r="L194" s="28"/>
      <c r="M194" s="28"/>
      <c r="N194" s="28"/>
      <c r="O194" s="28"/>
    </row>
    <row r="195" spans="1:23" x14ac:dyDescent="0.25">
      <c r="A195" s="4" t="s">
        <v>61</v>
      </c>
      <c r="B195" s="2" t="s">
        <v>338</v>
      </c>
    </row>
    <row r="196" spans="1:23" x14ac:dyDescent="0.25">
      <c r="B196" s="2" t="s">
        <v>15</v>
      </c>
      <c r="F196" s="4" t="s">
        <v>325</v>
      </c>
      <c r="H196" s="4" t="s">
        <v>381</v>
      </c>
    </row>
    <row r="197" spans="1:23" x14ac:dyDescent="0.25">
      <c r="B197" s="2" t="s">
        <v>420</v>
      </c>
      <c r="F197" s="238">
        <v>1</v>
      </c>
      <c r="H197" s="2">
        <f>ROUNDUP(F197*Listas!$E$5,0)</f>
        <v>2</v>
      </c>
    </row>
    <row r="199" spans="1:23" x14ac:dyDescent="0.25">
      <c r="B199" s="4" t="s">
        <v>360</v>
      </c>
      <c r="C199" s="2" t="s">
        <v>15</v>
      </c>
      <c r="F199" s="4" t="s">
        <v>321</v>
      </c>
      <c r="G199" s="4"/>
      <c r="H199" s="4" t="s">
        <v>322</v>
      </c>
      <c r="I199" s="4"/>
      <c r="J199" s="4" t="s">
        <v>323</v>
      </c>
      <c r="K199" s="4"/>
      <c r="M199" s="4" t="s">
        <v>324</v>
      </c>
      <c r="N199" s="4"/>
      <c r="P199" s="4" t="s">
        <v>325</v>
      </c>
      <c r="Q199" s="4"/>
      <c r="R199" s="4" t="s">
        <v>326</v>
      </c>
      <c r="S199" s="4"/>
      <c r="T199" s="4" t="s">
        <v>327</v>
      </c>
      <c r="U199" s="4"/>
      <c r="V199" s="4" t="s">
        <v>328</v>
      </c>
      <c r="W199" s="4" t="s">
        <v>329</v>
      </c>
    </row>
    <row r="200" spans="1:23" x14ac:dyDescent="0.25">
      <c r="F200" s="4"/>
      <c r="G200" s="4"/>
      <c r="H200" s="4" t="s">
        <v>330</v>
      </c>
      <c r="I200" s="4"/>
      <c r="J200" s="4" t="s">
        <v>331</v>
      </c>
      <c r="K200" s="4"/>
      <c r="M200" s="4" t="s">
        <v>332</v>
      </c>
      <c r="N200" s="4"/>
      <c r="P200" s="4" t="s">
        <v>333</v>
      </c>
      <c r="Q200" s="4"/>
      <c r="R200" s="4" t="s">
        <v>334</v>
      </c>
      <c r="S200" s="4"/>
      <c r="T200" s="4" t="s">
        <v>335</v>
      </c>
      <c r="U200" s="4"/>
      <c r="V200" s="4" t="s">
        <v>336</v>
      </c>
      <c r="W200" s="4" t="s">
        <v>337</v>
      </c>
    </row>
    <row r="201" spans="1:23" x14ac:dyDescent="0.25">
      <c r="B201" s="4" t="s">
        <v>98</v>
      </c>
      <c r="C201" s="2" t="str">
        <f ca="1">IFERROR(VLOOKUP(B201,MO_Matriz,2,0),"")</f>
        <v>Engenheiro ambiental pleno</v>
      </c>
      <c r="F201" s="4" t="str">
        <f ca="1">IFERROR(VLOOKUP(B201,MO_Matriz,3,0),"")</f>
        <v>S</v>
      </c>
      <c r="H201" s="2">
        <v>1</v>
      </c>
      <c r="J201" s="2">
        <v>1</v>
      </c>
      <c r="M201" s="2">
        <f>Listas!$B$6</f>
        <v>7.333333333333333</v>
      </c>
      <c r="P201" s="238">
        <f>$F$197</f>
        <v>1</v>
      </c>
      <c r="R201" s="2">
        <f>H201*J201*M201*P201</f>
        <v>7.333333333333333</v>
      </c>
      <c r="T201" s="2">
        <f>R201/220</f>
        <v>3.3333333333333333E-2</v>
      </c>
      <c r="V201" s="310">
        <f ca="1">IFERROR(VLOOKUP(B201,MO_Matriz,5,0),"")</f>
        <v>26558.86</v>
      </c>
      <c r="W201" s="310">
        <f ca="1">TRUNC(T201*V201,2)</f>
        <v>885.29</v>
      </c>
    </row>
    <row r="202" spans="1:23" x14ac:dyDescent="0.25">
      <c r="B202" s="4" t="s">
        <v>124</v>
      </c>
      <c r="C202" s="2" t="str">
        <f ca="1">IFERROR(VLOOKUP(B202,MO_Matriz,2,0),"")</f>
        <v>Geólogo júnior</v>
      </c>
      <c r="F202" s="4" t="str">
        <f ca="1">IFERROR(VLOOKUP(B202,MO_Matriz,3,0),"")</f>
        <v>S</v>
      </c>
      <c r="H202" s="2">
        <v>1</v>
      </c>
      <c r="J202" s="2">
        <v>1</v>
      </c>
      <c r="M202" s="2">
        <f>Listas!$B$6</f>
        <v>7.333333333333333</v>
      </c>
      <c r="P202" s="238">
        <f>$F$197</f>
        <v>1</v>
      </c>
      <c r="R202" s="2">
        <f>H202*J202*M202*P202</f>
        <v>7.333333333333333</v>
      </c>
      <c r="T202" s="2">
        <f>R202/220</f>
        <v>3.3333333333333333E-2</v>
      </c>
      <c r="V202" s="310">
        <f ca="1">IFERROR(VLOOKUP(B202,MO_Matriz,5,0),"")</f>
        <v>24321.09</v>
      </c>
      <c r="W202" s="310">
        <f t="shared" ref="W202:W203" ca="1" si="2">TRUNC(T202*V202,2)</f>
        <v>810.7</v>
      </c>
    </row>
    <row r="203" spans="1:23" x14ac:dyDescent="0.25">
      <c r="B203" s="4" t="s">
        <v>167</v>
      </c>
      <c r="C203" s="2" t="str">
        <f ca="1">IFERROR(VLOOKUP(B203,MO_Matriz,2,0),"")</f>
        <v>Técnico ambiental</v>
      </c>
      <c r="F203" s="4" t="str">
        <f ca="1">IFERROR(VLOOKUP(B203,MO_Matriz,3,0),"")</f>
        <v>T</v>
      </c>
      <c r="H203" s="2">
        <v>1</v>
      </c>
      <c r="J203" s="2">
        <v>1</v>
      </c>
      <c r="M203" s="2">
        <f>Listas!$B$6</f>
        <v>7.333333333333333</v>
      </c>
      <c r="P203" s="238">
        <f>$F$197</f>
        <v>1</v>
      </c>
      <c r="R203" s="2">
        <f>H203*J203*M203*P203</f>
        <v>7.333333333333333</v>
      </c>
      <c r="T203" s="2">
        <f>R203/220</f>
        <v>3.3333333333333333E-2</v>
      </c>
      <c r="V203" s="310">
        <f ca="1">IFERROR(VLOOKUP(B203,MO_Matriz,5,0),"")</f>
        <v>6565.04</v>
      </c>
      <c r="W203" s="310">
        <f t="shared" ca="1" si="2"/>
        <v>218.83</v>
      </c>
    </row>
    <row r="204" spans="1:23" x14ac:dyDescent="0.25">
      <c r="V204" s="332" t="s">
        <v>329</v>
      </c>
      <c r="W204" s="331">
        <f ca="1">SUM(W201:W203)</f>
        <v>1914.82</v>
      </c>
    </row>
    <row r="205" spans="1:23" x14ac:dyDescent="0.25">
      <c r="A205" s="329" t="s">
        <v>339</v>
      </c>
      <c r="B205" s="2" t="s">
        <v>340</v>
      </c>
    </row>
    <row r="206" spans="1:23" x14ac:dyDescent="0.25">
      <c r="B206" s="2" t="s">
        <v>341</v>
      </c>
    </row>
    <row r="208" spans="1:23" x14ac:dyDescent="0.25">
      <c r="A208" s="4" t="s">
        <v>348</v>
      </c>
      <c r="B208" s="2" t="s">
        <v>349</v>
      </c>
    </row>
    <row r="209" spans="1:15" x14ac:dyDescent="0.25">
      <c r="A209" s="4" t="s">
        <v>451</v>
      </c>
      <c r="B209" s="2" t="s">
        <v>452</v>
      </c>
    </row>
    <row r="210" spans="1:15" x14ac:dyDescent="0.25">
      <c r="B210" s="4" t="s">
        <v>360</v>
      </c>
      <c r="C210" s="2" t="s">
        <v>15</v>
      </c>
      <c r="F210" s="4" t="s">
        <v>321</v>
      </c>
      <c r="G210" s="4"/>
      <c r="H210" s="4" t="s">
        <v>453</v>
      </c>
      <c r="I210" s="4"/>
      <c r="J210" s="4" t="s">
        <v>454</v>
      </c>
    </row>
    <row r="211" spans="1:15" x14ac:dyDescent="0.25">
      <c r="B211" s="4" t="str">
        <f>B201</f>
        <v>P8058</v>
      </c>
      <c r="C211" s="2" t="str">
        <f ca="1">IFERROR(VLOOKUP(B211,MO_Matriz,2,0),"")</f>
        <v>Engenheiro ambiental pleno</v>
      </c>
      <c r="F211" s="4" t="str">
        <f ca="1">IFERROR(VLOOKUP(B211,MO_Matriz,3,0),"")</f>
        <v>S</v>
      </c>
      <c r="H211" s="2" t="s">
        <v>455</v>
      </c>
      <c r="J211" s="2">
        <v>1</v>
      </c>
    </row>
    <row r="212" spans="1:15" x14ac:dyDescent="0.25">
      <c r="B212" s="4" t="str">
        <f t="shared" ref="B212:B213" si="3">B202</f>
        <v>P8080</v>
      </c>
      <c r="C212" s="2" t="str">
        <f ca="1">IFERROR(VLOOKUP(B212,MO_Matriz,2,0),"")</f>
        <v>Geólogo júnior</v>
      </c>
      <c r="F212" s="4" t="str">
        <f ca="1">IFERROR(VLOOKUP(B212,MO_Matriz,3,0),"")</f>
        <v>S</v>
      </c>
      <c r="H212" s="2" t="s">
        <v>455</v>
      </c>
      <c r="J212" s="2">
        <v>1</v>
      </c>
    </row>
    <row r="213" spans="1:15" x14ac:dyDescent="0.25">
      <c r="B213" s="4" t="str">
        <f t="shared" si="3"/>
        <v>P8143</v>
      </c>
      <c r="C213" s="2" t="str">
        <f ca="1">IFERROR(VLOOKUP(B213,MO_Matriz,2,0),"")</f>
        <v>Técnico ambiental</v>
      </c>
      <c r="F213" s="4" t="str">
        <f ca="1">IFERROR(VLOOKUP(B213,MO_Matriz,3,0),"")</f>
        <v>T</v>
      </c>
      <c r="H213" s="2" t="s">
        <v>455</v>
      </c>
      <c r="J213" s="2">
        <v>1</v>
      </c>
    </row>
    <row r="214" spans="1:15" x14ac:dyDescent="0.25">
      <c r="I214" s="332" t="s">
        <v>329</v>
      </c>
      <c r="J214" s="332">
        <f>SUM(J211:J213)</f>
        <v>3</v>
      </c>
    </row>
    <row r="216" spans="1:15" x14ac:dyDescent="0.25">
      <c r="A216" s="4" t="s">
        <v>456</v>
      </c>
      <c r="B216" s="2" t="s">
        <v>457</v>
      </c>
    </row>
    <row r="217" spans="1:15" x14ac:dyDescent="0.25">
      <c r="A217" s="4"/>
      <c r="B217" s="2" t="s">
        <v>1032</v>
      </c>
    </row>
    <row r="219" spans="1:15" x14ac:dyDescent="0.25">
      <c r="A219" s="4" t="s">
        <v>350</v>
      </c>
      <c r="B219" s="2" t="s">
        <v>351</v>
      </c>
    </row>
    <row r="220" spans="1:15" x14ac:dyDescent="0.25">
      <c r="B220" s="2" t="s">
        <v>344</v>
      </c>
    </row>
    <row r="222" spans="1:15" x14ac:dyDescent="0.25">
      <c r="A222" s="4" t="s">
        <v>197</v>
      </c>
      <c r="B222" s="2" t="s">
        <v>352</v>
      </c>
    </row>
    <row r="223" spans="1:15" s="28" customFormat="1" ht="17.25" x14ac:dyDescent="0.25">
      <c r="A223" s="2"/>
      <c r="B223" s="2" t="s">
        <v>346</v>
      </c>
      <c r="C223" s="2"/>
      <c r="D223" s="2"/>
      <c r="E223" s="2"/>
      <c r="F223" s="2"/>
      <c r="G223" s="2"/>
      <c r="H223" s="2"/>
      <c r="I223" s="2"/>
      <c r="J223" s="2"/>
      <c r="K223" s="2"/>
      <c r="L223" s="2"/>
      <c r="M223" s="2"/>
      <c r="N223" s="2"/>
      <c r="O223" s="2"/>
    </row>
    <row r="225" spans="1:15" x14ac:dyDescent="0.25">
      <c r="A225" s="4" t="s">
        <v>353</v>
      </c>
      <c r="B225" s="2" t="s">
        <v>354</v>
      </c>
    </row>
    <row r="226" spans="1:15" x14ac:dyDescent="0.25">
      <c r="B226" s="2" t="s">
        <v>347</v>
      </c>
    </row>
    <row r="228" spans="1:15" x14ac:dyDescent="0.25">
      <c r="A228" s="4" t="s">
        <v>355</v>
      </c>
      <c r="B228" s="2" t="s">
        <v>356</v>
      </c>
    </row>
    <row r="229" spans="1:15" x14ac:dyDescent="0.25">
      <c r="B229" s="2" t="s">
        <v>15</v>
      </c>
      <c r="F229" s="2" t="s">
        <v>357</v>
      </c>
    </row>
    <row r="230" spans="1:15" x14ac:dyDescent="0.25">
      <c r="B230" s="2" t="s">
        <v>317</v>
      </c>
      <c r="F230" s="310">
        <f ca="1">W204</f>
        <v>1914.82</v>
      </c>
    </row>
    <row r="231" spans="1:15" x14ac:dyDescent="0.25">
      <c r="B231" s="2" t="s">
        <v>276</v>
      </c>
      <c r="F231" s="310">
        <v>0</v>
      </c>
    </row>
    <row r="232" spans="1:15" x14ac:dyDescent="0.25">
      <c r="B232" s="2" t="s">
        <v>342</v>
      </c>
      <c r="F232" s="310">
        <v>0</v>
      </c>
    </row>
    <row r="233" spans="1:15" x14ac:dyDescent="0.25">
      <c r="B233" s="2" t="s">
        <v>343</v>
      </c>
      <c r="F233" s="310">
        <v>0</v>
      </c>
    </row>
    <row r="234" spans="1:15" x14ac:dyDescent="0.25">
      <c r="B234" s="2" t="s">
        <v>345</v>
      </c>
      <c r="F234" s="310">
        <v>0</v>
      </c>
    </row>
    <row r="235" spans="1:15" x14ac:dyDescent="0.25">
      <c r="B235" s="2" t="s">
        <v>516</v>
      </c>
      <c r="F235" s="310">
        <v>0</v>
      </c>
    </row>
    <row r="236" spans="1:15" x14ac:dyDescent="0.25">
      <c r="E236" s="332" t="s">
        <v>329</v>
      </c>
      <c r="F236" s="331">
        <f ca="1">SUM(F230:F235)</f>
        <v>1914.82</v>
      </c>
    </row>
    <row r="238" spans="1:15" ht="17.25" x14ac:dyDescent="0.25">
      <c r="A238" s="328" t="s">
        <v>423</v>
      </c>
      <c r="B238" s="328" t="s">
        <v>210</v>
      </c>
      <c r="C238" s="328"/>
      <c r="D238" s="328"/>
      <c r="E238" s="28"/>
      <c r="F238" s="28"/>
      <c r="G238" s="28"/>
      <c r="H238" s="28"/>
      <c r="I238" s="28"/>
      <c r="J238" s="28"/>
      <c r="K238" s="28"/>
      <c r="L238" s="28"/>
      <c r="M238" s="28"/>
      <c r="N238" s="28"/>
      <c r="O238" s="28"/>
    </row>
    <row r="239" spans="1:15" x14ac:dyDescent="0.25">
      <c r="A239" s="4" t="s">
        <v>61</v>
      </c>
      <c r="B239" s="2" t="s">
        <v>338</v>
      </c>
    </row>
    <row r="240" spans="1:15" x14ac:dyDescent="0.25">
      <c r="B240" s="2" t="s">
        <v>15</v>
      </c>
      <c r="F240" s="4" t="s">
        <v>421</v>
      </c>
      <c r="H240" s="4" t="s">
        <v>381</v>
      </c>
    </row>
    <row r="241" spans="1:23" x14ac:dyDescent="0.25">
      <c r="B241" s="2" t="s">
        <v>422</v>
      </c>
      <c r="F241" s="238">
        <v>1</v>
      </c>
      <c r="H241" s="2">
        <f>ROUNDUP(F241*Listas!$E$5,0)</f>
        <v>2</v>
      </c>
    </row>
    <row r="243" spans="1:23" x14ac:dyDescent="0.25">
      <c r="B243" s="4" t="s">
        <v>360</v>
      </c>
      <c r="C243" s="2" t="s">
        <v>15</v>
      </c>
      <c r="D243" s="4"/>
      <c r="E243" s="4"/>
      <c r="F243" s="4" t="s">
        <v>321</v>
      </c>
      <c r="G243" s="4"/>
      <c r="H243" s="4" t="s">
        <v>322</v>
      </c>
      <c r="I243" s="4"/>
      <c r="J243" s="4" t="s">
        <v>323</v>
      </c>
      <c r="K243" s="4"/>
      <c r="M243" s="4" t="s">
        <v>324</v>
      </c>
      <c r="N243" s="4"/>
      <c r="P243" s="4" t="s">
        <v>325</v>
      </c>
      <c r="Q243" s="4"/>
      <c r="R243" s="4" t="s">
        <v>326</v>
      </c>
      <c r="S243" s="4"/>
      <c r="T243" s="4" t="s">
        <v>327</v>
      </c>
      <c r="U243" s="4"/>
      <c r="V243" s="4" t="s">
        <v>328</v>
      </c>
      <c r="W243" s="4" t="s">
        <v>329</v>
      </c>
    </row>
    <row r="244" spans="1:23" x14ac:dyDescent="0.25">
      <c r="B244" s="4"/>
      <c r="C244" s="4"/>
      <c r="D244" s="4"/>
      <c r="E244" s="4"/>
      <c r="F244" s="4"/>
      <c r="G244" s="4"/>
      <c r="H244" s="4" t="s">
        <v>330</v>
      </c>
      <c r="I244" s="4"/>
      <c r="J244" s="4" t="s">
        <v>331</v>
      </c>
      <c r="K244" s="4"/>
      <c r="M244" s="4" t="s">
        <v>332</v>
      </c>
      <c r="N244" s="4"/>
      <c r="P244" s="4" t="s">
        <v>333</v>
      </c>
      <c r="Q244" s="4"/>
      <c r="R244" s="4" t="s">
        <v>334</v>
      </c>
      <c r="S244" s="4"/>
      <c r="T244" s="4" t="s">
        <v>335</v>
      </c>
      <c r="U244" s="4"/>
      <c r="V244" s="4" t="s">
        <v>336</v>
      </c>
      <c r="W244" s="4" t="s">
        <v>337</v>
      </c>
    </row>
    <row r="245" spans="1:23" x14ac:dyDescent="0.25">
      <c r="B245" s="4" t="s">
        <v>112</v>
      </c>
      <c r="C245" s="2" t="str">
        <f ca="1">IFERROR(VLOOKUP(B245,MO_Matriz,2,0),"")</f>
        <v>Engenheiro de projetos júnior</v>
      </c>
      <c r="F245" s="4" t="str">
        <f ca="1">IFERROR(VLOOKUP(B245,MO_Matriz,3,0),"")</f>
        <v>S</v>
      </c>
      <c r="H245" s="2">
        <v>1</v>
      </c>
      <c r="J245" s="2">
        <v>1</v>
      </c>
      <c r="M245" s="2">
        <f>Listas!$B$6</f>
        <v>7.333333333333333</v>
      </c>
      <c r="P245" s="238">
        <f>$F$241</f>
        <v>1</v>
      </c>
      <c r="R245" s="2">
        <f>H245*J245*M245*P245</f>
        <v>7.333333333333333</v>
      </c>
      <c r="T245" s="2">
        <f>R245/220</f>
        <v>3.3333333333333333E-2</v>
      </c>
      <c r="V245" s="310">
        <f ca="1">IFERROR(VLOOKUP(B245,MO_Matriz,5,0),"")</f>
        <v>24288.81</v>
      </c>
      <c r="W245" s="310">
        <f ca="1">TRUNC(T245*V245,2)</f>
        <v>809.62</v>
      </c>
    </row>
    <row r="246" spans="1:23" x14ac:dyDescent="0.25">
      <c r="B246" s="4" t="s">
        <v>173</v>
      </c>
      <c r="C246" s="2" t="str">
        <f ca="1">IFERROR(VLOOKUP(B246,MO_Matriz,2,0),"")</f>
        <v>Técnico em geoprocessamento</v>
      </c>
      <c r="F246" s="4" t="str">
        <f ca="1">IFERROR(VLOOKUP(B246,MO_Matriz,3,0),"")</f>
        <v>T</v>
      </c>
      <c r="H246" s="2">
        <v>1</v>
      </c>
      <c r="J246" s="2">
        <v>1</v>
      </c>
      <c r="M246" s="2">
        <f>Listas!$B$6</f>
        <v>7.333333333333333</v>
      </c>
      <c r="P246" s="238">
        <f>$F$241</f>
        <v>1</v>
      </c>
      <c r="R246" s="2">
        <f>H246*J246*M246*P246</f>
        <v>7.333333333333333</v>
      </c>
      <c r="T246" s="2">
        <f>R246/220</f>
        <v>3.3333333333333333E-2</v>
      </c>
      <c r="V246" s="310">
        <f ca="1">IFERROR(VLOOKUP(B246,MO_Matriz,5,0),"")</f>
        <v>6390.65</v>
      </c>
      <c r="W246" s="310">
        <f t="shared" ref="W246" ca="1" si="4">TRUNC(T246*V246,2)</f>
        <v>213.02</v>
      </c>
    </row>
    <row r="247" spans="1:23" x14ac:dyDescent="0.25">
      <c r="V247" s="332" t="s">
        <v>329</v>
      </c>
      <c r="W247" s="331">
        <f ca="1">SUM(W245:W246)</f>
        <v>1022.64</v>
      </c>
    </row>
    <row r="248" spans="1:23" x14ac:dyDescent="0.25">
      <c r="A248" s="329" t="s">
        <v>339</v>
      </c>
      <c r="B248" s="2" t="s">
        <v>340</v>
      </c>
    </row>
    <row r="249" spans="1:23" x14ac:dyDescent="0.25">
      <c r="B249" s="2" t="s">
        <v>341</v>
      </c>
    </row>
    <row r="251" spans="1:23" x14ac:dyDescent="0.25">
      <c r="A251" s="4" t="s">
        <v>348</v>
      </c>
      <c r="B251" s="2" t="s">
        <v>349</v>
      </c>
    </row>
    <row r="252" spans="1:23" x14ac:dyDescent="0.25">
      <c r="A252" s="4" t="s">
        <v>451</v>
      </c>
      <c r="B252" s="2" t="s">
        <v>452</v>
      </c>
    </row>
    <row r="253" spans="1:23" x14ac:dyDescent="0.25">
      <c r="B253" s="4" t="s">
        <v>360</v>
      </c>
      <c r="C253" s="2" t="s">
        <v>15</v>
      </c>
      <c r="F253" s="4" t="s">
        <v>321</v>
      </c>
      <c r="G253" s="4"/>
      <c r="H253" s="4" t="s">
        <v>453</v>
      </c>
      <c r="I253" s="4"/>
      <c r="J253" s="4" t="s">
        <v>454</v>
      </c>
    </row>
    <row r="254" spans="1:23" x14ac:dyDescent="0.25">
      <c r="B254" s="4" t="str">
        <f t="shared" ref="B254:B255" si="5">B245</f>
        <v>P8065</v>
      </c>
      <c r="C254" s="2" t="str">
        <f ca="1">IFERROR(VLOOKUP(B254,MO_Matriz,2,0),"")</f>
        <v>Engenheiro de projetos júnior</v>
      </c>
      <c r="F254" s="4" t="str">
        <f ca="1">IFERROR(VLOOKUP(B254,MO_Matriz,3,0),"")</f>
        <v>S</v>
      </c>
      <c r="H254" s="2" t="s">
        <v>455</v>
      </c>
      <c r="J254" s="2">
        <v>1</v>
      </c>
    </row>
    <row r="255" spans="1:23" x14ac:dyDescent="0.25">
      <c r="B255" s="4" t="str">
        <f t="shared" si="5"/>
        <v>P8155</v>
      </c>
      <c r="C255" s="2" t="str">
        <f ca="1">IFERROR(VLOOKUP(B255,MO_Matriz,2,0),"")</f>
        <v>Técnico em geoprocessamento</v>
      </c>
      <c r="F255" s="4" t="str">
        <f ca="1">IFERROR(VLOOKUP(B255,MO_Matriz,3,0),"")</f>
        <v>T</v>
      </c>
      <c r="H255" s="2" t="s">
        <v>455</v>
      </c>
      <c r="J255" s="2">
        <v>1</v>
      </c>
    </row>
    <row r="256" spans="1:23" x14ac:dyDescent="0.25">
      <c r="I256" s="332" t="s">
        <v>329</v>
      </c>
      <c r="J256" s="332">
        <f>SUM(J254:J255)</f>
        <v>2</v>
      </c>
    </row>
    <row r="258" spans="1:6" x14ac:dyDescent="0.25">
      <c r="A258" s="4" t="s">
        <v>456</v>
      </c>
      <c r="B258" s="2" t="s">
        <v>457</v>
      </c>
    </row>
    <row r="259" spans="1:6" x14ac:dyDescent="0.25">
      <c r="A259" s="4"/>
      <c r="B259" s="2" t="s">
        <v>1032</v>
      </c>
    </row>
    <row r="260" spans="1:6" x14ac:dyDescent="0.25">
      <c r="A260" s="4"/>
    </row>
    <row r="261" spans="1:6" x14ac:dyDescent="0.25">
      <c r="A261" s="4" t="s">
        <v>350</v>
      </c>
      <c r="B261" s="2" t="s">
        <v>351</v>
      </c>
    </row>
    <row r="262" spans="1:6" x14ac:dyDescent="0.25">
      <c r="B262" s="2" t="s">
        <v>344</v>
      </c>
    </row>
    <row r="264" spans="1:6" x14ac:dyDescent="0.25">
      <c r="A264" s="4" t="s">
        <v>197</v>
      </c>
      <c r="B264" s="2" t="s">
        <v>352</v>
      </c>
    </row>
    <row r="265" spans="1:6" x14ac:dyDescent="0.25">
      <c r="B265" s="2" t="s">
        <v>346</v>
      </c>
    </row>
    <row r="267" spans="1:6" x14ac:dyDescent="0.25">
      <c r="A267" s="4" t="s">
        <v>353</v>
      </c>
      <c r="B267" s="2" t="s">
        <v>354</v>
      </c>
    </row>
    <row r="268" spans="1:6" x14ac:dyDescent="0.25">
      <c r="B268" s="2" t="s">
        <v>347</v>
      </c>
    </row>
    <row r="270" spans="1:6" x14ac:dyDescent="0.25">
      <c r="A270" s="4" t="s">
        <v>355</v>
      </c>
      <c r="B270" s="2" t="s">
        <v>356</v>
      </c>
    </row>
    <row r="271" spans="1:6" x14ac:dyDescent="0.25">
      <c r="B271" s="2" t="s">
        <v>15</v>
      </c>
      <c r="F271" s="2" t="s">
        <v>357</v>
      </c>
    </row>
    <row r="272" spans="1:6" x14ac:dyDescent="0.25">
      <c r="B272" s="2" t="s">
        <v>317</v>
      </c>
      <c r="F272" s="310">
        <f ca="1">W247</f>
        <v>1022.64</v>
      </c>
    </row>
    <row r="273" spans="1:23" x14ac:dyDescent="0.25">
      <c r="B273" s="2" t="s">
        <v>276</v>
      </c>
      <c r="F273" s="310">
        <v>0</v>
      </c>
    </row>
    <row r="274" spans="1:23" x14ac:dyDescent="0.25">
      <c r="B274" s="2" t="s">
        <v>342</v>
      </c>
      <c r="F274" s="310">
        <v>0</v>
      </c>
    </row>
    <row r="275" spans="1:23" x14ac:dyDescent="0.25">
      <c r="B275" s="2" t="s">
        <v>343</v>
      </c>
      <c r="F275" s="310">
        <v>0</v>
      </c>
    </row>
    <row r="276" spans="1:23" x14ac:dyDescent="0.25">
      <c r="B276" s="2" t="s">
        <v>345</v>
      </c>
      <c r="F276" s="310">
        <v>0</v>
      </c>
    </row>
    <row r="277" spans="1:23" x14ac:dyDescent="0.25">
      <c r="B277" s="2" t="s">
        <v>516</v>
      </c>
      <c r="F277" s="310">
        <v>0</v>
      </c>
    </row>
    <row r="278" spans="1:23" x14ac:dyDescent="0.25">
      <c r="E278" s="332" t="s">
        <v>329</v>
      </c>
      <c r="F278" s="331">
        <f ca="1">SUM(F272:F277)</f>
        <v>1022.64</v>
      </c>
    </row>
    <row r="280" spans="1:23" ht="17.25" x14ac:dyDescent="0.25">
      <c r="A280" s="328" t="s">
        <v>484</v>
      </c>
      <c r="B280" s="328" t="s">
        <v>208</v>
      </c>
      <c r="C280" s="342"/>
      <c r="D280" s="342"/>
      <c r="E280" s="343"/>
    </row>
    <row r="281" spans="1:23" x14ac:dyDescent="0.25">
      <c r="A281" s="2" t="s">
        <v>61</v>
      </c>
      <c r="B281" s="2" t="s">
        <v>338</v>
      </c>
    </row>
    <row r="282" spans="1:23" x14ac:dyDescent="0.25">
      <c r="B282" s="2" t="s">
        <v>15</v>
      </c>
      <c r="F282" s="2" t="s">
        <v>325</v>
      </c>
      <c r="H282" s="2" t="s">
        <v>381</v>
      </c>
    </row>
    <row r="283" spans="1:23" x14ac:dyDescent="0.25">
      <c r="B283" s="2" t="s">
        <v>424</v>
      </c>
      <c r="F283" s="238">
        <v>1</v>
      </c>
      <c r="H283" s="2">
        <f>ROUNDUP(F283*Listas!$E$5,0)</f>
        <v>2</v>
      </c>
    </row>
    <row r="285" spans="1:23" x14ac:dyDescent="0.25">
      <c r="B285" s="4" t="s">
        <v>360</v>
      </c>
      <c r="C285" s="2" t="s">
        <v>15</v>
      </c>
      <c r="F285" s="4" t="s">
        <v>321</v>
      </c>
      <c r="H285" s="4" t="s">
        <v>322</v>
      </c>
      <c r="J285" s="4" t="s">
        <v>323</v>
      </c>
      <c r="M285" s="4" t="s">
        <v>324</v>
      </c>
      <c r="P285" s="4" t="s">
        <v>325</v>
      </c>
      <c r="R285" s="4" t="s">
        <v>326</v>
      </c>
      <c r="T285" s="4" t="s">
        <v>327</v>
      </c>
      <c r="V285" s="4" t="s">
        <v>328</v>
      </c>
      <c r="W285" s="4" t="s">
        <v>329</v>
      </c>
    </row>
    <row r="286" spans="1:23" x14ac:dyDescent="0.25">
      <c r="H286" s="4" t="s">
        <v>330</v>
      </c>
      <c r="J286" s="4" t="s">
        <v>331</v>
      </c>
      <c r="M286" s="4" t="s">
        <v>332</v>
      </c>
      <c r="P286" s="4" t="s">
        <v>333</v>
      </c>
      <c r="R286" s="4" t="s">
        <v>334</v>
      </c>
      <c r="T286" s="4" t="s">
        <v>335</v>
      </c>
      <c r="V286" s="4" t="s">
        <v>336</v>
      </c>
      <c r="W286" s="4" t="s">
        <v>337</v>
      </c>
    </row>
    <row r="287" spans="1:23" x14ac:dyDescent="0.25">
      <c r="B287" s="4" t="s">
        <v>112</v>
      </c>
      <c r="C287" s="2" t="str">
        <f ca="1">IFERROR(VLOOKUP(B287,MO_Matriz,2,0),"")</f>
        <v>Engenheiro de projetos júnior</v>
      </c>
      <c r="F287" s="4" t="str">
        <f ca="1">IFERROR(VLOOKUP(B287,MO_Matriz,3,0),"")</f>
        <v>S</v>
      </c>
      <c r="H287" s="2">
        <v>1</v>
      </c>
      <c r="J287" s="2">
        <v>1</v>
      </c>
      <c r="M287" s="2">
        <f>Listas!$B$6</f>
        <v>7.333333333333333</v>
      </c>
      <c r="P287" s="238">
        <f>$F$283</f>
        <v>1</v>
      </c>
      <c r="R287" s="2">
        <f>H287*J287*M287*P287</f>
        <v>7.333333333333333</v>
      </c>
      <c r="T287" s="2">
        <f>R287/220</f>
        <v>3.3333333333333333E-2</v>
      </c>
      <c r="V287" s="310">
        <f ca="1">IFERROR(VLOOKUP(B287,MO_Matriz,5,0),"")</f>
        <v>24288.81</v>
      </c>
      <c r="W287" s="274">
        <f ca="1">TRUNC(T287*V287,2)</f>
        <v>809.62</v>
      </c>
    </row>
    <row r="288" spans="1:23" x14ac:dyDescent="0.25">
      <c r="B288" s="4" t="s">
        <v>181</v>
      </c>
      <c r="C288" s="2" t="str">
        <f ca="1">IFERROR(VLOOKUP(B288,MO_Matriz,2,0),"")</f>
        <v>Desenhista</v>
      </c>
      <c r="F288" s="4" t="str">
        <f ca="1">IFERROR(VLOOKUP(B288,MO_Matriz,3,0),"")</f>
        <v>T</v>
      </c>
      <c r="H288" s="2">
        <v>1</v>
      </c>
      <c r="J288" s="2">
        <v>1</v>
      </c>
      <c r="M288" s="2">
        <f>Listas!$B$6</f>
        <v>7.333333333333333</v>
      </c>
      <c r="P288" s="238">
        <f>$F$283</f>
        <v>1</v>
      </c>
      <c r="R288" s="2">
        <f>H288*J288*M288*P288</f>
        <v>7.333333333333333</v>
      </c>
      <c r="T288" s="2">
        <f>R288/220</f>
        <v>3.3333333333333333E-2</v>
      </c>
      <c r="V288" s="310">
        <f ca="1">IFERROR(VLOOKUP(B288,MO_Matriz,5,0),"")</f>
        <v>7821.6815999999999</v>
      </c>
      <c r="W288" s="274">
        <f t="shared" ref="W288" ca="1" si="6">TRUNC(T288*V288,2)</f>
        <v>260.72000000000003</v>
      </c>
    </row>
    <row r="289" spans="1:23" x14ac:dyDescent="0.25">
      <c r="V289" s="332" t="s">
        <v>329</v>
      </c>
      <c r="W289" s="331">
        <f ca="1">SUM(W287:W288)</f>
        <v>1070.3400000000001</v>
      </c>
    </row>
    <row r="290" spans="1:23" x14ac:dyDescent="0.25">
      <c r="A290" s="2" t="s">
        <v>339</v>
      </c>
      <c r="B290" s="2" t="s">
        <v>340</v>
      </c>
    </row>
    <row r="291" spans="1:23" x14ac:dyDescent="0.25">
      <c r="B291" s="2" t="s">
        <v>341</v>
      </c>
    </row>
    <row r="293" spans="1:23" x14ac:dyDescent="0.25">
      <c r="A293" s="2" t="s">
        <v>348</v>
      </c>
      <c r="B293" s="2" t="s">
        <v>349</v>
      </c>
    </row>
    <row r="294" spans="1:23" x14ac:dyDescent="0.25">
      <c r="A294" s="4" t="s">
        <v>451</v>
      </c>
      <c r="B294" s="2" t="s">
        <v>452</v>
      </c>
    </row>
    <row r="295" spans="1:23" x14ac:dyDescent="0.25">
      <c r="B295" s="4" t="s">
        <v>360</v>
      </c>
      <c r="C295" s="2" t="s">
        <v>15</v>
      </c>
      <c r="F295" s="4" t="s">
        <v>321</v>
      </c>
      <c r="G295" s="4"/>
      <c r="H295" s="4" t="s">
        <v>453</v>
      </c>
      <c r="I295" s="4"/>
      <c r="J295" s="4" t="s">
        <v>454</v>
      </c>
    </row>
    <row r="296" spans="1:23" x14ac:dyDescent="0.25">
      <c r="B296" s="4" t="str">
        <f t="shared" ref="B296:B297" si="7">B287</f>
        <v>P8065</v>
      </c>
      <c r="C296" s="2" t="str">
        <f ca="1">IFERROR(VLOOKUP(B296,MO_Matriz,2,0),"")</f>
        <v>Engenheiro de projetos júnior</v>
      </c>
      <c r="F296" s="4" t="str">
        <f ca="1">IFERROR(VLOOKUP(B296,MO_Matriz,3,0),"")</f>
        <v>S</v>
      </c>
      <c r="H296" s="2" t="s">
        <v>455</v>
      </c>
      <c r="J296" s="2">
        <v>1</v>
      </c>
    </row>
    <row r="297" spans="1:23" x14ac:dyDescent="0.25">
      <c r="B297" s="4" t="str">
        <f t="shared" si="7"/>
        <v>P9848</v>
      </c>
      <c r="C297" s="2" t="str">
        <f ca="1">IFERROR(VLOOKUP(B297,MO_Matriz,2,0),"")</f>
        <v>Desenhista</v>
      </c>
      <c r="F297" s="4" t="str">
        <f ca="1">IFERROR(VLOOKUP(B297,MO_Matriz,3,0),"")</f>
        <v>T</v>
      </c>
      <c r="H297" s="2" t="s">
        <v>455</v>
      </c>
      <c r="J297" s="2">
        <v>1</v>
      </c>
    </row>
    <row r="298" spans="1:23" x14ac:dyDescent="0.25">
      <c r="I298" s="332" t="s">
        <v>329</v>
      </c>
      <c r="J298" s="332">
        <f>SUM(J296:J297)</f>
        <v>2</v>
      </c>
    </row>
    <row r="300" spans="1:23" x14ac:dyDescent="0.25">
      <c r="A300" s="4" t="s">
        <v>456</v>
      </c>
      <c r="B300" s="2" t="s">
        <v>457</v>
      </c>
    </row>
    <row r="301" spans="1:23" x14ac:dyDescent="0.25">
      <c r="A301" s="4"/>
      <c r="B301" s="2" t="s">
        <v>1032</v>
      </c>
    </row>
    <row r="303" spans="1:23" x14ac:dyDescent="0.25">
      <c r="A303" s="2" t="s">
        <v>350</v>
      </c>
      <c r="B303" s="2" t="s">
        <v>351</v>
      </c>
    </row>
    <row r="304" spans="1:23" x14ac:dyDescent="0.25">
      <c r="B304" s="2" t="s">
        <v>344</v>
      </c>
    </row>
    <row r="306" spans="1:6" x14ac:dyDescent="0.25">
      <c r="A306" s="2" t="s">
        <v>197</v>
      </c>
      <c r="B306" s="2" t="s">
        <v>352</v>
      </c>
    </row>
    <row r="307" spans="1:6" x14ac:dyDescent="0.25">
      <c r="B307" s="2" t="s">
        <v>346</v>
      </c>
    </row>
    <row r="309" spans="1:6" x14ac:dyDescent="0.25">
      <c r="A309" s="2" t="s">
        <v>353</v>
      </c>
      <c r="B309" s="2" t="s">
        <v>354</v>
      </c>
    </row>
    <row r="310" spans="1:6" x14ac:dyDescent="0.25">
      <c r="B310" s="2" t="s">
        <v>347</v>
      </c>
    </row>
    <row r="312" spans="1:6" x14ac:dyDescent="0.25">
      <c r="A312" s="2" t="s">
        <v>355</v>
      </c>
      <c r="B312" s="2" t="s">
        <v>356</v>
      </c>
    </row>
    <row r="313" spans="1:6" x14ac:dyDescent="0.25">
      <c r="B313" s="2" t="s">
        <v>15</v>
      </c>
      <c r="F313" s="2" t="s">
        <v>357</v>
      </c>
    </row>
    <row r="314" spans="1:6" x14ac:dyDescent="0.25">
      <c r="B314" s="2" t="s">
        <v>317</v>
      </c>
      <c r="F314" s="274">
        <f ca="1">W289</f>
        <v>1070.3400000000001</v>
      </c>
    </row>
    <row r="315" spans="1:6" x14ac:dyDescent="0.25">
      <c r="B315" s="2" t="s">
        <v>276</v>
      </c>
      <c r="F315" s="274">
        <v>0</v>
      </c>
    </row>
    <row r="316" spans="1:6" x14ac:dyDescent="0.25">
      <c r="B316" s="2" t="s">
        <v>342</v>
      </c>
      <c r="F316" s="274">
        <v>0</v>
      </c>
    </row>
    <row r="317" spans="1:6" x14ac:dyDescent="0.25">
      <c r="B317" s="2" t="s">
        <v>343</v>
      </c>
      <c r="F317" s="274">
        <v>0</v>
      </c>
    </row>
    <row r="318" spans="1:6" x14ac:dyDescent="0.25">
      <c r="B318" s="2" t="s">
        <v>345</v>
      </c>
      <c r="F318" s="274">
        <v>0</v>
      </c>
    </row>
    <row r="319" spans="1:6" x14ac:dyDescent="0.25">
      <c r="B319" s="2" t="s">
        <v>516</v>
      </c>
      <c r="F319" s="274">
        <v>0</v>
      </c>
    </row>
    <row r="320" spans="1:6" x14ac:dyDescent="0.25">
      <c r="E320" s="332" t="s">
        <v>329</v>
      </c>
      <c r="F320" s="344">
        <f ca="1">SUM(F314:F319)</f>
        <v>1070.3400000000001</v>
      </c>
    </row>
    <row r="322" spans="1:21" ht="17.25" x14ac:dyDescent="0.25">
      <c r="A322" s="328" t="s">
        <v>485</v>
      </c>
      <c r="B322" s="328" t="s">
        <v>211</v>
      </c>
      <c r="C322" s="342"/>
      <c r="D322" s="342"/>
    </row>
    <row r="323" spans="1:21" x14ac:dyDescent="0.25">
      <c r="A323" s="342" t="s">
        <v>731</v>
      </c>
      <c r="B323" s="342" t="s">
        <v>735</v>
      </c>
      <c r="C323" s="342"/>
      <c r="D323" s="342"/>
      <c r="E323" s="342"/>
    </row>
    <row r="324" spans="1:21" x14ac:dyDescent="0.25">
      <c r="B324" s="51" t="s">
        <v>470</v>
      </c>
      <c r="C324" s="238">
        <f>'Carac trecho'!I18</f>
        <v>3</v>
      </c>
      <c r="D324" s="2" t="s">
        <v>198</v>
      </c>
      <c r="E324" s="2" t="s">
        <v>471</v>
      </c>
    </row>
    <row r="325" spans="1:21" x14ac:dyDescent="0.25">
      <c r="B325" s="2" t="s">
        <v>359</v>
      </c>
      <c r="C325" s="2">
        <v>1</v>
      </c>
      <c r="D325" s="2" t="s">
        <v>13</v>
      </c>
      <c r="E325" s="4" t="s">
        <v>201</v>
      </c>
      <c r="F325" s="2">
        <f>ROUND(C325/C324,2)</f>
        <v>0.33</v>
      </c>
      <c r="G325" s="2" t="s">
        <v>472</v>
      </c>
      <c r="I325" s="4" t="s">
        <v>201</v>
      </c>
      <c r="J325" s="2">
        <f>ROUNDUP(F325*Listas!$E$5,0)</f>
        <v>1</v>
      </c>
      <c r="K325" s="2" t="s">
        <v>473</v>
      </c>
      <c r="M325" s="2" t="s">
        <v>471</v>
      </c>
    </row>
    <row r="327" spans="1:21" x14ac:dyDescent="0.25">
      <c r="B327" s="2" t="s">
        <v>474</v>
      </c>
      <c r="C327" s="2">
        <v>1</v>
      </c>
      <c r="D327" s="2" t="s">
        <v>475</v>
      </c>
      <c r="E327" s="4" t="s">
        <v>201</v>
      </c>
      <c r="F327" s="2">
        <f>F325/C327</f>
        <v>0.33</v>
      </c>
      <c r="G327" s="2" t="s">
        <v>472</v>
      </c>
      <c r="I327" s="4" t="s">
        <v>431</v>
      </c>
      <c r="J327" s="2">
        <v>2</v>
      </c>
      <c r="K327" s="2" t="s">
        <v>476</v>
      </c>
      <c r="L327" s="4" t="s">
        <v>432</v>
      </c>
      <c r="M327" s="2">
        <f>F328+J327</f>
        <v>3</v>
      </c>
      <c r="N327" s="2" t="s">
        <v>477</v>
      </c>
    </row>
    <row r="328" spans="1:21" x14ac:dyDescent="0.25">
      <c r="F328" s="2">
        <f>ROUNDUP(F327*Listas!$E$5,0)</f>
        <v>1</v>
      </c>
      <c r="G328" s="2" t="s">
        <v>473</v>
      </c>
    </row>
    <row r="329" spans="1:21" x14ac:dyDescent="0.25">
      <c r="A329" s="4" t="s">
        <v>61</v>
      </c>
      <c r="B329" s="2" t="s">
        <v>338</v>
      </c>
    </row>
    <row r="330" spans="1:21" x14ac:dyDescent="0.25">
      <c r="B330" s="4" t="s">
        <v>360</v>
      </c>
      <c r="C330" s="2" t="s">
        <v>15</v>
      </c>
      <c r="F330" s="4" t="s">
        <v>321</v>
      </c>
      <c r="G330" s="4"/>
      <c r="H330" s="4" t="s">
        <v>322</v>
      </c>
      <c r="I330" s="4"/>
      <c r="J330" s="4" t="s">
        <v>323</v>
      </c>
      <c r="K330" s="4"/>
      <c r="L330" s="4" t="s">
        <v>324</v>
      </c>
      <c r="M330" s="4"/>
      <c r="N330" s="4" t="s">
        <v>325</v>
      </c>
      <c r="O330" s="4"/>
      <c r="P330" s="4" t="s">
        <v>326</v>
      </c>
      <c r="Q330" s="4"/>
      <c r="R330" s="4" t="s">
        <v>327</v>
      </c>
      <c r="S330" s="4"/>
      <c r="T330" s="4" t="s">
        <v>328</v>
      </c>
      <c r="U330" s="4" t="s">
        <v>329</v>
      </c>
    </row>
    <row r="331" spans="1:21" x14ac:dyDescent="0.25">
      <c r="B331" s="4"/>
      <c r="F331" s="4"/>
      <c r="G331" s="4"/>
      <c r="H331" s="4" t="s">
        <v>330</v>
      </c>
      <c r="I331" s="4"/>
      <c r="J331" s="4" t="s">
        <v>331</v>
      </c>
      <c r="K331" s="4"/>
      <c r="L331" s="4" t="s">
        <v>332</v>
      </c>
      <c r="M331" s="4"/>
      <c r="N331" s="4" t="s">
        <v>333</v>
      </c>
      <c r="O331" s="4"/>
      <c r="P331" s="4" t="s">
        <v>334</v>
      </c>
      <c r="Q331" s="4"/>
      <c r="R331" s="4" t="s">
        <v>335</v>
      </c>
      <c r="S331" s="4"/>
      <c r="T331" s="4" t="s">
        <v>336</v>
      </c>
      <c r="U331" s="4" t="s">
        <v>337</v>
      </c>
    </row>
    <row r="332" spans="1:21" x14ac:dyDescent="0.25">
      <c r="B332" s="4" t="s">
        <v>177</v>
      </c>
      <c r="C332" s="2" t="str">
        <f ca="1">IFERROR(VLOOKUP(B332,MO_Matriz,2,0),"")</f>
        <v>Topógrafo</v>
      </c>
      <c r="F332" s="4" t="str">
        <f ca="1">IFERROR(VLOOKUP(B332,MO_Matriz,3,0),"")</f>
        <v>T</v>
      </c>
      <c r="H332" s="2">
        <f>$C$327</f>
        <v>1</v>
      </c>
      <c r="J332" s="2">
        <v>1</v>
      </c>
      <c r="L332" s="2">
        <f>Listas!$B$6</f>
        <v>7.333333333333333</v>
      </c>
      <c r="N332" s="2">
        <f>$M$327</f>
        <v>3</v>
      </c>
      <c r="P332" s="2">
        <f>H332*J332*L332*N332</f>
        <v>22</v>
      </c>
      <c r="R332" s="2">
        <f>P332/220</f>
        <v>0.1</v>
      </c>
      <c r="T332" s="310">
        <f ca="1">IFERROR(VLOOKUP(B332,MO_Matriz,5,0),"")</f>
        <v>5810.76</v>
      </c>
      <c r="U332" s="310">
        <f ca="1">TRUNC(R332*T332,2)</f>
        <v>581.07000000000005</v>
      </c>
    </row>
    <row r="333" spans="1:21" x14ac:dyDescent="0.25">
      <c r="B333" s="4" t="s">
        <v>66</v>
      </c>
      <c r="C333" s="2" t="str">
        <f ca="1">IFERROR(VLOOKUP(B333,MO_Matriz,2,0),"")</f>
        <v>Auxiliar de topografia</v>
      </c>
      <c r="F333" s="4" t="str">
        <f ca="1">IFERROR(VLOOKUP(B333,MO_Matriz,3,0),"")</f>
        <v>A</v>
      </c>
      <c r="H333" s="2">
        <f>$C$327</f>
        <v>1</v>
      </c>
      <c r="J333" s="2">
        <v>2</v>
      </c>
      <c r="L333" s="2">
        <f>Listas!$B$6</f>
        <v>7.333333333333333</v>
      </c>
      <c r="N333" s="2">
        <f>$M$327</f>
        <v>3</v>
      </c>
      <c r="P333" s="2">
        <f>H333*J333*L333*N333</f>
        <v>44</v>
      </c>
      <c r="R333" s="2">
        <f>P333/220</f>
        <v>0.2</v>
      </c>
      <c r="T333" s="310">
        <f ca="1">IFERROR(VLOOKUP(B333,MO_Matriz,5,0),"")</f>
        <v>4255.96</v>
      </c>
      <c r="U333" s="310">
        <f t="shared" ref="U333" ca="1" si="8">TRUNC(R333*T333,2)</f>
        <v>851.19</v>
      </c>
    </row>
    <row r="334" spans="1:21" x14ac:dyDescent="0.25">
      <c r="T334" s="332" t="s">
        <v>329</v>
      </c>
      <c r="U334" s="331">
        <f ca="1">SUM(U332:U333)</f>
        <v>1432.2600000000002</v>
      </c>
    </row>
    <row r="335" spans="1:21" x14ac:dyDescent="0.25">
      <c r="A335" s="4" t="s">
        <v>339</v>
      </c>
      <c r="B335" s="2" t="s">
        <v>340</v>
      </c>
    </row>
    <row r="336" spans="1:21" x14ac:dyDescent="0.25">
      <c r="B336" s="4" t="s">
        <v>360</v>
      </c>
      <c r="C336" s="2" t="s">
        <v>15</v>
      </c>
      <c r="G336" s="4" t="s">
        <v>31</v>
      </c>
      <c r="H336" s="4" t="s">
        <v>224</v>
      </c>
      <c r="I336" s="4" t="s">
        <v>361</v>
      </c>
      <c r="J336" s="4" t="s">
        <v>328</v>
      </c>
      <c r="K336" s="330" t="s">
        <v>362</v>
      </c>
    </row>
    <row r="337" spans="1:11" x14ac:dyDescent="0.25">
      <c r="B337" s="4"/>
      <c r="G337" s="4" t="s">
        <v>363</v>
      </c>
      <c r="H337" s="4" t="s">
        <v>330</v>
      </c>
      <c r="I337" s="4" t="s">
        <v>364</v>
      </c>
      <c r="J337" s="4" t="s">
        <v>332</v>
      </c>
      <c r="K337" s="330" t="s">
        <v>365</v>
      </c>
    </row>
    <row r="338" spans="1:11" x14ac:dyDescent="0.25">
      <c r="B338" s="4" t="s">
        <v>193</v>
      </c>
      <c r="C338" s="2" t="str">
        <f ca="1">IFERROR(VLOOKUP(B338,Veiculo_Equip_Matriz,2,0),"")</f>
        <v>Veículo leve picape 4 x 4 com capacidade de 1,10 t - 147 kW (sem motorista)</v>
      </c>
      <c r="G338" s="2">
        <f>$C$327</f>
        <v>1</v>
      </c>
      <c r="H338" s="2">
        <f>$J$327/2</f>
        <v>1</v>
      </c>
      <c r="I338" s="2">
        <f>H338/30</f>
        <v>3.3333333333333333E-2</v>
      </c>
      <c r="J338" s="310">
        <f ca="1">IFERROR(VLOOKUP(B338,Veiculo_Equip_Matriz,10,0),"")</f>
        <v>7920.0560999999998</v>
      </c>
      <c r="K338" s="331">
        <f ca="1">TRUNC(G338*I338*J338,2)</f>
        <v>264</v>
      </c>
    </row>
    <row r="339" spans="1:11" x14ac:dyDescent="0.25">
      <c r="J339" s="332" t="s">
        <v>329</v>
      </c>
      <c r="K339" s="331">
        <f ca="1">SUM(K338:K338)</f>
        <v>264</v>
      </c>
    </row>
    <row r="340" spans="1:11" x14ac:dyDescent="0.25">
      <c r="A340" s="4" t="s">
        <v>348</v>
      </c>
      <c r="B340" s="2" t="s">
        <v>349</v>
      </c>
    </row>
    <row r="341" spans="1:11" x14ac:dyDescent="0.25">
      <c r="A341" s="4" t="s">
        <v>451</v>
      </c>
      <c r="B341" s="2" t="s">
        <v>452</v>
      </c>
    </row>
    <row r="342" spans="1:11" x14ac:dyDescent="0.25">
      <c r="B342" s="2" t="s">
        <v>1033</v>
      </c>
      <c r="F342" s="4"/>
      <c r="G342" s="4"/>
      <c r="H342" s="4"/>
      <c r="I342" s="4"/>
      <c r="J342" s="4"/>
    </row>
    <row r="343" spans="1:11" x14ac:dyDescent="0.25">
      <c r="B343" s="4"/>
      <c r="F343" s="4"/>
    </row>
    <row r="344" spans="1:11" x14ac:dyDescent="0.25">
      <c r="A344" s="4" t="s">
        <v>456</v>
      </c>
      <c r="B344" s="2" t="s">
        <v>457</v>
      </c>
    </row>
    <row r="346" spans="1:11" x14ac:dyDescent="0.25">
      <c r="B346" s="4" t="s">
        <v>360</v>
      </c>
      <c r="C346" s="2" t="s">
        <v>15</v>
      </c>
      <c r="F346" s="4" t="s">
        <v>321</v>
      </c>
      <c r="G346" s="4"/>
      <c r="H346" s="4" t="s">
        <v>453</v>
      </c>
      <c r="I346" s="4"/>
      <c r="J346" s="4" t="s">
        <v>454</v>
      </c>
    </row>
    <row r="347" spans="1:11" x14ac:dyDescent="0.25">
      <c r="B347" s="4" t="str">
        <f>B332</f>
        <v>P8163</v>
      </c>
      <c r="C347" s="2" t="str">
        <f ca="1">IFERROR(VLOOKUP(B347,MO_Matriz,2,0),"")</f>
        <v>Topógrafo</v>
      </c>
      <c r="F347" s="4" t="str">
        <f ca="1">IFERROR(VLOOKUP(B347,MO_Matriz,3,0),"")</f>
        <v>T</v>
      </c>
      <c r="H347" s="2" t="s">
        <v>455</v>
      </c>
      <c r="J347" s="2">
        <f>J332</f>
        <v>1</v>
      </c>
    </row>
    <row r="348" spans="1:11" x14ac:dyDescent="0.25">
      <c r="I348" s="332" t="s">
        <v>329</v>
      </c>
      <c r="J348" s="332">
        <f>SUM(J347:J347)</f>
        <v>1</v>
      </c>
    </row>
    <row r="349" spans="1:11" x14ac:dyDescent="0.25">
      <c r="A349" s="4"/>
    </row>
    <row r="350" spans="1:11" x14ac:dyDescent="0.25">
      <c r="A350" s="4" t="s">
        <v>350</v>
      </c>
      <c r="B350" s="2" t="s">
        <v>351</v>
      </c>
    </row>
    <row r="351" spans="1:11" x14ac:dyDescent="0.25">
      <c r="B351" s="4" t="s">
        <v>320</v>
      </c>
      <c r="C351" s="2" t="s">
        <v>15</v>
      </c>
      <c r="E351" s="4" t="s">
        <v>202</v>
      </c>
      <c r="F351" s="4" t="s">
        <v>224</v>
      </c>
      <c r="G351" s="4" t="s">
        <v>361</v>
      </c>
      <c r="H351" s="4"/>
      <c r="I351" s="4" t="s">
        <v>478</v>
      </c>
      <c r="K351" s="330" t="s">
        <v>396</v>
      </c>
    </row>
    <row r="352" spans="1:11" x14ac:dyDescent="0.25">
      <c r="B352" s="4"/>
      <c r="E352" s="4" t="s">
        <v>363</v>
      </c>
      <c r="F352" s="4" t="s">
        <v>330</v>
      </c>
      <c r="G352" s="4" t="s">
        <v>364</v>
      </c>
      <c r="H352" s="4"/>
      <c r="I352" s="4" t="s">
        <v>332</v>
      </c>
      <c r="K352" s="330" t="s">
        <v>365</v>
      </c>
    </row>
    <row r="353" spans="1:28" x14ac:dyDescent="0.25">
      <c r="B353" s="4" t="s">
        <v>294</v>
      </c>
      <c r="C353" s="2" t="str">
        <f>VLOOKUP(B353,'Imóveis-Mobiliários-Cestas-Dive'!B3:F13,3,0)</f>
        <v>Topografia</v>
      </c>
      <c r="E353" s="2">
        <f>C327</f>
        <v>1</v>
      </c>
      <c r="F353" s="2">
        <f>F328</f>
        <v>1</v>
      </c>
      <c r="G353" s="2">
        <f>F353/30</f>
        <v>3.3333333333333333E-2</v>
      </c>
      <c r="I353" s="310">
        <f>VLOOKUP(B353,'Imóveis-Mobiliários-Cestas-Dive'!B3:F13,5,0)</f>
        <v>5150.2700000000004</v>
      </c>
      <c r="K353" s="331">
        <f>TRUNC(I353*E353*G353,2)</f>
        <v>171.67</v>
      </c>
    </row>
    <row r="355" spans="1:28" x14ac:dyDescent="0.25">
      <c r="A355" s="4" t="s">
        <v>197</v>
      </c>
      <c r="B355" s="2" t="s">
        <v>352</v>
      </c>
    </row>
    <row r="356" spans="1:28" x14ac:dyDescent="0.25">
      <c r="A356" s="4" t="s">
        <v>450</v>
      </c>
      <c r="B356" s="2" t="s">
        <v>433</v>
      </c>
    </row>
    <row r="357" spans="1:28" x14ac:dyDescent="0.25">
      <c r="A357" s="4"/>
      <c r="B357" s="2" t="s">
        <v>1035</v>
      </c>
    </row>
    <row r="358" spans="1:28" x14ac:dyDescent="0.25">
      <c r="B358" s="2" t="s">
        <v>1124</v>
      </c>
    </row>
    <row r="359" spans="1:28" x14ac:dyDescent="0.25">
      <c r="B359" s="2" t="s">
        <v>15</v>
      </c>
      <c r="E359" s="2" t="s">
        <v>357</v>
      </c>
      <c r="F359" s="2" t="s">
        <v>202</v>
      </c>
    </row>
    <row r="360" spans="1:28" x14ac:dyDescent="0.25">
      <c r="B360" s="2" t="s">
        <v>248</v>
      </c>
      <c r="E360" s="238">
        <f>Listas!$D$19</f>
        <v>250</v>
      </c>
    </row>
    <row r="361" spans="1:28" x14ac:dyDescent="0.25">
      <c r="B361" s="2" t="s">
        <v>252</v>
      </c>
      <c r="E361" s="238">
        <f>E360/2</f>
        <v>125</v>
      </c>
      <c r="F361" s="2">
        <f>N332</f>
        <v>3</v>
      </c>
    </row>
    <row r="362" spans="1:28" x14ac:dyDescent="0.25">
      <c r="B362" s="2" t="s">
        <v>255</v>
      </c>
      <c r="E362" s="238">
        <f>E361</f>
        <v>125</v>
      </c>
      <c r="F362" s="2">
        <f>F361-1</f>
        <v>2</v>
      </c>
    </row>
    <row r="364" spans="1:28" x14ac:dyDescent="0.25">
      <c r="B364" s="4" t="s">
        <v>360</v>
      </c>
      <c r="C364" s="2" t="s">
        <v>15</v>
      </c>
      <c r="D364" s="4"/>
      <c r="E364" s="4"/>
      <c r="F364" s="4" t="s">
        <v>321</v>
      </c>
      <c r="G364" s="4"/>
      <c r="H364" s="4" t="s">
        <v>434</v>
      </c>
      <c r="I364" s="4"/>
      <c r="J364" s="4" t="s">
        <v>435</v>
      </c>
      <c r="L364" s="4" t="s">
        <v>323</v>
      </c>
      <c r="N364" s="330" t="s">
        <v>329</v>
      </c>
    </row>
    <row r="365" spans="1:28" x14ac:dyDescent="0.25">
      <c r="B365" s="4"/>
      <c r="C365" s="4"/>
      <c r="D365" s="4"/>
      <c r="E365" s="4"/>
      <c r="F365" s="4"/>
      <c r="G365" s="4"/>
      <c r="H365" s="4" t="s">
        <v>363</v>
      </c>
      <c r="I365" s="4"/>
      <c r="J365" s="4" t="s">
        <v>330</v>
      </c>
      <c r="N365" s="330" t="s">
        <v>436</v>
      </c>
      <c r="P365" s="84"/>
      <c r="Q365" s="84"/>
      <c r="R365" s="84"/>
      <c r="S365" s="84"/>
      <c r="T365" s="84"/>
      <c r="U365" s="84"/>
      <c r="V365" s="84"/>
      <c r="W365" s="84"/>
      <c r="X365" s="84"/>
      <c r="Y365" s="84"/>
      <c r="Z365" s="84"/>
      <c r="AA365" s="84"/>
      <c r="AB365" s="84"/>
    </row>
    <row r="366" spans="1:28" x14ac:dyDescent="0.25">
      <c r="B366" s="4" t="s">
        <v>177</v>
      </c>
      <c r="C366" s="2" t="str">
        <f ca="1">IFERROR(VLOOKUP(B366,MO_Matriz,2,0),"")</f>
        <v>Topógrafo</v>
      </c>
      <c r="F366" s="4" t="str">
        <f ca="1">IFERROR(VLOOKUP(B366,MO_Matriz,3,0),"")</f>
        <v>T</v>
      </c>
      <c r="H366" s="310">
        <f>$E$361*$F$361*$L$366</f>
        <v>375</v>
      </c>
      <c r="I366" s="310"/>
      <c r="J366" s="310">
        <f>$E$362*$F$362*L366</f>
        <v>250</v>
      </c>
      <c r="L366" s="2">
        <f>J332</f>
        <v>1</v>
      </c>
      <c r="N366" s="331">
        <f>(H366+J366)*L366</f>
        <v>625</v>
      </c>
      <c r="P366" s="84"/>
      <c r="Q366" s="84"/>
      <c r="R366" s="84"/>
      <c r="S366" s="84"/>
      <c r="T366" s="84"/>
      <c r="U366" s="84"/>
      <c r="V366" s="84"/>
      <c r="W366" s="84"/>
      <c r="X366" s="84"/>
      <c r="Y366" s="84"/>
      <c r="Z366" s="84"/>
      <c r="AA366" s="84"/>
      <c r="AB366" s="84"/>
    </row>
    <row r="367" spans="1:28" x14ac:dyDescent="0.25">
      <c r="M367" s="332" t="s">
        <v>329</v>
      </c>
      <c r="N367" s="331">
        <f>SUM(N366:N366)</f>
        <v>625</v>
      </c>
      <c r="P367" s="84"/>
      <c r="Q367" s="84"/>
      <c r="R367" s="84"/>
      <c r="S367" s="84"/>
      <c r="T367" s="84"/>
      <c r="U367" s="84"/>
      <c r="V367" s="84"/>
      <c r="W367" s="84"/>
      <c r="X367" s="84"/>
      <c r="Y367" s="84"/>
      <c r="Z367" s="84"/>
      <c r="AA367" s="84"/>
      <c r="AB367" s="84"/>
    </row>
    <row r="368" spans="1:28" x14ac:dyDescent="0.25">
      <c r="A368" s="4" t="s">
        <v>459</v>
      </c>
      <c r="B368" s="2" t="s">
        <v>437</v>
      </c>
      <c r="P368" s="84"/>
      <c r="Q368" s="84"/>
      <c r="R368" s="84"/>
      <c r="S368" s="84"/>
      <c r="T368" s="84"/>
      <c r="U368" s="84"/>
      <c r="V368" s="84"/>
      <c r="W368" s="84"/>
      <c r="X368" s="84"/>
      <c r="Y368" s="84"/>
      <c r="Z368" s="84"/>
      <c r="AA368" s="84"/>
      <c r="AB368" s="84"/>
    </row>
    <row r="369" spans="1:28" x14ac:dyDescent="0.25">
      <c r="B369" s="2" t="s">
        <v>438</v>
      </c>
      <c r="P369" s="84"/>
      <c r="Q369" s="84"/>
      <c r="R369" s="84"/>
      <c r="S369" s="84"/>
      <c r="T369" s="84"/>
      <c r="U369" s="84"/>
      <c r="V369" s="84"/>
      <c r="W369" s="84"/>
      <c r="X369" s="84"/>
      <c r="Y369" s="84"/>
      <c r="Z369" s="84"/>
      <c r="AA369" s="84"/>
      <c r="AB369" s="84"/>
    </row>
    <row r="370" spans="1:28" x14ac:dyDescent="0.25">
      <c r="P370" s="84"/>
      <c r="Q370" s="84"/>
      <c r="R370" s="84"/>
      <c r="S370" s="84"/>
      <c r="T370" s="84"/>
      <c r="U370" s="84"/>
      <c r="V370" s="84"/>
      <c r="W370" s="84"/>
      <c r="X370" s="84"/>
      <c r="Y370" s="84"/>
      <c r="Z370" s="84"/>
      <c r="AA370" s="84"/>
      <c r="AB370" s="84"/>
    </row>
    <row r="371" spans="1:28" x14ac:dyDescent="0.25">
      <c r="A371" s="4" t="s">
        <v>353</v>
      </c>
      <c r="B371" s="2" t="s">
        <v>354</v>
      </c>
      <c r="P371" s="84"/>
      <c r="Q371" s="84"/>
      <c r="R371" s="84"/>
      <c r="S371" s="84"/>
      <c r="T371" s="84"/>
      <c r="U371" s="84"/>
      <c r="V371" s="84"/>
      <c r="W371" s="84"/>
      <c r="X371" s="84"/>
      <c r="Y371" s="84"/>
      <c r="Z371" s="84"/>
      <c r="AA371" s="84"/>
      <c r="AB371" s="84"/>
    </row>
    <row r="372" spans="1:28" x14ac:dyDescent="0.25">
      <c r="A372" s="4" t="s">
        <v>385</v>
      </c>
      <c r="B372" s="2" t="s">
        <v>317</v>
      </c>
    </row>
    <row r="373" spans="1:28" x14ac:dyDescent="0.25">
      <c r="B373" s="2" t="s">
        <v>439</v>
      </c>
    </row>
    <row r="375" spans="1:28" x14ac:dyDescent="0.25">
      <c r="A375" s="4" t="s">
        <v>386</v>
      </c>
      <c r="B375" s="2" t="s">
        <v>366</v>
      </c>
    </row>
    <row r="376" spans="1:28" x14ac:dyDescent="0.25">
      <c r="A376" s="4"/>
    </row>
    <row r="377" spans="1:28" x14ac:dyDescent="0.25">
      <c r="A377" s="4"/>
      <c r="B377" s="2" t="s">
        <v>367</v>
      </c>
      <c r="D377" s="2" t="s">
        <v>237</v>
      </c>
      <c r="F377" s="4" t="s">
        <v>387</v>
      </c>
      <c r="H377" s="4" t="s">
        <v>13</v>
      </c>
      <c r="I377" s="4" t="s">
        <v>414</v>
      </c>
      <c r="K377" s="2" t="s">
        <v>15</v>
      </c>
      <c r="L377" s="84"/>
      <c r="M377" s="84"/>
      <c r="N377" s="4" t="s">
        <v>368</v>
      </c>
      <c r="O377" s="4" t="s">
        <v>357</v>
      </c>
    </row>
    <row r="378" spans="1:28" x14ac:dyDescent="0.25">
      <c r="A378" s="4"/>
      <c r="B378" s="2" t="s">
        <v>245</v>
      </c>
      <c r="D378" s="2" t="s">
        <v>245</v>
      </c>
      <c r="F378" s="238">
        <f>Listas!$J$3</f>
        <v>60</v>
      </c>
      <c r="H378" s="238">
        <f>Listas!$L$3</f>
        <v>305</v>
      </c>
      <c r="I378" s="311">
        <f>H378/H381</f>
        <v>1</v>
      </c>
      <c r="K378" s="2" t="s">
        <v>369</v>
      </c>
      <c r="L378" s="84"/>
      <c r="M378" s="84"/>
      <c r="N378" s="336" t="str">
        <f>Listas!$D$21</f>
        <v>ABRIL/25</v>
      </c>
      <c r="O378" s="84">
        <f>Listas!$D$23</f>
        <v>303.67500000000001</v>
      </c>
    </row>
    <row r="379" spans="1:28" x14ac:dyDescent="0.25">
      <c r="A379" s="4"/>
      <c r="D379" s="2" t="s">
        <v>251</v>
      </c>
      <c r="F379" s="238">
        <f>Listas!$J$4</f>
        <v>50</v>
      </c>
      <c r="H379" s="238">
        <f>Listas!$L$4</f>
        <v>0</v>
      </c>
      <c r="I379" s="311">
        <f>H379/H381</f>
        <v>0</v>
      </c>
      <c r="K379" s="2" t="s">
        <v>369</v>
      </c>
      <c r="L379" s="84"/>
      <c r="M379" s="84"/>
      <c r="N379" s="336" t="str">
        <f>Listas!$D$21</f>
        <v>ABRIL/25</v>
      </c>
      <c r="O379" s="84">
        <f>Listas!$D$23</f>
        <v>303.67500000000001</v>
      </c>
    </row>
    <row r="380" spans="1:28" x14ac:dyDescent="0.25">
      <c r="A380" s="4"/>
      <c r="D380" s="2" t="s">
        <v>254</v>
      </c>
      <c r="F380" s="238">
        <f>Listas!$J$5</f>
        <v>40</v>
      </c>
      <c r="H380" s="238">
        <f>Listas!$L$5</f>
        <v>0</v>
      </c>
      <c r="I380" s="311">
        <f>H380/H381</f>
        <v>0</v>
      </c>
      <c r="K380" s="2" t="s">
        <v>370</v>
      </c>
      <c r="L380" s="84"/>
      <c r="M380" s="84"/>
      <c r="N380" s="329" t="s">
        <v>259</v>
      </c>
      <c r="O380" s="337">
        <f>O379/O378-1</f>
        <v>0</v>
      </c>
    </row>
    <row r="381" spans="1:28" x14ac:dyDescent="0.25">
      <c r="A381" s="4"/>
      <c r="G381" s="332" t="s">
        <v>329</v>
      </c>
      <c r="H381" s="238">
        <f>SUM(H378:H380)</f>
        <v>305</v>
      </c>
      <c r="I381" s="311">
        <f>SUM(I378:I380)</f>
        <v>1</v>
      </c>
      <c r="K381" s="2" t="s">
        <v>867</v>
      </c>
      <c r="L381" s="84"/>
      <c r="M381" s="84"/>
      <c r="N381" s="338">
        <v>45839</v>
      </c>
      <c r="O381" s="339">
        <v>36.9</v>
      </c>
    </row>
    <row r="382" spans="1:28" x14ac:dyDescent="0.25">
      <c r="A382" s="4"/>
      <c r="K382" s="2" t="s">
        <v>868</v>
      </c>
      <c r="L382" s="84"/>
      <c r="M382" s="84"/>
      <c r="N382" s="338">
        <v>45839</v>
      </c>
      <c r="O382" s="339">
        <f>Listas!$D$26</f>
        <v>36.9</v>
      </c>
    </row>
    <row r="383" spans="1:28" x14ac:dyDescent="0.25">
      <c r="A383" s="4"/>
      <c r="F383" s="4"/>
      <c r="H383" s="4"/>
      <c r="I383" s="4"/>
      <c r="K383" s="2" t="s">
        <v>869</v>
      </c>
      <c r="L383" s="84"/>
      <c r="M383" s="84"/>
      <c r="N383" s="336" t="s">
        <v>1156</v>
      </c>
      <c r="O383" s="310">
        <f>ROUND(O381*(1+O380), 2)</f>
        <v>36.9</v>
      </c>
    </row>
    <row r="384" spans="1:28" x14ac:dyDescent="0.25">
      <c r="A384" s="4"/>
      <c r="F384" s="238"/>
      <c r="H384" s="238"/>
      <c r="I384" s="311"/>
      <c r="K384" s="2" t="s">
        <v>870</v>
      </c>
      <c r="L384" s="84"/>
      <c r="M384" s="84"/>
      <c r="N384" s="336" t="s">
        <v>1156</v>
      </c>
      <c r="O384" s="310">
        <f>ROUND(O382*(1+O380), 2)</f>
        <v>36.9</v>
      </c>
    </row>
    <row r="385" spans="1:29" x14ac:dyDescent="0.25">
      <c r="A385" s="4"/>
      <c r="H385" s="238"/>
      <c r="I385" s="311"/>
      <c r="L385" s="84"/>
      <c r="M385" s="84"/>
      <c r="N385" s="336"/>
      <c r="O385" s="310"/>
    </row>
    <row r="386" spans="1:29" x14ac:dyDescent="0.25">
      <c r="A386" s="4"/>
      <c r="L386" s="84"/>
      <c r="M386" s="84"/>
      <c r="N386" s="336"/>
      <c r="O386" s="310"/>
    </row>
    <row r="387" spans="1:29" x14ac:dyDescent="0.25">
      <c r="B387" s="2" t="s">
        <v>360</v>
      </c>
      <c r="C387" s="2" t="s">
        <v>15</v>
      </c>
      <c r="G387" s="4" t="s">
        <v>202</v>
      </c>
      <c r="I387" s="4" t="s">
        <v>401</v>
      </c>
      <c r="K387" s="4" t="s">
        <v>402</v>
      </c>
      <c r="M387" s="4" t="s">
        <v>371</v>
      </c>
      <c r="O387" s="4" t="s">
        <v>372</v>
      </c>
      <c r="P387" s="4" t="s">
        <v>373</v>
      </c>
      <c r="Q387" s="2" t="s">
        <v>236</v>
      </c>
      <c r="S387" s="4" t="s">
        <v>183</v>
      </c>
      <c r="T387" s="4"/>
      <c r="U387" s="4" t="s">
        <v>374</v>
      </c>
      <c r="V387" s="4"/>
      <c r="W387" s="4" t="s">
        <v>375</v>
      </c>
      <c r="Y387" s="4" t="s">
        <v>376</v>
      </c>
      <c r="Z387" s="4"/>
      <c r="AA387" s="4" t="s">
        <v>377</v>
      </c>
      <c r="AB387" s="4" t="s">
        <v>388</v>
      </c>
      <c r="AC387" s="330" t="s">
        <v>362</v>
      </c>
    </row>
    <row r="388" spans="1:29" x14ac:dyDescent="0.25">
      <c r="G388" s="4" t="s">
        <v>363</v>
      </c>
      <c r="I388" s="4" t="s">
        <v>330</v>
      </c>
      <c r="K388" s="4" t="s">
        <v>331</v>
      </c>
      <c r="M388" s="4" t="s">
        <v>403</v>
      </c>
      <c r="O388" s="4" t="s">
        <v>372</v>
      </c>
      <c r="P388" s="4" t="s">
        <v>333</v>
      </c>
      <c r="Q388" s="4"/>
      <c r="S388" s="4" t="s">
        <v>378</v>
      </c>
      <c r="T388" s="4"/>
      <c r="U388" s="4" t="s">
        <v>407</v>
      </c>
      <c r="V388" s="4"/>
      <c r="W388" s="4" t="s">
        <v>389</v>
      </c>
      <c r="Y388" s="4" t="s">
        <v>413</v>
      </c>
      <c r="Z388" s="4"/>
      <c r="AA388" s="4" t="s">
        <v>410</v>
      </c>
      <c r="AB388" s="4" t="s">
        <v>411</v>
      </c>
      <c r="AC388" s="330" t="s">
        <v>412</v>
      </c>
    </row>
    <row r="389" spans="1:29" x14ac:dyDescent="0.25">
      <c r="B389" s="43" t="str">
        <f>B338</f>
        <v>E8891</v>
      </c>
      <c r="C389" s="2" t="str">
        <f ca="1">IFERROR(VLOOKUP(B389,Veiculo_Equip_Matriz,2,0),"")</f>
        <v>Veículo leve picape 4 x 4 com capacidade de 1,10 t - 147 kW (sem motorista)</v>
      </c>
      <c r="G389" s="2">
        <v>1</v>
      </c>
      <c r="I389" s="238">
        <f>H381</f>
        <v>305</v>
      </c>
      <c r="K389" s="238">
        <f>F378</f>
        <v>60</v>
      </c>
      <c r="M389" s="2">
        <f>I389/K389</f>
        <v>5.083333333333333</v>
      </c>
      <c r="N389" s="84"/>
      <c r="O389" s="84">
        <v>2</v>
      </c>
      <c r="P389" s="84">
        <v>1</v>
      </c>
      <c r="Q389" s="4" t="str">
        <f>B338</f>
        <v>E8891</v>
      </c>
      <c r="S389" s="238">
        <f ca="1">IFERROR(VLOOKUP(Q389,Veiculo_Equip_Matriz,4,0),"")</f>
        <v>79.599999999999994</v>
      </c>
      <c r="U389" s="310">
        <f ca="1">G389*M389*O389*P389*S389</f>
        <v>809.26666666666654</v>
      </c>
      <c r="W389" s="2">
        <f>((INT(M389/4))*30)/60</f>
        <v>0.5</v>
      </c>
      <c r="Y389" s="2">
        <f>M389+W389</f>
        <v>5.583333333333333</v>
      </c>
      <c r="AA389" s="310">
        <v>0</v>
      </c>
      <c r="AB389" s="310">
        <f>O383*O389</f>
        <v>73.8</v>
      </c>
      <c r="AC389" s="331">
        <f ca="1">TRUNC(U389+AA389+AB389,2)</f>
        <v>883.06</v>
      </c>
    </row>
    <row r="390" spans="1:29" x14ac:dyDescent="0.25">
      <c r="AB390" s="332" t="s">
        <v>329</v>
      </c>
      <c r="AC390" s="331">
        <f ca="1">AC389</f>
        <v>883.06</v>
      </c>
    </row>
    <row r="391" spans="1:29" x14ac:dyDescent="0.25">
      <c r="A391" s="4" t="s">
        <v>355</v>
      </c>
      <c r="B391" s="2" t="s">
        <v>356</v>
      </c>
    </row>
    <row r="392" spans="1:29" x14ac:dyDescent="0.25">
      <c r="B392" s="2" t="s">
        <v>15</v>
      </c>
      <c r="F392" s="4" t="s">
        <v>357</v>
      </c>
    </row>
    <row r="393" spans="1:29" x14ac:dyDescent="0.25">
      <c r="B393" s="2" t="s">
        <v>317</v>
      </c>
      <c r="F393" s="310">
        <f ca="1">U334</f>
        <v>1432.2600000000002</v>
      </c>
    </row>
    <row r="394" spans="1:29" x14ac:dyDescent="0.25">
      <c r="B394" s="2" t="s">
        <v>276</v>
      </c>
      <c r="F394" s="310">
        <f ca="1">K339</f>
        <v>264</v>
      </c>
    </row>
    <row r="395" spans="1:29" x14ac:dyDescent="0.25">
      <c r="B395" s="2" t="s">
        <v>342</v>
      </c>
      <c r="F395" s="310">
        <v>0</v>
      </c>
    </row>
    <row r="396" spans="1:29" x14ac:dyDescent="0.25">
      <c r="B396" s="2" t="s">
        <v>343</v>
      </c>
      <c r="F396" s="310">
        <f>K353</f>
        <v>171.67</v>
      </c>
    </row>
    <row r="397" spans="1:29" x14ac:dyDescent="0.25">
      <c r="B397" s="2" t="s">
        <v>345</v>
      </c>
      <c r="F397" s="310">
        <f>N367</f>
        <v>625</v>
      </c>
    </row>
    <row r="398" spans="1:29" x14ac:dyDescent="0.25">
      <c r="B398" s="2" t="s">
        <v>516</v>
      </c>
      <c r="F398" s="310">
        <f ca="1">AC390</f>
        <v>883.06</v>
      </c>
    </row>
    <row r="399" spans="1:29" x14ac:dyDescent="0.25">
      <c r="E399" s="332" t="s">
        <v>329</v>
      </c>
      <c r="F399" s="331">
        <f ca="1">SUM(F393:F398)</f>
        <v>3375.9900000000002</v>
      </c>
    </row>
    <row r="401" spans="1:21" x14ac:dyDescent="0.25">
      <c r="A401" s="342" t="s">
        <v>733</v>
      </c>
      <c r="B401" s="342" t="s">
        <v>736</v>
      </c>
      <c r="C401" s="342"/>
      <c r="D401" s="342"/>
      <c r="E401" s="342"/>
      <c r="F401" s="342"/>
    </row>
    <row r="402" spans="1:21" x14ac:dyDescent="0.25">
      <c r="A402" s="4" t="s">
        <v>61</v>
      </c>
      <c r="B402" s="2" t="s">
        <v>338</v>
      </c>
    </row>
    <row r="403" spans="1:21" x14ac:dyDescent="0.25">
      <c r="B403" s="2" t="s">
        <v>15</v>
      </c>
      <c r="G403" s="2" t="s">
        <v>325</v>
      </c>
      <c r="I403" s="2" t="s">
        <v>381</v>
      </c>
    </row>
    <row r="404" spans="1:21" x14ac:dyDescent="0.25">
      <c r="B404" s="2" t="s">
        <v>737</v>
      </c>
      <c r="G404" s="2">
        <f>M327</f>
        <v>3</v>
      </c>
      <c r="I404" s="2">
        <f>ROUNDUP(G404*Listas!$E$5,0)</f>
        <v>4</v>
      </c>
    </row>
    <row r="405" spans="1:21" x14ac:dyDescent="0.25">
      <c r="B405" s="2" t="s">
        <v>382</v>
      </c>
      <c r="G405" s="2">
        <v>2</v>
      </c>
      <c r="I405" s="2">
        <f>ROUNDUP(G405*Listas!$E$5,0)</f>
        <v>3</v>
      </c>
    </row>
    <row r="406" spans="1:21" x14ac:dyDescent="0.25">
      <c r="B406" s="2" t="s">
        <v>479</v>
      </c>
      <c r="G406" s="238">
        <f>SUM(G404:G405)</f>
        <v>5</v>
      </c>
      <c r="I406" s="2">
        <f>I404+I405</f>
        <v>7</v>
      </c>
    </row>
    <row r="408" spans="1:21" x14ac:dyDescent="0.25">
      <c r="B408" s="4" t="s">
        <v>360</v>
      </c>
      <c r="C408" s="2" t="s">
        <v>15</v>
      </c>
      <c r="F408" s="4" t="s">
        <v>321</v>
      </c>
      <c r="G408" s="4"/>
      <c r="H408" s="4" t="s">
        <v>322</v>
      </c>
      <c r="I408" s="4"/>
      <c r="J408" s="4" t="s">
        <v>323</v>
      </c>
      <c r="K408" s="4"/>
      <c r="L408" s="4" t="s">
        <v>324</v>
      </c>
      <c r="M408" s="4"/>
      <c r="N408" s="4" t="s">
        <v>325</v>
      </c>
      <c r="O408" s="4"/>
      <c r="P408" s="4" t="s">
        <v>326</v>
      </c>
      <c r="Q408" s="4"/>
      <c r="R408" s="4" t="s">
        <v>327</v>
      </c>
      <c r="S408" s="4"/>
      <c r="T408" s="4" t="s">
        <v>328</v>
      </c>
      <c r="U408" s="4" t="s">
        <v>329</v>
      </c>
    </row>
    <row r="409" spans="1:21" x14ac:dyDescent="0.25">
      <c r="B409" s="4"/>
      <c r="F409" s="4"/>
      <c r="G409" s="4"/>
      <c r="H409" s="4" t="s">
        <v>330</v>
      </c>
      <c r="I409" s="4"/>
      <c r="J409" s="4" t="s">
        <v>331</v>
      </c>
      <c r="K409" s="4"/>
      <c r="L409" s="4" t="s">
        <v>332</v>
      </c>
      <c r="M409" s="4"/>
      <c r="N409" s="4" t="s">
        <v>333</v>
      </c>
      <c r="O409" s="4"/>
      <c r="P409" s="4" t="s">
        <v>334</v>
      </c>
      <c r="Q409" s="4"/>
      <c r="R409" s="4" t="s">
        <v>335</v>
      </c>
      <c r="S409" s="4"/>
      <c r="T409" s="4" t="s">
        <v>336</v>
      </c>
      <c r="U409" s="4" t="s">
        <v>337</v>
      </c>
    </row>
    <row r="410" spans="1:21" x14ac:dyDescent="0.25">
      <c r="B410" s="4" t="s">
        <v>112</v>
      </c>
      <c r="C410" s="2" t="str">
        <f ca="1">IFERROR(VLOOKUP(B410,MO_Matriz,2,0),"")</f>
        <v>Engenheiro de projetos júnior</v>
      </c>
      <c r="F410" s="4" t="str">
        <f ca="1">IFERROR(VLOOKUP(B410,MO_Matriz,3,0),"")</f>
        <v>S</v>
      </c>
      <c r="H410" s="2">
        <v>1</v>
      </c>
      <c r="J410" s="2">
        <v>1</v>
      </c>
      <c r="L410" s="2">
        <f>Listas!$B$6</f>
        <v>7.333333333333333</v>
      </c>
      <c r="N410" s="2">
        <f>$G$405</f>
        <v>2</v>
      </c>
      <c r="P410" s="2">
        <f>H410*J410*L410*N410</f>
        <v>14.666666666666666</v>
      </c>
      <c r="R410" s="2">
        <f>P410/220</f>
        <v>6.6666666666666666E-2</v>
      </c>
      <c r="T410" s="310">
        <f ca="1">IFERROR(VLOOKUP(B410,MO_Matriz,5,0),"")</f>
        <v>24288.81</v>
      </c>
      <c r="U410" s="310">
        <f ca="1">TRUNC(R410*T410,2)</f>
        <v>1619.25</v>
      </c>
    </row>
    <row r="411" spans="1:21" x14ac:dyDescent="0.25">
      <c r="B411" s="4" t="s">
        <v>177</v>
      </c>
      <c r="C411" s="2" t="str">
        <f ca="1">IFERROR(VLOOKUP(B411,MO_Matriz,2,0),"")</f>
        <v>Topógrafo</v>
      </c>
      <c r="F411" s="4" t="str">
        <f ca="1">IFERROR(VLOOKUP(B411,MO_Matriz,3,0),"")</f>
        <v>T</v>
      </c>
      <c r="H411" s="2">
        <v>1</v>
      </c>
      <c r="J411" s="2">
        <v>1</v>
      </c>
      <c r="L411" s="2">
        <f>Listas!$B$6</f>
        <v>7.333333333333333</v>
      </c>
      <c r="N411" s="2">
        <f>$G$405</f>
        <v>2</v>
      </c>
      <c r="P411" s="2">
        <f>H411*J411*L411*N411</f>
        <v>14.666666666666666</v>
      </c>
      <c r="R411" s="2">
        <f>P411/220</f>
        <v>6.6666666666666666E-2</v>
      </c>
      <c r="T411" s="310">
        <f ca="1">IFERROR(VLOOKUP(B411,MO_Matriz,5,0),"")</f>
        <v>5810.76</v>
      </c>
      <c r="U411" s="310">
        <f t="shared" ref="U411:U412" ca="1" si="9">TRUNC(R411*T411,2)</f>
        <v>387.38</v>
      </c>
    </row>
    <row r="412" spans="1:21" x14ac:dyDescent="0.25">
      <c r="B412" s="4" t="s">
        <v>181</v>
      </c>
      <c r="C412" s="2" t="str">
        <f ca="1">IFERROR(VLOOKUP(B412,MO_Matriz,2,0),"")</f>
        <v>Desenhista</v>
      </c>
      <c r="F412" s="4" t="str">
        <f ca="1">IFERROR(VLOOKUP(B412,MO_Matriz,3,0),"")</f>
        <v>T</v>
      </c>
      <c r="H412" s="2">
        <v>1</v>
      </c>
      <c r="J412" s="2">
        <v>1</v>
      </c>
      <c r="L412" s="2">
        <f>Listas!$B$6</f>
        <v>7.333333333333333</v>
      </c>
      <c r="N412" s="2">
        <f>$G$405</f>
        <v>2</v>
      </c>
      <c r="P412" s="2">
        <f>H412*J412*L412*N412</f>
        <v>14.666666666666666</v>
      </c>
      <c r="R412" s="2">
        <f>P412/220</f>
        <v>6.6666666666666666E-2</v>
      </c>
      <c r="T412" s="310">
        <f ca="1">IFERROR(VLOOKUP(B412,MO_Matriz,5,0),"")</f>
        <v>7821.6815999999999</v>
      </c>
      <c r="U412" s="310">
        <f t="shared" ca="1" si="9"/>
        <v>521.44000000000005</v>
      </c>
    </row>
    <row r="413" spans="1:21" x14ac:dyDescent="0.25">
      <c r="T413" s="332" t="s">
        <v>329</v>
      </c>
      <c r="U413" s="331">
        <f ca="1">SUM(U410:U412)</f>
        <v>2528.0700000000002</v>
      </c>
    </row>
    <row r="414" spans="1:21" x14ac:dyDescent="0.25">
      <c r="A414" s="329" t="s">
        <v>339</v>
      </c>
      <c r="B414" s="2" t="s">
        <v>340</v>
      </c>
    </row>
    <row r="415" spans="1:21" x14ac:dyDescent="0.25">
      <c r="B415" s="2" t="s">
        <v>341</v>
      </c>
    </row>
    <row r="417" spans="1:15" x14ac:dyDescent="0.25">
      <c r="A417" s="4" t="s">
        <v>348</v>
      </c>
      <c r="B417" s="2" t="s">
        <v>349</v>
      </c>
    </row>
    <row r="418" spans="1:15" x14ac:dyDescent="0.25">
      <c r="A418" s="4" t="s">
        <v>451</v>
      </c>
      <c r="B418" s="2" t="s">
        <v>452</v>
      </c>
    </row>
    <row r="419" spans="1:15" x14ac:dyDescent="0.25">
      <c r="B419" s="4" t="s">
        <v>360</v>
      </c>
      <c r="C419" s="2" t="s">
        <v>15</v>
      </c>
      <c r="F419" s="4" t="s">
        <v>321</v>
      </c>
      <c r="G419" s="4"/>
      <c r="H419" s="4" t="s">
        <v>453</v>
      </c>
      <c r="I419" s="4"/>
      <c r="J419" s="4" t="s">
        <v>454</v>
      </c>
    </row>
    <row r="420" spans="1:15" x14ac:dyDescent="0.25">
      <c r="B420" s="4" t="str">
        <f>B410</f>
        <v>P8065</v>
      </c>
      <c r="C420" s="2" t="str">
        <f ca="1">IFERROR(VLOOKUP(B420,MO_Matriz,2,0),"")</f>
        <v>Engenheiro de projetos júnior</v>
      </c>
      <c r="F420" s="4" t="str">
        <f ca="1">IFERROR(VLOOKUP(B420,MO_Matriz,3,0),"")</f>
        <v>S</v>
      </c>
      <c r="H420" s="2" t="s">
        <v>455</v>
      </c>
      <c r="J420" s="2">
        <v>1</v>
      </c>
    </row>
    <row r="421" spans="1:15" x14ac:dyDescent="0.25">
      <c r="B421" s="4" t="str">
        <f t="shared" ref="B421:B422" si="10">B411</f>
        <v>P8163</v>
      </c>
      <c r="C421" s="2" t="str">
        <f ca="1">IFERROR(VLOOKUP(B421,MO_Matriz,2,0),"")</f>
        <v>Topógrafo</v>
      </c>
      <c r="F421" s="4" t="str">
        <f ca="1">IFERROR(VLOOKUP(B421,MO_Matriz,3,0),"")</f>
        <v>T</v>
      </c>
      <c r="H421" s="2" t="s">
        <v>455</v>
      </c>
      <c r="J421" s="2">
        <v>1</v>
      </c>
    </row>
    <row r="422" spans="1:15" x14ac:dyDescent="0.25">
      <c r="B422" s="4" t="str">
        <f t="shared" si="10"/>
        <v>P9848</v>
      </c>
      <c r="C422" s="2" t="str">
        <f ca="1">IFERROR(VLOOKUP(B422,MO_Matriz,2,0),"")</f>
        <v>Desenhista</v>
      </c>
      <c r="F422" s="4" t="str">
        <f ca="1">IFERROR(VLOOKUP(B422,MO_Matriz,3,0),"")</f>
        <v>T</v>
      </c>
      <c r="H422" s="2" t="s">
        <v>455</v>
      </c>
      <c r="J422" s="2">
        <v>1</v>
      </c>
    </row>
    <row r="423" spans="1:15" x14ac:dyDescent="0.25">
      <c r="I423" s="332" t="s">
        <v>329</v>
      </c>
      <c r="J423" s="332">
        <f>SUM(J420:J422)</f>
        <v>3</v>
      </c>
    </row>
    <row r="425" spans="1:15" x14ac:dyDescent="0.25">
      <c r="A425" s="4" t="s">
        <v>456</v>
      </c>
      <c r="B425" s="2" t="s">
        <v>457</v>
      </c>
    </row>
    <row r="426" spans="1:15" x14ac:dyDescent="0.25">
      <c r="A426" s="4"/>
      <c r="B426" s="2" t="s">
        <v>1032</v>
      </c>
    </row>
    <row r="427" spans="1:15" x14ac:dyDescent="0.25">
      <c r="A427" s="4"/>
    </row>
    <row r="428" spans="1:15" x14ac:dyDescent="0.25">
      <c r="A428" s="4" t="s">
        <v>350</v>
      </c>
      <c r="B428" s="2" t="s">
        <v>351</v>
      </c>
    </row>
    <row r="429" spans="1:15" x14ac:dyDescent="0.25">
      <c r="B429" s="2" t="s">
        <v>344</v>
      </c>
    </row>
    <row r="431" spans="1:15" x14ac:dyDescent="0.25">
      <c r="A431" s="4" t="s">
        <v>197</v>
      </c>
      <c r="B431" s="2" t="s">
        <v>352</v>
      </c>
    </row>
    <row r="432" spans="1:15" s="326" customFormat="1" ht="21" x14ac:dyDescent="0.25">
      <c r="A432" s="2"/>
      <c r="B432" s="2" t="s">
        <v>346</v>
      </c>
      <c r="C432" s="2"/>
      <c r="D432" s="2"/>
      <c r="E432" s="2"/>
      <c r="F432" s="2"/>
      <c r="G432" s="2"/>
      <c r="H432" s="2"/>
      <c r="I432" s="2"/>
      <c r="J432" s="2"/>
      <c r="K432" s="2"/>
      <c r="L432" s="2"/>
      <c r="M432" s="2"/>
      <c r="N432" s="2"/>
      <c r="O432" s="2"/>
    </row>
    <row r="433" spans="1:31" s="28" customFormat="1" ht="17.25" x14ac:dyDescent="0.25">
      <c r="A433" s="2"/>
      <c r="B433" s="2"/>
      <c r="C433" s="2"/>
      <c r="D433" s="2"/>
      <c r="E433" s="2"/>
      <c r="F433" s="2"/>
      <c r="G433" s="2"/>
      <c r="H433" s="2"/>
      <c r="I433" s="2"/>
      <c r="J433" s="2"/>
      <c r="K433" s="2"/>
      <c r="L433" s="2"/>
      <c r="M433" s="2"/>
      <c r="N433" s="2"/>
      <c r="O433" s="2"/>
    </row>
    <row r="434" spans="1:31" x14ac:dyDescent="0.25">
      <c r="A434" s="4" t="s">
        <v>353</v>
      </c>
      <c r="B434" s="2" t="s">
        <v>354</v>
      </c>
    </row>
    <row r="435" spans="1:31" x14ac:dyDescent="0.25">
      <c r="B435" s="2" t="s">
        <v>347</v>
      </c>
    </row>
    <row r="437" spans="1:31" x14ac:dyDescent="0.25">
      <c r="A437" s="4" t="s">
        <v>355</v>
      </c>
      <c r="B437" s="2" t="s">
        <v>356</v>
      </c>
    </row>
    <row r="438" spans="1:31" x14ac:dyDescent="0.25">
      <c r="B438" s="2" t="s">
        <v>15</v>
      </c>
      <c r="F438" s="4" t="s">
        <v>357</v>
      </c>
    </row>
    <row r="439" spans="1:31" x14ac:dyDescent="0.25">
      <c r="B439" s="2" t="s">
        <v>317</v>
      </c>
      <c r="F439" s="310">
        <f ca="1">U413</f>
        <v>2528.0700000000002</v>
      </c>
    </row>
    <row r="440" spans="1:31" x14ac:dyDescent="0.25">
      <c r="B440" s="2" t="s">
        <v>276</v>
      </c>
      <c r="F440" s="310">
        <v>0</v>
      </c>
    </row>
    <row r="441" spans="1:31" x14ac:dyDescent="0.25">
      <c r="B441" s="2" t="s">
        <v>342</v>
      </c>
      <c r="F441" s="310">
        <v>0</v>
      </c>
    </row>
    <row r="442" spans="1:31" x14ac:dyDescent="0.25">
      <c r="B442" s="2" t="s">
        <v>343</v>
      </c>
      <c r="F442" s="310">
        <v>0</v>
      </c>
    </row>
    <row r="443" spans="1:31" x14ac:dyDescent="0.25">
      <c r="B443" s="2" t="s">
        <v>345</v>
      </c>
      <c r="F443" s="310">
        <v>0</v>
      </c>
    </row>
    <row r="444" spans="1:31" x14ac:dyDescent="0.25">
      <c r="B444" s="2" t="s">
        <v>516</v>
      </c>
      <c r="F444" s="310">
        <v>0</v>
      </c>
    </row>
    <row r="445" spans="1:31" x14ac:dyDescent="0.25">
      <c r="E445" s="332" t="s">
        <v>329</v>
      </c>
      <c r="F445" s="331">
        <f ca="1">SUM(F439:F444)</f>
        <v>2528.0700000000002</v>
      </c>
    </row>
    <row r="446" spans="1:31" x14ac:dyDescent="0.25">
      <c r="E446" s="332"/>
      <c r="F446" s="331"/>
    </row>
    <row r="447" spans="1:31" x14ac:dyDescent="0.25">
      <c r="E447" s="332"/>
      <c r="F447" s="331"/>
    </row>
    <row r="448" spans="1:31" ht="17.25" x14ac:dyDescent="0.3">
      <c r="A448" s="455" t="s">
        <v>486</v>
      </c>
      <c r="B448" s="455" t="s">
        <v>1225</v>
      </c>
      <c r="C448" s="263"/>
      <c r="D448" s="263"/>
      <c r="E448" s="263"/>
      <c r="F448" s="263"/>
      <c r="G448"/>
      <c r="H448"/>
      <c r="I448"/>
      <c r="J448"/>
      <c r="K448"/>
      <c r="L448"/>
      <c r="M448"/>
      <c r="N448"/>
      <c r="O448"/>
      <c r="P448"/>
      <c r="Q448"/>
      <c r="R448"/>
      <c r="S448"/>
      <c r="T448"/>
      <c r="U448"/>
      <c r="V448"/>
      <c r="W448"/>
      <c r="X448"/>
      <c r="Y448"/>
      <c r="Z448"/>
      <c r="AA448"/>
      <c r="AB448"/>
      <c r="AC448"/>
      <c r="AD448"/>
      <c r="AE448"/>
    </row>
    <row r="449" spans="1:31" x14ac:dyDescent="0.25">
      <c r="A449" s="263" t="s">
        <v>1234</v>
      </c>
      <c r="B449" s="263" t="s">
        <v>1227</v>
      </c>
      <c r="C449" s="263"/>
      <c r="D449" s="263"/>
      <c r="E449" s="263"/>
      <c r="F449" s="263"/>
      <c r="G449"/>
      <c r="H449"/>
      <c r="I449"/>
      <c r="J449"/>
      <c r="K449"/>
      <c r="L449"/>
      <c r="M449"/>
      <c r="N449"/>
      <c r="O449"/>
      <c r="P449"/>
      <c r="Q449"/>
      <c r="R449"/>
      <c r="S449"/>
      <c r="T449"/>
      <c r="U449"/>
      <c r="V449"/>
      <c r="W449"/>
      <c r="X449"/>
      <c r="Y449"/>
      <c r="Z449"/>
      <c r="AA449"/>
      <c r="AB449"/>
      <c r="AC449"/>
      <c r="AD449"/>
      <c r="AE449"/>
    </row>
    <row r="450" spans="1:31" x14ac:dyDescent="0.25">
      <c r="A450"/>
      <c r="B450"/>
      <c r="C450" s="443" t="s">
        <v>1228</v>
      </c>
      <c r="D450" s="444">
        <v>7.5</v>
      </c>
      <c r="E450" t="s">
        <v>198</v>
      </c>
      <c r="F450" t="s">
        <v>471</v>
      </c>
      <c r="G450"/>
      <c r="H450"/>
      <c r="I450"/>
      <c r="J450"/>
      <c r="K450"/>
      <c r="L450"/>
      <c r="M450"/>
      <c r="N450"/>
      <c r="O450"/>
      <c r="P450"/>
      <c r="Q450"/>
      <c r="R450"/>
      <c r="S450"/>
      <c r="T450"/>
      <c r="U450"/>
      <c r="V450"/>
      <c r="W450"/>
      <c r="X450"/>
      <c r="Y450"/>
      <c r="Z450"/>
      <c r="AA450"/>
      <c r="AB450"/>
      <c r="AC450"/>
      <c r="AD450"/>
      <c r="AE450"/>
    </row>
    <row r="451" spans="1:31" x14ac:dyDescent="0.25">
      <c r="A451"/>
      <c r="B451"/>
      <c r="C451" t="s">
        <v>359</v>
      </c>
      <c r="D451">
        <f>'[1]Qd abrang'!$C$7</f>
        <v>1.32</v>
      </c>
      <c r="E451" t="s">
        <v>13</v>
      </c>
      <c r="F451" s="39" t="s">
        <v>201</v>
      </c>
      <c r="G451">
        <f>ROUND(D451/D450,2)</f>
        <v>0.18</v>
      </c>
      <c r="H451" t="s">
        <v>472</v>
      </c>
      <c r="I451"/>
      <c r="J451" s="39" t="s">
        <v>201</v>
      </c>
      <c r="K451">
        <f>G451*[1]Listas!$E$5</f>
        <v>0.21</v>
      </c>
      <c r="L451" t="s">
        <v>473</v>
      </c>
      <c r="M451"/>
      <c r="N451" t="s">
        <v>471</v>
      </c>
      <c r="O451"/>
      <c r="P451"/>
      <c r="Q451"/>
      <c r="R451"/>
      <c r="S451"/>
      <c r="T451"/>
      <c r="U451"/>
      <c r="V451"/>
      <c r="W451"/>
      <c r="X451"/>
      <c r="Y451"/>
      <c r="Z451"/>
      <c r="AA451"/>
      <c r="AB451"/>
      <c r="AC451"/>
      <c r="AD451"/>
      <c r="AE451"/>
    </row>
    <row r="452" spans="1:31" x14ac:dyDescent="0.25">
      <c r="A452"/>
      <c r="B452"/>
      <c r="C452"/>
      <c r="D452"/>
      <c r="E452"/>
      <c r="F452"/>
      <c r="G452"/>
      <c r="H452"/>
      <c r="I452"/>
      <c r="J452"/>
      <c r="K452"/>
      <c r="L452"/>
      <c r="M452"/>
      <c r="N452"/>
      <c r="O452"/>
      <c r="P452"/>
      <c r="Q452"/>
      <c r="R452"/>
      <c r="S452"/>
      <c r="T452"/>
      <c r="U452"/>
      <c r="V452"/>
      <c r="W452"/>
      <c r="X452"/>
      <c r="Y452"/>
      <c r="Z452"/>
      <c r="AA452"/>
      <c r="AB452"/>
      <c r="AC452"/>
      <c r="AD452"/>
      <c r="AE452"/>
    </row>
    <row r="453" spans="1:31" x14ac:dyDescent="0.25">
      <c r="A453"/>
      <c r="B453" t="s">
        <v>474</v>
      </c>
      <c r="C453">
        <v>1</v>
      </c>
      <c r="D453" t="s">
        <v>475</v>
      </c>
      <c r="E453" s="39" t="s">
        <v>201</v>
      </c>
      <c r="F453">
        <f>G451/C453</f>
        <v>0.18</v>
      </c>
      <c r="G453" t="s">
        <v>472</v>
      </c>
      <c r="H453"/>
      <c r="I453" s="39"/>
      <c r="J453"/>
      <c r="K453"/>
      <c r="L453" s="39"/>
      <c r="M453"/>
      <c r="N453"/>
      <c r="O453"/>
      <c r="P453"/>
      <c r="Q453"/>
      <c r="R453"/>
      <c r="S453"/>
      <c r="T453"/>
      <c r="U453"/>
      <c r="V453"/>
      <c r="W453"/>
      <c r="X453"/>
      <c r="Y453"/>
      <c r="Z453"/>
      <c r="AA453"/>
      <c r="AB453"/>
      <c r="AC453"/>
      <c r="AD453"/>
      <c r="AE453"/>
    </row>
    <row r="454" spans="1:31" x14ac:dyDescent="0.25">
      <c r="A454"/>
      <c r="B454"/>
      <c r="C454"/>
      <c r="D454"/>
      <c r="E454"/>
      <c r="F454">
        <f>F453*[1]Listas!$E$5</f>
        <v>0.21</v>
      </c>
      <c r="G454" t="s">
        <v>473</v>
      </c>
      <c r="H454"/>
      <c r="I454"/>
      <c r="J454"/>
      <c r="K454"/>
      <c r="L454"/>
      <c r="M454"/>
      <c r="N454"/>
      <c r="O454"/>
      <c r="P454"/>
      <c r="Q454"/>
      <c r="R454"/>
      <c r="S454"/>
      <c r="T454"/>
      <c r="U454"/>
      <c r="V454"/>
      <c r="W454"/>
      <c r="X454"/>
      <c r="Y454"/>
      <c r="Z454"/>
      <c r="AA454"/>
      <c r="AB454"/>
      <c r="AC454"/>
      <c r="AD454"/>
      <c r="AE454"/>
    </row>
    <row r="455" spans="1:31" x14ac:dyDescent="0.25">
      <c r="A455"/>
      <c r="B455"/>
      <c r="C455"/>
      <c r="D455"/>
      <c r="E455"/>
      <c r="F455"/>
      <c r="G455"/>
      <c r="H455"/>
      <c r="I455"/>
      <c r="J455"/>
      <c r="K455"/>
      <c r="L455"/>
      <c r="M455"/>
      <c r="N455"/>
      <c r="O455"/>
      <c r="P455"/>
      <c r="Q455"/>
      <c r="R455"/>
      <c r="S455"/>
      <c r="T455"/>
      <c r="U455"/>
      <c r="V455"/>
      <c r="W455"/>
      <c r="X455"/>
      <c r="Y455"/>
      <c r="Z455"/>
      <c r="AA455"/>
      <c r="AB455"/>
      <c r="AC455"/>
      <c r="AD455"/>
      <c r="AE455"/>
    </row>
    <row r="456" spans="1:31" x14ac:dyDescent="0.25">
      <c r="A456" s="445" t="s">
        <v>61</v>
      </c>
      <c r="B456" s="134" t="s">
        <v>338</v>
      </c>
      <c r="C456" s="134"/>
      <c r="D456" s="134"/>
      <c r="E456" s="134"/>
      <c r="F456" s="134"/>
      <c r="G456" s="134"/>
      <c r="H456" s="134"/>
      <c r="I456" s="134"/>
      <c r="J456" s="134"/>
      <c r="K456" s="134"/>
      <c r="L456" s="134"/>
      <c r="M456" s="134"/>
      <c r="N456" s="134"/>
      <c r="O456" s="134"/>
      <c r="P456" s="134"/>
      <c r="Q456" s="134"/>
      <c r="R456" s="134"/>
      <c r="S456" s="134"/>
      <c r="T456" s="134"/>
      <c r="U456" s="134"/>
      <c r="V456" s="134"/>
      <c r="W456" s="134"/>
      <c r="X456" s="134"/>
      <c r="Y456" s="134"/>
      <c r="Z456" s="134"/>
      <c r="AA456" s="134"/>
      <c r="AB456" s="134"/>
      <c r="AC456" s="134"/>
      <c r="AD456" s="134"/>
      <c r="AE456" s="134"/>
    </row>
    <row r="457" spans="1:31" x14ac:dyDescent="0.25">
      <c r="A457"/>
      <c r="B457" s="39" t="s">
        <v>360</v>
      </c>
      <c r="C457" t="s">
        <v>15</v>
      </c>
      <c r="D457"/>
      <c r="E457"/>
      <c r="F457" s="39" t="s">
        <v>321</v>
      </c>
      <c r="G457" s="39"/>
      <c r="H457" s="39" t="s">
        <v>322</v>
      </c>
      <c r="I457" s="39"/>
      <c r="J457" s="39" t="s">
        <v>323</v>
      </c>
      <c r="K457" s="39"/>
      <c r="L457" s="39" t="s">
        <v>324</v>
      </c>
      <c r="M457" s="39"/>
      <c r="N457" s="39" t="s">
        <v>325</v>
      </c>
      <c r="O457" s="39"/>
      <c r="P457" s="39" t="s">
        <v>326</v>
      </c>
      <c r="Q457" s="39"/>
      <c r="R457" s="39" t="s">
        <v>327</v>
      </c>
      <c r="S457" s="39"/>
      <c r="T457" s="39" t="s">
        <v>328</v>
      </c>
      <c r="U457" s="39" t="s">
        <v>329</v>
      </c>
      <c r="V457"/>
      <c r="W457"/>
      <c r="X457"/>
      <c r="Y457"/>
      <c r="Z457"/>
      <c r="AA457"/>
      <c r="AB457"/>
      <c r="AC457"/>
      <c r="AD457"/>
      <c r="AE457"/>
    </row>
    <row r="458" spans="1:31" x14ac:dyDescent="0.25">
      <c r="A458"/>
      <c r="B458" s="39"/>
      <c r="C458"/>
      <c r="D458"/>
      <c r="E458"/>
      <c r="F458" s="39"/>
      <c r="G458" s="39"/>
      <c r="H458" s="39" t="s">
        <v>330</v>
      </c>
      <c r="I458" s="39"/>
      <c r="J458" s="39" t="s">
        <v>331</v>
      </c>
      <c r="K458" s="39"/>
      <c r="L458" s="39" t="s">
        <v>332</v>
      </c>
      <c r="M458" s="39"/>
      <c r="N458" s="39" t="s">
        <v>333</v>
      </c>
      <c r="O458" s="39"/>
      <c r="P458" s="39" t="s">
        <v>334</v>
      </c>
      <c r="Q458" s="39"/>
      <c r="R458" s="39" t="s">
        <v>335</v>
      </c>
      <c r="S458" s="39"/>
      <c r="T458" s="39" t="s">
        <v>336</v>
      </c>
      <c r="U458" s="39" t="s">
        <v>337</v>
      </c>
      <c r="V458"/>
      <c r="W458"/>
      <c r="X458"/>
      <c r="Y458"/>
      <c r="Z458"/>
      <c r="AA458"/>
      <c r="AB458"/>
      <c r="AC458"/>
      <c r="AD458"/>
      <c r="AE458"/>
    </row>
    <row r="459" spans="1:31" x14ac:dyDescent="0.25">
      <c r="A459"/>
      <c r="B459" s="43" t="s">
        <v>169</v>
      </c>
      <c r="C459" s="2" t="str">
        <f ca="1">IFERROR(VLOOKUP(B459,MO_Matriz,2,0),"")</f>
        <v>Técnico de obras</v>
      </c>
      <c r="D459"/>
      <c r="E459"/>
      <c r="F459" s="39" t="str">
        <f ca="1">IFERROR(VLOOKUP(B459,MO_2,3,0),"")</f>
        <v/>
      </c>
      <c r="G459"/>
      <c r="H459">
        <f>$C$453</f>
        <v>1</v>
      </c>
      <c r="I459"/>
      <c r="J459">
        <v>1</v>
      </c>
      <c r="K459"/>
      <c r="L459">
        <f>[1]Listas!$B$6</f>
        <v>7.333333333333333</v>
      </c>
      <c r="M459"/>
      <c r="N459">
        <f>F453</f>
        <v>0.18</v>
      </c>
      <c r="O459"/>
      <c r="P459">
        <f>H459*J459*L459*N459</f>
        <v>1.3199999999999998</v>
      </c>
      <c r="Q459"/>
      <c r="R459">
        <f>P459/220</f>
        <v>5.9999999999999993E-3</v>
      </c>
      <c r="S459"/>
      <c r="T459" s="446">
        <f ca="1">MO!L99</f>
        <v>7040.14</v>
      </c>
      <c r="U459" s="446">
        <f ca="1">R459*T459</f>
        <v>42.240839999999999</v>
      </c>
      <c r="V459"/>
      <c r="W459"/>
      <c r="X459"/>
      <c r="Y459"/>
      <c r="Z459"/>
      <c r="AA459"/>
      <c r="AB459"/>
      <c r="AC459"/>
      <c r="AD459"/>
      <c r="AE459"/>
    </row>
    <row r="460" spans="1:31" x14ac:dyDescent="0.25">
      <c r="A460"/>
      <c r="B460" s="39" t="s">
        <v>59</v>
      </c>
      <c r="C460" s="2" t="str">
        <f ca="1">IFERROR(VLOOKUP(B460,MO_Matriz,2,0),"")</f>
        <v>Auxiliar</v>
      </c>
      <c r="D460"/>
      <c r="E460"/>
      <c r="F460" s="39" t="str">
        <f ca="1">IFERROR(VLOOKUP(B460,MO_2,3,0),"")</f>
        <v/>
      </c>
      <c r="G460"/>
      <c r="H460">
        <f>$C$453</f>
        <v>1</v>
      </c>
      <c r="I460"/>
      <c r="J460">
        <v>4</v>
      </c>
      <c r="K460"/>
      <c r="L460">
        <f>[1]Listas!$B$6</f>
        <v>7.333333333333333</v>
      </c>
      <c r="M460"/>
      <c r="N460">
        <f>F453</f>
        <v>0.18</v>
      </c>
      <c r="O460"/>
      <c r="P460">
        <f t="shared" ref="P460" si="11">H460*J460*L460*N460</f>
        <v>5.2799999999999994</v>
      </c>
      <c r="Q460"/>
      <c r="R460">
        <f t="shared" ref="R460" si="12">P460/220</f>
        <v>2.3999999999999997E-2</v>
      </c>
      <c r="S460"/>
      <c r="T460" s="446">
        <f ca="1">MO!L107</f>
        <v>4276.41</v>
      </c>
      <c r="U460" s="446">
        <f t="shared" ref="U460" ca="1" si="13">R460*T460</f>
        <v>102.63383999999998</v>
      </c>
      <c r="V460"/>
      <c r="W460"/>
      <c r="X460"/>
      <c r="Y460"/>
      <c r="Z460"/>
      <c r="AA460"/>
      <c r="AB460"/>
      <c r="AC460"/>
      <c r="AD460"/>
      <c r="AE460"/>
    </row>
    <row r="461" spans="1:31" x14ac:dyDescent="0.25">
      <c r="A461"/>
      <c r="B461"/>
      <c r="C461"/>
      <c r="D461"/>
      <c r="E461"/>
      <c r="F461"/>
      <c r="G461"/>
      <c r="H461"/>
      <c r="I461"/>
      <c r="J461"/>
      <c r="K461"/>
      <c r="L461"/>
      <c r="M461"/>
      <c r="N461"/>
      <c r="O461"/>
      <c r="P461"/>
      <c r="Q461"/>
      <c r="R461"/>
      <c r="S461"/>
      <c r="T461" s="447" t="s">
        <v>329</v>
      </c>
      <c r="U461" s="448">
        <f ca="1">SUM(U459:U460)</f>
        <v>144.87467999999998</v>
      </c>
      <c r="V461"/>
      <c r="W461"/>
      <c r="X461"/>
      <c r="Y461"/>
      <c r="Z461"/>
      <c r="AA461"/>
      <c r="AB461"/>
      <c r="AC461"/>
      <c r="AD461"/>
      <c r="AE461"/>
    </row>
    <row r="462" spans="1:31" x14ac:dyDescent="0.25">
      <c r="A462" s="39" t="s">
        <v>339</v>
      </c>
      <c r="B462" t="s">
        <v>340</v>
      </c>
      <c r="C462"/>
      <c r="D462"/>
      <c r="E462"/>
      <c r="F462"/>
      <c r="G462"/>
      <c r="H462"/>
      <c r="I462"/>
      <c r="J462"/>
      <c r="K462"/>
      <c r="L462"/>
      <c r="M462"/>
      <c r="N462"/>
      <c r="O462"/>
      <c r="P462"/>
      <c r="Q462"/>
      <c r="R462"/>
      <c r="S462"/>
      <c r="T462"/>
      <c r="U462"/>
      <c r="V462"/>
      <c r="W462"/>
      <c r="X462"/>
      <c r="Y462"/>
      <c r="Z462"/>
      <c r="AA462"/>
      <c r="AB462"/>
      <c r="AC462"/>
      <c r="AD462"/>
      <c r="AE462"/>
    </row>
    <row r="463" spans="1:31" x14ac:dyDescent="0.25">
      <c r="A463"/>
      <c r="B463" s="39" t="s">
        <v>360</v>
      </c>
      <c r="C463" t="s">
        <v>15</v>
      </c>
      <c r="D463"/>
      <c r="E463"/>
      <c r="F463"/>
      <c r="G463" s="39" t="s">
        <v>31</v>
      </c>
      <c r="H463" s="39" t="s">
        <v>224</v>
      </c>
      <c r="I463" s="39" t="s">
        <v>361</v>
      </c>
      <c r="J463" s="39" t="s">
        <v>328</v>
      </c>
      <c r="K463" s="449" t="s">
        <v>362</v>
      </c>
      <c r="L463"/>
      <c r="M463"/>
      <c r="N463"/>
      <c r="O463"/>
      <c r="P463"/>
      <c r="Q463"/>
      <c r="R463"/>
      <c r="S463"/>
      <c r="T463"/>
      <c r="U463"/>
      <c r="V463"/>
      <c r="W463"/>
      <c r="X463"/>
      <c r="Y463"/>
      <c r="Z463"/>
      <c r="AA463"/>
      <c r="AB463"/>
      <c r="AC463"/>
      <c r="AD463"/>
      <c r="AE463"/>
    </row>
    <row r="464" spans="1:31" x14ac:dyDescent="0.25">
      <c r="A464"/>
      <c r="B464" s="39"/>
      <c r="C464"/>
      <c r="D464"/>
      <c r="E464"/>
      <c r="F464"/>
      <c r="G464" s="39" t="s">
        <v>363</v>
      </c>
      <c r="H464" s="39" t="s">
        <v>330</v>
      </c>
      <c r="I464" s="39" t="s">
        <v>364</v>
      </c>
      <c r="J464" s="39" t="s">
        <v>332</v>
      </c>
      <c r="K464" s="449" t="s">
        <v>365</v>
      </c>
      <c r="L464"/>
      <c r="M464"/>
      <c r="N464"/>
      <c r="O464"/>
      <c r="P464"/>
      <c r="Q464"/>
      <c r="R464"/>
      <c r="S464"/>
      <c r="T464"/>
      <c r="U464"/>
      <c r="V464"/>
      <c r="W464"/>
      <c r="X464"/>
      <c r="Y464"/>
      <c r="Z464"/>
      <c r="AA464"/>
      <c r="AB464"/>
      <c r="AC464"/>
      <c r="AD464"/>
      <c r="AE464"/>
    </row>
    <row r="465" spans="1:31" x14ac:dyDescent="0.25">
      <c r="A465"/>
      <c r="B465" s="39" t="s">
        <v>193</v>
      </c>
      <c r="C465" t="str">
        <f ca="1">IFERROR(VLOOKUP(B465,Veiculo_Equip_Matriz,2,0),"")</f>
        <v>Veículo leve picape 4 x 4 com capacidade de 1,10 t - 147 kW (sem motorista)</v>
      </c>
      <c r="D465"/>
      <c r="E465"/>
      <c r="F465"/>
      <c r="G465">
        <f>$C$453</f>
        <v>1</v>
      </c>
      <c r="H465">
        <f>F454</f>
        <v>0.21</v>
      </c>
      <c r="I465">
        <f>H465/30</f>
        <v>7.0000000000000001E-3</v>
      </c>
      <c r="J465" s="446">
        <f ca="1">IFERROR(VLOOKUP(B465,Veiculo_Equip_Matriz,10,0),"")</f>
        <v>7920.0560999999998</v>
      </c>
      <c r="K465" s="448">
        <f ca="1">G465*I465*J465</f>
        <v>55.440392699999997</v>
      </c>
      <c r="L465"/>
      <c r="M465"/>
      <c r="N465"/>
      <c r="O465"/>
      <c r="P465"/>
      <c r="Q465"/>
      <c r="R465"/>
      <c r="S465"/>
      <c r="T465"/>
      <c r="U465"/>
      <c r="V465"/>
      <c r="W465"/>
      <c r="X465"/>
      <c r="Y465"/>
      <c r="Z465"/>
      <c r="AA465"/>
      <c r="AB465"/>
      <c r="AC465"/>
      <c r="AD465"/>
      <c r="AE465"/>
    </row>
    <row r="466" spans="1:31" x14ac:dyDescent="0.25">
      <c r="A466"/>
      <c r="B466"/>
      <c r="C466"/>
      <c r="D466"/>
      <c r="E466"/>
      <c r="F466"/>
      <c r="G466"/>
      <c r="H466"/>
      <c r="I466"/>
      <c r="J466"/>
      <c r="K466"/>
      <c r="L466"/>
      <c r="M466"/>
      <c r="N466"/>
      <c r="O466"/>
      <c r="P466"/>
      <c r="Q466"/>
      <c r="R466"/>
      <c r="S466"/>
      <c r="T466"/>
      <c r="U466"/>
      <c r="V466"/>
      <c r="W466"/>
      <c r="X466"/>
      <c r="Y466"/>
      <c r="Z466"/>
      <c r="AA466"/>
      <c r="AB466"/>
      <c r="AC466"/>
      <c r="AD466"/>
      <c r="AE466"/>
    </row>
    <row r="467" spans="1:31" x14ac:dyDescent="0.25">
      <c r="A467" s="39" t="s">
        <v>348</v>
      </c>
      <c r="B467" t="s">
        <v>349</v>
      </c>
      <c r="C467"/>
      <c r="D467"/>
      <c r="E467"/>
      <c r="F467"/>
      <c r="G467"/>
      <c r="H467"/>
      <c r="I467"/>
      <c r="J467"/>
      <c r="K467"/>
      <c r="L467"/>
      <c r="M467"/>
      <c r="N467"/>
      <c r="O467"/>
      <c r="P467"/>
      <c r="Q467"/>
      <c r="R467"/>
      <c r="S467"/>
      <c r="T467"/>
      <c r="U467"/>
      <c r="V467"/>
      <c r="W467"/>
      <c r="X467"/>
      <c r="Y467"/>
      <c r="Z467"/>
      <c r="AA467"/>
      <c r="AB467"/>
      <c r="AC467"/>
      <c r="AD467"/>
      <c r="AE467"/>
    </row>
    <row r="468" spans="1:31" x14ac:dyDescent="0.25">
      <c r="A468" s="39" t="s">
        <v>451</v>
      </c>
      <c r="B468" t="s">
        <v>452</v>
      </c>
      <c r="C468"/>
      <c r="D468"/>
      <c r="E468"/>
      <c r="F468"/>
      <c r="G468"/>
      <c r="H468"/>
      <c r="I468"/>
      <c r="J468"/>
      <c r="K468"/>
      <c r="L468"/>
      <c r="M468"/>
      <c r="N468"/>
      <c r="O468"/>
      <c r="P468"/>
      <c r="Q468"/>
      <c r="R468"/>
      <c r="S468"/>
      <c r="T468"/>
      <c r="U468"/>
      <c r="V468"/>
      <c r="W468"/>
      <c r="X468"/>
      <c r="Y468"/>
      <c r="Z468"/>
      <c r="AA468"/>
      <c r="AB468"/>
      <c r="AC468"/>
      <c r="AD468"/>
      <c r="AE468"/>
    </row>
    <row r="469" spans="1:31" x14ac:dyDescent="0.25">
      <c r="A469" s="39"/>
      <c r="B469" t="s">
        <v>360</v>
      </c>
      <c r="C469" t="s">
        <v>15</v>
      </c>
      <c r="D469"/>
      <c r="E469"/>
      <c r="F469"/>
      <c r="G469" t="s">
        <v>321</v>
      </c>
      <c r="H469"/>
      <c r="I469" t="s">
        <v>453</v>
      </c>
      <c r="J469"/>
      <c r="K469" t="s">
        <v>454</v>
      </c>
      <c r="L469"/>
      <c r="M469"/>
      <c r="N469"/>
      <c r="O469"/>
      <c r="P469"/>
      <c r="Q469"/>
      <c r="R469"/>
      <c r="S469"/>
      <c r="T469"/>
      <c r="U469"/>
      <c r="V469"/>
      <c r="W469"/>
      <c r="X469"/>
      <c r="Y469"/>
      <c r="Z469"/>
      <c r="AA469"/>
      <c r="AB469"/>
      <c r="AC469"/>
      <c r="AD469"/>
      <c r="AE469"/>
    </row>
    <row r="470" spans="1:31" x14ac:dyDescent="0.25">
      <c r="A470" s="39"/>
      <c r="B470" s="43" t="str">
        <f>B459</f>
        <v>P8147</v>
      </c>
      <c r="C470" s="2" t="str">
        <f ca="1">IFERROR(VLOOKUP(B470,MO_Matriz,2,0),"")</f>
        <v>Técnico de obras</v>
      </c>
      <c r="D470"/>
      <c r="E470"/>
      <c r="F470"/>
      <c r="G470" s="39" t="str">
        <f ca="1">IFERROR(VLOOKUP(B470,MO_2,3,0),"")</f>
        <v/>
      </c>
      <c r="H470"/>
      <c r="I470" t="s">
        <v>1229</v>
      </c>
      <c r="J470"/>
      <c r="K470">
        <v>0</v>
      </c>
      <c r="L470"/>
      <c r="M470"/>
      <c r="N470"/>
      <c r="O470"/>
      <c r="P470"/>
      <c r="Q470"/>
      <c r="R470"/>
      <c r="S470"/>
      <c r="T470"/>
      <c r="U470"/>
      <c r="V470"/>
      <c r="W470"/>
      <c r="X470"/>
      <c r="Y470"/>
      <c r="Z470"/>
      <c r="AA470"/>
      <c r="AB470"/>
      <c r="AC470"/>
      <c r="AD470"/>
      <c r="AE470"/>
    </row>
    <row r="471" spans="1:31" x14ac:dyDescent="0.25">
      <c r="A471" s="39"/>
      <c r="B471" s="39" t="str">
        <f>B460</f>
        <v>P8025</v>
      </c>
      <c r="C471" s="2" t="str">
        <f ca="1">IFERROR(VLOOKUP(B471,MO_Matriz,2,0),"")</f>
        <v>Auxiliar</v>
      </c>
      <c r="D471"/>
      <c r="E471"/>
      <c r="F471"/>
      <c r="G471" s="39" t="str">
        <f ca="1">IFERROR(VLOOKUP(B471,MO_2,3,0),"")</f>
        <v/>
      </c>
      <c r="H471"/>
      <c r="I471" t="s">
        <v>1229</v>
      </c>
      <c r="J471"/>
      <c r="K471">
        <v>0</v>
      </c>
      <c r="L471"/>
      <c r="M471"/>
      <c r="N471"/>
      <c r="O471"/>
      <c r="P471"/>
      <c r="Q471"/>
      <c r="R471"/>
      <c r="S471"/>
      <c r="T471"/>
      <c r="U471"/>
      <c r="V471"/>
      <c r="W471"/>
      <c r="X471"/>
      <c r="Y471"/>
      <c r="Z471"/>
      <c r="AA471"/>
      <c r="AB471"/>
      <c r="AC471"/>
      <c r="AD471"/>
      <c r="AE471"/>
    </row>
    <row r="472" spans="1:31" x14ac:dyDescent="0.25">
      <c r="A472" s="39"/>
      <c r="B472" s="39" t="s">
        <v>259</v>
      </c>
      <c r="C472" t="s">
        <v>1230</v>
      </c>
      <c r="D472"/>
      <c r="E472"/>
      <c r="F472"/>
      <c r="G472" s="39" t="s">
        <v>61</v>
      </c>
      <c r="H472"/>
      <c r="I472" t="s">
        <v>1229</v>
      </c>
      <c r="J472"/>
      <c r="K472">
        <v>0</v>
      </c>
      <c r="L472"/>
      <c r="M472"/>
      <c r="N472"/>
      <c r="O472"/>
      <c r="P472"/>
      <c r="Q472"/>
      <c r="R472"/>
      <c r="S472"/>
      <c r="T472"/>
      <c r="U472"/>
      <c r="V472"/>
      <c r="W472"/>
      <c r="X472"/>
      <c r="Y472"/>
      <c r="Z472"/>
      <c r="AA472"/>
      <c r="AB472"/>
      <c r="AC472"/>
      <c r="AD472"/>
      <c r="AE472"/>
    </row>
    <row r="473" spans="1:31" x14ac:dyDescent="0.25">
      <c r="A473"/>
      <c r="B473"/>
      <c r="C473"/>
      <c r="D473"/>
      <c r="E473"/>
      <c r="F473"/>
      <c r="G473"/>
      <c r="H473"/>
      <c r="I473"/>
      <c r="J473" t="s">
        <v>329</v>
      </c>
      <c r="K473">
        <f>SUM(K470:K472)</f>
        <v>0</v>
      </c>
      <c r="L473"/>
      <c r="M473"/>
      <c r="N473"/>
      <c r="O473"/>
      <c r="P473"/>
      <c r="Q473"/>
      <c r="R473"/>
      <c r="S473"/>
      <c r="T473"/>
      <c r="U473"/>
      <c r="V473"/>
      <c r="W473"/>
      <c r="X473"/>
      <c r="Y473"/>
      <c r="Z473"/>
      <c r="AA473"/>
      <c r="AB473"/>
      <c r="AC473"/>
      <c r="AD473"/>
      <c r="AE473"/>
    </row>
    <row r="474" spans="1:31" x14ac:dyDescent="0.25">
      <c r="A474"/>
      <c r="B474"/>
      <c r="C474"/>
      <c r="D474"/>
      <c r="E474"/>
      <c r="F474"/>
      <c r="G474"/>
      <c r="H474"/>
      <c r="I474"/>
      <c r="J474"/>
      <c r="K474"/>
      <c r="L474"/>
      <c r="M474"/>
      <c r="N474"/>
      <c r="O474"/>
      <c r="P474"/>
      <c r="Q474"/>
      <c r="R474"/>
      <c r="S474"/>
      <c r="T474"/>
      <c r="U474"/>
      <c r="V474"/>
      <c r="W474"/>
      <c r="X474"/>
      <c r="Y474"/>
      <c r="Z474"/>
      <c r="AA474"/>
      <c r="AB474"/>
      <c r="AC474"/>
      <c r="AD474"/>
      <c r="AE474"/>
    </row>
    <row r="475" spans="1:31" x14ac:dyDescent="0.25">
      <c r="A475" s="39" t="s">
        <v>456</v>
      </c>
      <c r="B475" t="s">
        <v>457</v>
      </c>
      <c r="C475"/>
      <c r="D475"/>
      <c r="E475"/>
      <c r="F475"/>
      <c r="G475"/>
      <c r="H475"/>
      <c r="I475"/>
      <c r="J475"/>
      <c r="K475"/>
      <c r="L475"/>
      <c r="M475"/>
      <c r="N475"/>
      <c r="O475"/>
      <c r="P475"/>
      <c r="Q475"/>
      <c r="R475"/>
      <c r="S475"/>
      <c r="T475"/>
      <c r="U475"/>
      <c r="V475"/>
      <c r="W475"/>
      <c r="X475"/>
      <c r="Y475"/>
      <c r="Z475"/>
      <c r="AA475"/>
      <c r="AB475"/>
      <c r="AC475"/>
      <c r="AD475"/>
      <c r="AE475"/>
    </row>
    <row r="476" spans="1:31" x14ac:dyDescent="0.25">
      <c r="A476" s="39"/>
      <c r="B476" t="s">
        <v>458</v>
      </c>
      <c r="C476"/>
      <c r="D476"/>
      <c r="E476"/>
      <c r="F476"/>
      <c r="G476"/>
      <c r="H476"/>
      <c r="I476"/>
      <c r="J476"/>
      <c r="K476"/>
      <c r="L476"/>
      <c r="M476"/>
      <c r="N476"/>
      <c r="O476"/>
      <c r="P476"/>
      <c r="Q476"/>
      <c r="R476"/>
      <c r="S476"/>
      <c r="T476"/>
      <c r="U476"/>
      <c r="V476"/>
      <c r="W476"/>
      <c r="X476"/>
      <c r="Y476"/>
      <c r="Z476"/>
      <c r="AA476"/>
      <c r="AB476"/>
      <c r="AC476"/>
      <c r="AD476"/>
      <c r="AE476"/>
    </row>
    <row r="477" spans="1:31" x14ac:dyDescent="0.25">
      <c r="A477" s="39"/>
      <c r="B477"/>
      <c r="C477"/>
      <c r="D477"/>
      <c r="E477"/>
      <c r="F477"/>
      <c r="G477"/>
      <c r="H477"/>
      <c r="I477"/>
      <c r="J477"/>
      <c r="K477"/>
      <c r="L477"/>
      <c r="M477"/>
      <c r="N477"/>
      <c r="O477"/>
      <c r="P477"/>
      <c r="Q477"/>
      <c r="R477"/>
      <c r="S477"/>
      <c r="T477"/>
      <c r="U477"/>
      <c r="V477"/>
      <c r="W477"/>
      <c r="X477"/>
      <c r="Y477"/>
      <c r="Z477"/>
      <c r="AA477"/>
      <c r="AB477"/>
      <c r="AC477"/>
      <c r="AD477"/>
      <c r="AE477"/>
    </row>
    <row r="478" spans="1:31" x14ac:dyDescent="0.25">
      <c r="A478" s="39"/>
      <c r="B478" t="s">
        <v>360</v>
      </c>
      <c r="C478" t="s">
        <v>15</v>
      </c>
      <c r="D478"/>
      <c r="E478"/>
      <c r="F478"/>
      <c r="G478" t="s">
        <v>321</v>
      </c>
      <c r="H478"/>
      <c r="I478" t="s">
        <v>453</v>
      </c>
      <c r="J478"/>
      <c r="K478" t="s">
        <v>454</v>
      </c>
      <c r="L478"/>
      <c r="M478"/>
      <c r="N478"/>
      <c r="O478"/>
      <c r="P478"/>
      <c r="Q478"/>
      <c r="R478"/>
      <c r="S478"/>
      <c r="T478"/>
      <c r="U478"/>
      <c r="V478"/>
      <c r="W478"/>
      <c r="X478"/>
      <c r="Y478"/>
      <c r="Z478"/>
      <c r="AA478"/>
      <c r="AB478"/>
      <c r="AC478"/>
      <c r="AD478"/>
      <c r="AE478"/>
    </row>
    <row r="479" spans="1:31" x14ac:dyDescent="0.25">
      <c r="A479" s="39"/>
      <c r="B479" s="39" t="str">
        <f>B459</f>
        <v>P8147</v>
      </c>
      <c r="C479" s="2" t="str">
        <f ca="1">IFERROR(VLOOKUP(B479,MO_Matriz,2,0),"")</f>
        <v>Técnico de obras</v>
      </c>
      <c r="D479"/>
      <c r="E479"/>
      <c r="F479"/>
      <c r="G479" s="39" t="str">
        <f ca="1">IFERROR(VLOOKUP(B479,MO_2,3,0),"")</f>
        <v/>
      </c>
      <c r="H479"/>
      <c r="I479" t="s">
        <v>1229</v>
      </c>
      <c r="J479"/>
      <c r="K479">
        <f>K470</f>
        <v>0</v>
      </c>
      <c r="L479"/>
      <c r="M479"/>
      <c r="N479"/>
      <c r="O479"/>
      <c r="P479"/>
      <c r="Q479"/>
      <c r="R479"/>
      <c r="S479"/>
      <c r="T479"/>
      <c r="U479"/>
      <c r="V479"/>
      <c r="W479"/>
      <c r="X479"/>
      <c r="Y479"/>
      <c r="Z479"/>
      <c r="AA479"/>
      <c r="AB479"/>
      <c r="AC479"/>
      <c r="AD479"/>
      <c r="AE479"/>
    </row>
    <row r="480" spans="1:31" x14ac:dyDescent="0.25">
      <c r="A480" s="39"/>
      <c r="B480" s="39" t="str">
        <f>B460</f>
        <v>P8025</v>
      </c>
      <c r="C480" s="2" t="str">
        <f ca="1">IFERROR(VLOOKUP(B480,MO_Matriz,2,0),"")</f>
        <v>Auxiliar</v>
      </c>
      <c r="D480"/>
      <c r="E480"/>
      <c r="F480"/>
      <c r="G480" s="39" t="str">
        <f ca="1">IFERROR(VLOOKUP(B480,MO_2,3,0),"")</f>
        <v/>
      </c>
      <c r="H480"/>
      <c r="I480" t="s">
        <v>1229</v>
      </c>
      <c r="J480"/>
      <c r="K480">
        <v>0</v>
      </c>
      <c r="L480"/>
      <c r="M480"/>
      <c r="N480"/>
      <c r="O480"/>
      <c r="P480"/>
      <c r="Q480"/>
      <c r="R480"/>
      <c r="S480"/>
      <c r="T480"/>
      <c r="U480"/>
      <c r="V480"/>
      <c r="W480"/>
      <c r="X480"/>
      <c r="Y480"/>
      <c r="Z480"/>
      <c r="AA480"/>
      <c r="AB480"/>
      <c r="AC480"/>
      <c r="AD480"/>
      <c r="AE480"/>
    </row>
    <row r="481" spans="1:31" x14ac:dyDescent="0.25">
      <c r="A481" s="39"/>
      <c r="B481" s="39" t="s">
        <v>259</v>
      </c>
      <c r="C481" t="s">
        <v>1230</v>
      </c>
      <c r="D481"/>
      <c r="E481"/>
      <c r="F481"/>
      <c r="G481" s="39" t="s">
        <v>61</v>
      </c>
      <c r="H481"/>
      <c r="I481" t="s">
        <v>455</v>
      </c>
      <c r="J481"/>
      <c r="K481">
        <v>1</v>
      </c>
      <c r="L481"/>
      <c r="M481"/>
      <c r="N481"/>
      <c r="O481"/>
      <c r="P481"/>
      <c r="Q481"/>
      <c r="R481"/>
      <c r="S481"/>
      <c r="T481"/>
      <c r="U481"/>
      <c r="V481"/>
      <c r="W481"/>
      <c r="X481"/>
      <c r="Y481"/>
      <c r="Z481"/>
      <c r="AA481"/>
      <c r="AB481"/>
      <c r="AC481"/>
      <c r="AD481"/>
      <c r="AE481"/>
    </row>
    <row r="482" spans="1:31" x14ac:dyDescent="0.25">
      <c r="A482"/>
      <c r="B482"/>
      <c r="C482"/>
      <c r="D482"/>
      <c r="E482"/>
      <c r="F482"/>
      <c r="G482"/>
      <c r="H482"/>
      <c r="I482"/>
      <c r="J482" t="s">
        <v>329</v>
      </c>
      <c r="K482">
        <f>SUM(K479:K481)</f>
        <v>1</v>
      </c>
      <c r="L482"/>
      <c r="M482"/>
      <c r="N482"/>
      <c r="O482"/>
      <c r="P482"/>
      <c r="Q482"/>
      <c r="R482"/>
      <c r="S482"/>
      <c r="T482"/>
      <c r="U482"/>
      <c r="V482"/>
      <c r="W482"/>
      <c r="X482"/>
      <c r="Y482"/>
      <c r="Z482"/>
      <c r="AA482"/>
      <c r="AB482"/>
      <c r="AC482"/>
      <c r="AD482"/>
      <c r="AE482"/>
    </row>
    <row r="483" spans="1:31" x14ac:dyDescent="0.25">
      <c r="A483"/>
      <c r="B483"/>
      <c r="C483"/>
      <c r="D483"/>
      <c r="E483"/>
      <c r="F483"/>
      <c r="G483"/>
      <c r="H483"/>
      <c r="I483"/>
      <c r="J483"/>
      <c r="K483"/>
      <c r="L483"/>
      <c r="M483"/>
      <c r="N483"/>
      <c r="O483"/>
      <c r="P483"/>
      <c r="Q483"/>
      <c r="R483"/>
      <c r="S483"/>
      <c r="T483"/>
      <c r="U483"/>
      <c r="V483"/>
      <c r="W483"/>
      <c r="X483"/>
      <c r="Y483"/>
      <c r="Z483"/>
      <c r="AA483"/>
      <c r="AB483"/>
      <c r="AC483"/>
      <c r="AD483"/>
      <c r="AE483"/>
    </row>
    <row r="484" spans="1:31" x14ac:dyDescent="0.25">
      <c r="A484" s="39" t="s">
        <v>350</v>
      </c>
      <c r="B484" s="450" t="s">
        <v>351</v>
      </c>
      <c r="C484"/>
      <c r="D484"/>
      <c r="E484"/>
      <c r="F484"/>
      <c r="G484"/>
      <c r="H484"/>
      <c r="I484"/>
      <c r="J484"/>
      <c r="K484"/>
      <c r="L484"/>
      <c r="M484"/>
      <c r="N484"/>
      <c r="O484"/>
      <c r="P484"/>
      <c r="Q484"/>
      <c r="R484"/>
      <c r="S484"/>
      <c r="T484"/>
      <c r="U484"/>
      <c r="V484"/>
      <c r="W484"/>
      <c r="X484"/>
      <c r="Y484"/>
      <c r="Z484"/>
      <c r="AA484"/>
      <c r="AB484"/>
      <c r="AC484"/>
      <c r="AD484"/>
      <c r="AE484"/>
    </row>
    <row r="485" spans="1:31" x14ac:dyDescent="0.25">
      <c r="A485"/>
      <c r="B485" s="39" t="s">
        <v>320</v>
      </c>
      <c r="C485" t="s">
        <v>15</v>
      </c>
      <c r="D485"/>
      <c r="E485"/>
      <c r="F485"/>
      <c r="G485"/>
      <c r="H485"/>
      <c r="I485"/>
      <c r="J485"/>
      <c r="K485" s="39" t="s">
        <v>31</v>
      </c>
      <c r="L485"/>
      <c r="M485" s="39" t="s">
        <v>478</v>
      </c>
      <c r="N485"/>
      <c r="O485" s="39" t="s">
        <v>202</v>
      </c>
      <c r="P485" s="39" t="s">
        <v>224</v>
      </c>
      <c r="Q485" s="39" t="s">
        <v>361</v>
      </c>
      <c r="R485" s="449" t="s">
        <v>396</v>
      </c>
      <c r="S485"/>
      <c r="T485"/>
      <c r="U485" s="39"/>
      <c r="V485"/>
      <c r="W485"/>
      <c r="X485"/>
      <c r="Y485"/>
      <c r="Z485"/>
      <c r="AA485"/>
      <c r="AB485"/>
      <c r="AC485"/>
      <c r="AD485"/>
      <c r="AE485"/>
    </row>
    <row r="486" spans="1:31" x14ac:dyDescent="0.25">
      <c r="A486"/>
      <c r="B486" s="39"/>
      <c r="C486"/>
      <c r="D486"/>
      <c r="E486"/>
      <c r="F486"/>
      <c r="G486"/>
      <c r="H486"/>
      <c r="I486"/>
      <c r="J486"/>
      <c r="K486"/>
      <c r="L486"/>
      <c r="M486" s="39" t="s">
        <v>363</v>
      </c>
      <c r="N486"/>
      <c r="O486" s="39" t="s">
        <v>330</v>
      </c>
      <c r="P486" s="39" t="s">
        <v>331</v>
      </c>
      <c r="Q486" s="39" t="s">
        <v>682</v>
      </c>
      <c r="R486" s="449" t="s">
        <v>1231</v>
      </c>
      <c r="S486"/>
      <c r="T486"/>
      <c r="U486" s="39"/>
      <c r="V486"/>
      <c r="W486"/>
      <c r="X486"/>
      <c r="Y486"/>
      <c r="Z486"/>
      <c r="AA486"/>
      <c r="AB486"/>
      <c r="AC486"/>
      <c r="AD486"/>
      <c r="AE486"/>
    </row>
    <row r="487" spans="1:31" x14ac:dyDescent="0.25">
      <c r="A487"/>
      <c r="B487" s="39" t="s">
        <v>871</v>
      </c>
      <c r="C487" t="str">
        <f ca="1">IFERROR(VLOOKUP(B487,Veiculo_Equip_Matriz,2,0),"")</f>
        <v>Deflectômetro de impacto (FWD) instalado em picape com reboque e faixa de carga de 7 a 120 kN - 147 kW</v>
      </c>
      <c r="D487"/>
      <c r="E487"/>
      <c r="F487"/>
      <c r="G487"/>
      <c r="H487"/>
      <c r="I487"/>
      <c r="J487"/>
      <c r="K487" s="39" t="s">
        <v>36</v>
      </c>
      <c r="L487"/>
      <c r="M487" s="446">
        <f ca="1">IFERROR(VLOOKUP(B487,Veiculo_Equip_Matriz,10,0),"")</f>
        <v>54773.408299999996</v>
      </c>
      <c r="N487"/>
      <c r="O487">
        <f>C453</f>
        <v>1</v>
      </c>
      <c r="P487">
        <f>F454</f>
        <v>0.21</v>
      </c>
      <c r="Q487">
        <f>P487/30</f>
        <v>7.0000000000000001E-3</v>
      </c>
      <c r="R487" s="448">
        <f ca="1">M487*O487*Q487</f>
        <v>383.41385809999997</v>
      </c>
      <c r="S487"/>
      <c r="T487"/>
      <c r="U487"/>
      <c r="V487"/>
      <c r="W487"/>
      <c r="X487"/>
      <c r="Y487"/>
      <c r="Z487"/>
      <c r="AA487"/>
      <c r="AB487"/>
      <c r="AC487"/>
      <c r="AD487"/>
      <c r="AE487"/>
    </row>
    <row r="488" spans="1:31" x14ac:dyDescent="0.25">
      <c r="A488"/>
      <c r="B488"/>
      <c r="C488"/>
      <c r="D488"/>
      <c r="E488"/>
      <c r="F488"/>
      <c r="G488"/>
      <c r="H488"/>
      <c r="I488"/>
      <c r="J488"/>
      <c r="K488"/>
      <c r="L488"/>
      <c r="M488"/>
      <c r="N488"/>
      <c r="O488"/>
      <c r="P488"/>
      <c r="Q488"/>
      <c r="R488"/>
      <c r="S488"/>
      <c r="T488"/>
      <c r="U488"/>
      <c r="V488"/>
      <c r="W488"/>
      <c r="X488"/>
      <c r="Y488"/>
      <c r="Z488"/>
      <c r="AA488"/>
      <c r="AB488"/>
      <c r="AC488"/>
      <c r="AD488"/>
      <c r="AE488"/>
    </row>
    <row r="489" spans="1:31" x14ac:dyDescent="0.25">
      <c r="A489" s="39" t="s">
        <v>197</v>
      </c>
      <c r="B489" t="s">
        <v>352</v>
      </c>
      <c r="C489"/>
      <c r="D489"/>
      <c r="E489"/>
      <c r="F489"/>
      <c r="G489"/>
      <c r="H489"/>
      <c r="I489"/>
      <c r="J489"/>
      <c r="K489"/>
      <c r="L489"/>
      <c r="M489"/>
      <c r="N489"/>
      <c r="O489"/>
      <c r="P489"/>
      <c r="Q489"/>
      <c r="R489"/>
      <c r="S489"/>
      <c r="T489"/>
      <c r="U489"/>
      <c r="V489"/>
      <c r="W489"/>
      <c r="X489"/>
      <c r="Y489"/>
      <c r="Z489"/>
      <c r="AA489"/>
      <c r="AB489"/>
      <c r="AC489"/>
      <c r="AD489"/>
      <c r="AE489"/>
    </row>
    <row r="490" spans="1:31" x14ac:dyDescent="0.25">
      <c r="A490" s="39" t="s">
        <v>450</v>
      </c>
      <c r="B490" t="s">
        <v>433</v>
      </c>
      <c r="C490"/>
      <c r="D490"/>
      <c r="E490"/>
      <c r="F490"/>
      <c r="G490"/>
      <c r="H490"/>
      <c r="I490"/>
      <c r="J490"/>
      <c r="K490"/>
      <c r="L490"/>
      <c r="M490"/>
      <c r="N490"/>
      <c r="O490"/>
      <c r="P490"/>
      <c r="Q490"/>
      <c r="R490"/>
      <c r="S490"/>
      <c r="T490"/>
      <c r="U490"/>
      <c r="V490"/>
      <c r="W490"/>
      <c r="X490"/>
      <c r="Y490"/>
      <c r="Z490"/>
      <c r="AA490"/>
      <c r="AB490"/>
      <c r="AC490"/>
      <c r="AD490"/>
      <c r="AE490"/>
    </row>
    <row r="491" spans="1:31" x14ac:dyDescent="0.25">
      <c r="A491"/>
      <c r="B491" t="str">
        <f>Listas!$N$1</f>
        <v>Decreto Estadual 16.536/2024</v>
      </c>
      <c r="C491"/>
      <c r="D491"/>
      <c r="E491"/>
      <c r="F491"/>
      <c r="G491"/>
      <c r="H491"/>
      <c r="I491"/>
      <c r="J491"/>
      <c r="K491"/>
      <c r="L491"/>
      <c r="M491"/>
      <c r="N491"/>
      <c r="O491"/>
      <c r="P491"/>
      <c r="Q491"/>
      <c r="R491"/>
      <c r="S491"/>
      <c r="T491"/>
      <c r="U491"/>
      <c r="V491"/>
      <c r="W491"/>
      <c r="X491"/>
      <c r="Y491"/>
      <c r="Z491"/>
      <c r="AA491"/>
      <c r="AB491"/>
      <c r="AC491"/>
      <c r="AD491"/>
      <c r="AE491"/>
    </row>
    <row r="492" spans="1:31" x14ac:dyDescent="0.25">
      <c r="A492"/>
      <c r="B492" t="s">
        <v>15</v>
      </c>
      <c r="C492"/>
      <c r="D492"/>
      <c r="E492" t="s">
        <v>357</v>
      </c>
      <c r="F492" t="s">
        <v>202</v>
      </c>
      <c r="G492"/>
      <c r="H492"/>
      <c r="I492"/>
      <c r="J492"/>
      <c r="K492"/>
      <c r="L492"/>
      <c r="M492"/>
      <c r="N492"/>
      <c r="O492"/>
      <c r="P492"/>
      <c r="Q492"/>
      <c r="R492"/>
      <c r="S492"/>
      <c r="T492"/>
      <c r="U492"/>
      <c r="V492"/>
      <c r="W492"/>
      <c r="X492"/>
      <c r="Y492"/>
      <c r="Z492"/>
      <c r="AA492"/>
      <c r="AB492"/>
      <c r="AC492"/>
      <c r="AD492"/>
      <c r="AE492"/>
    </row>
    <row r="493" spans="1:31" x14ac:dyDescent="0.25">
      <c r="A493"/>
      <c r="B493" t="s">
        <v>248</v>
      </c>
      <c r="C493"/>
      <c r="D493"/>
      <c r="E493" s="444">
        <f>Listas!$P$3</f>
        <v>250</v>
      </c>
      <c r="F493"/>
      <c r="G493"/>
      <c r="H493"/>
      <c r="I493"/>
      <c r="J493"/>
      <c r="K493"/>
      <c r="L493"/>
      <c r="M493"/>
      <c r="N493"/>
      <c r="O493"/>
      <c r="P493"/>
      <c r="Q493"/>
      <c r="R493"/>
      <c r="S493"/>
      <c r="T493"/>
      <c r="U493"/>
      <c r="V493"/>
      <c r="W493"/>
      <c r="X493"/>
      <c r="Y493"/>
      <c r="Z493"/>
      <c r="AA493"/>
      <c r="AB493"/>
      <c r="AC493"/>
      <c r="AD493"/>
      <c r="AE493"/>
    </row>
    <row r="494" spans="1:31" x14ac:dyDescent="0.25">
      <c r="A494"/>
      <c r="B494" t="s">
        <v>252</v>
      </c>
      <c r="C494"/>
      <c r="D494"/>
      <c r="E494" s="444">
        <f>E493/2</f>
        <v>125</v>
      </c>
      <c r="F494">
        <f>ROUNDUP(H459*J459*N459, 0)</f>
        <v>1</v>
      </c>
      <c r="G494"/>
      <c r="H494"/>
      <c r="I494"/>
      <c r="J494"/>
      <c r="K494"/>
      <c r="L494"/>
      <c r="M494"/>
      <c r="N494"/>
      <c r="O494"/>
      <c r="P494"/>
      <c r="Q494"/>
      <c r="R494"/>
      <c r="S494"/>
      <c r="T494"/>
      <c r="U494"/>
      <c r="V494"/>
      <c r="W494"/>
      <c r="X494"/>
      <c r="Y494"/>
      <c r="Z494"/>
      <c r="AA494"/>
      <c r="AB494"/>
      <c r="AC494"/>
      <c r="AD494"/>
      <c r="AE494"/>
    </row>
    <row r="495" spans="1:31" x14ac:dyDescent="0.25">
      <c r="A495"/>
      <c r="B495" t="s">
        <v>255</v>
      </c>
      <c r="C495"/>
      <c r="D495"/>
      <c r="E495" s="444">
        <f>E494</f>
        <v>125</v>
      </c>
      <c r="F495">
        <v>0</v>
      </c>
      <c r="G495"/>
      <c r="H495"/>
      <c r="I495"/>
      <c r="J495"/>
      <c r="K495"/>
      <c r="L495"/>
      <c r="M495"/>
      <c r="N495"/>
      <c r="O495"/>
      <c r="P495"/>
      <c r="Q495"/>
      <c r="R495"/>
      <c r="S495"/>
      <c r="T495"/>
      <c r="U495"/>
      <c r="V495"/>
      <c r="W495"/>
      <c r="X495"/>
      <c r="Y495"/>
      <c r="Z495"/>
      <c r="AA495"/>
      <c r="AB495"/>
      <c r="AC495"/>
      <c r="AD495"/>
      <c r="AE495"/>
    </row>
    <row r="496" spans="1:31" x14ac:dyDescent="0.25">
      <c r="A496"/>
      <c r="B496"/>
      <c r="C496"/>
      <c r="D496"/>
      <c r="E496"/>
      <c r="F496"/>
      <c r="G496"/>
      <c r="H496"/>
      <c r="I496"/>
      <c r="J496"/>
      <c r="K496"/>
      <c r="L496"/>
      <c r="M496"/>
      <c r="N496"/>
      <c r="O496"/>
      <c r="P496"/>
      <c r="Q496"/>
      <c r="R496"/>
      <c r="S496"/>
      <c r="T496"/>
      <c r="U496"/>
      <c r="V496"/>
      <c r="W496"/>
      <c r="X496"/>
      <c r="Y496"/>
      <c r="Z496"/>
      <c r="AA496"/>
      <c r="AB496"/>
      <c r="AC496"/>
      <c r="AD496"/>
      <c r="AE496"/>
    </row>
    <row r="497" spans="1:31" x14ac:dyDescent="0.25">
      <c r="A497"/>
      <c r="B497" s="39" t="s">
        <v>360</v>
      </c>
      <c r="C497" s="450" t="s">
        <v>15</v>
      </c>
      <c r="D497" s="39"/>
      <c r="E497" s="39"/>
      <c r="F497"/>
      <c r="G497" s="39" t="s">
        <v>321</v>
      </c>
      <c r="H497" s="39"/>
      <c r="I497" s="39" t="s">
        <v>434</v>
      </c>
      <c r="J497" s="39" t="s">
        <v>435</v>
      </c>
      <c r="K497" s="449" t="s">
        <v>329</v>
      </c>
      <c r="L497"/>
      <c r="M497"/>
      <c r="N497"/>
      <c r="O497"/>
      <c r="P497"/>
      <c r="Q497"/>
      <c r="R497"/>
      <c r="S497"/>
      <c r="T497"/>
      <c r="U497"/>
      <c r="V497"/>
      <c r="W497"/>
      <c r="X497"/>
      <c r="Y497"/>
      <c r="Z497"/>
      <c r="AA497"/>
      <c r="AB497"/>
      <c r="AC497"/>
      <c r="AD497"/>
      <c r="AE497"/>
    </row>
    <row r="498" spans="1:31" x14ac:dyDescent="0.25">
      <c r="A498"/>
      <c r="B498" s="39"/>
      <c r="C498" s="39"/>
      <c r="D498" s="39"/>
      <c r="E498" s="39"/>
      <c r="F498"/>
      <c r="G498" s="39"/>
      <c r="H498" s="39"/>
      <c r="I498" s="39" t="s">
        <v>363</v>
      </c>
      <c r="J498" s="39" t="s">
        <v>330</v>
      </c>
      <c r="K498" s="449" t="s">
        <v>436</v>
      </c>
      <c r="L498"/>
      <c r="M498"/>
      <c r="N498"/>
      <c r="O498"/>
      <c r="P498"/>
      <c r="Q498"/>
      <c r="R498"/>
      <c r="S498"/>
      <c r="T498"/>
      <c r="U498"/>
      <c r="V498"/>
      <c r="W498"/>
      <c r="X498"/>
      <c r="Y498"/>
      <c r="Z498"/>
      <c r="AA498"/>
      <c r="AB498"/>
      <c r="AC498"/>
      <c r="AD498"/>
      <c r="AE498"/>
    </row>
    <row r="499" spans="1:31" x14ac:dyDescent="0.25">
      <c r="A499"/>
      <c r="B499" s="39" t="s">
        <v>259</v>
      </c>
      <c r="C499" t="s">
        <v>1230</v>
      </c>
      <c r="D499"/>
      <c r="E499"/>
      <c r="F499"/>
      <c r="G499" s="39" t="s">
        <v>61</v>
      </c>
      <c r="H499"/>
      <c r="I499" s="446">
        <f>E494*F494</f>
        <v>125</v>
      </c>
      <c r="J499" s="446">
        <f>E495*F495</f>
        <v>0</v>
      </c>
      <c r="K499" s="448">
        <f>I499+J499</f>
        <v>125</v>
      </c>
      <c r="L499"/>
      <c r="M499"/>
      <c r="N499"/>
      <c r="O499"/>
      <c r="P499"/>
      <c r="Q499"/>
      <c r="R499"/>
      <c r="S499"/>
      <c r="T499"/>
      <c r="U499"/>
      <c r="V499"/>
      <c r="W499"/>
      <c r="X499"/>
      <c r="Y499"/>
      <c r="Z499"/>
      <c r="AA499"/>
      <c r="AB499"/>
      <c r="AC499"/>
      <c r="AD499"/>
      <c r="AE499"/>
    </row>
    <row r="500" spans="1:31" x14ac:dyDescent="0.25">
      <c r="A500" s="39"/>
      <c r="B500"/>
      <c r="C500"/>
      <c r="D500"/>
      <c r="E500"/>
      <c r="F500"/>
      <c r="G500"/>
      <c r="H500"/>
      <c r="I500"/>
      <c r="J500"/>
      <c r="K500"/>
      <c r="L500"/>
      <c r="M500"/>
      <c r="N500"/>
      <c r="O500"/>
      <c r="P500"/>
      <c r="Q500"/>
      <c r="R500"/>
      <c r="S500"/>
      <c r="T500"/>
      <c r="U500"/>
      <c r="V500"/>
      <c r="W500"/>
      <c r="X500"/>
      <c r="Y500"/>
      <c r="Z500"/>
      <c r="AA500"/>
      <c r="AB500"/>
      <c r="AC500"/>
      <c r="AD500"/>
      <c r="AE500"/>
    </row>
    <row r="501" spans="1:31" x14ac:dyDescent="0.25">
      <c r="A501" s="39" t="s">
        <v>459</v>
      </c>
      <c r="B501" t="s">
        <v>437</v>
      </c>
      <c r="C501"/>
      <c r="D501"/>
      <c r="E501"/>
      <c r="F501"/>
      <c r="G501"/>
      <c r="H501"/>
      <c r="I501"/>
      <c r="J501"/>
      <c r="K501"/>
      <c r="L501"/>
      <c r="M501"/>
      <c r="N501"/>
      <c r="O501"/>
      <c r="P501"/>
      <c r="Q501"/>
      <c r="R501"/>
      <c r="S501"/>
      <c r="T501"/>
      <c r="U501"/>
      <c r="V501"/>
      <c r="W501"/>
      <c r="X501"/>
      <c r="Y501"/>
      <c r="Z501"/>
      <c r="AA501"/>
      <c r="AB501"/>
      <c r="AC501"/>
      <c r="AD501"/>
      <c r="AE501"/>
    </row>
    <row r="502" spans="1:31" x14ac:dyDescent="0.25">
      <c r="A502"/>
      <c r="B502" t="s">
        <v>438</v>
      </c>
      <c r="C502"/>
      <c r="D502"/>
      <c r="E502"/>
      <c r="F502"/>
      <c r="G502"/>
      <c r="H502"/>
      <c r="I502"/>
      <c r="J502"/>
      <c r="K502"/>
      <c r="L502"/>
      <c r="M502"/>
      <c r="N502"/>
      <c r="O502"/>
      <c r="P502"/>
      <c r="Q502"/>
      <c r="R502"/>
      <c r="S502"/>
      <c r="T502"/>
      <c r="U502"/>
      <c r="V502"/>
      <c r="W502"/>
      <c r="X502"/>
      <c r="Y502"/>
      <c r="Z502"/>
      <c r="AA502"/>
      <c r="AB502"/>
      <c r="AC502"/>
      <c r="AD502"/>
      <c r="AE502"/>
    </row>
    <row r="503" spans="1:31" x14ac:dyDescent="0.25">
      <c r="A503" s="39"/>
      <c r="B503"/>
      <c r="C503"/>
      <c r="D503"/>
      <c r="E503"/>
      <c r="F503"/>
      <c r="G503"/>
      <c r="H503"/>
      <c r="I503"/>
      <c r="J503"/>
      <c r="K503"/>
      <c r="L503"/>
      <c r="M503"/>
      <c r="N503"/>
      <c r="O503"/>
      <c r="P503"/>
      <c r="Q503"/>
      <c r="R503"/>
      <c r="S503"/>
      <c r="T503"/>
      <c r="U503"/>
      <c r="V503"/>
      <c r="W503"/>
      <c r="X503"/>
      <c r="Y503"/>
      <c r="Z503"/>
      <c r="AA503"/>
      <c r="AB503"/>
      <c r="AC503"/>
      <c r="AD503"/>
      <c r="AE503"/>
    </row>
    <row r="504" spans="1:31" x14ac:dyDescent="0.25">
      <c r="A504" s="39" t="s">
        <v>353</v>
      </c>
      <c r="B504" t="s">
        <v>354</v>
      </c>
      <c r="C504"/>
      <c r="D504"/>
      <c r="E504"/>
      <c r="F504"/>
      <c r="G504"/>
      <c r="H504"/>
      <c r="I504"/>
      <c r="J504"/>
      <c r="K504"/>
      <c r="L504"/>
      <c r="M504"/>
      <c r="N504"/>
      <c r="O504"/>
      <c r="P504"/>
      <c r="Q504"/>
      <c r="R504"/>
      <c r="S504"/>
      <c r="T504"/>
      <c r="U504"/>
      <c r="V504"/>
      <c r="W504"/>
      <c r="X504"/>
      <c r="Y504"/>
      <c r="Z504"/>
      <c r="AA504"/>
      <c r="AB504"/>
      <c r="AC504"/>
      <c r="AD504"/>
      <c r="AE504"/>
    </row>
    <row r="505" spans="1:31" x14ac:dyDescent="0.25">
      <c r="A505" s="39" t="s">
        <v>385</v>
      </c>
      <c r="B505" t="s">
        <v>317</v>
      </c>
      <c r="C505"/>
      <c r="D505"/>
      <c r="E505"/>
      <c r="F505"/>
      <c r="G505"/>
      <c r="H505"/>
      <c r="I505"/>
      <c r="J505"/>
      <c r="K505"/>
      <c r="L505"/>
      <c r="M505"/>
      <c r="N505"/>
      <c r="O505"/>
      <c r="P505"/>
      <c r="Q505"/>
      <c r="R505"/>
      <c r="S505"/>
      <c r="T505"/>
      <c r="U505"/>
      <c r="V505"/>
      <c r="W505"/>
      <c r="X505"/>
      <c r="Y505"/>
      <c r="Z505"/>
      <c r="AA505"/>
      <c r="AB505"/>
      <c r="AC505"/>
      <c r="AD505"/>
      <c r="AE505"/>
    </row>
    <row r="506" spans="1:31" x14ac:dyDescent="0.25">
      <c r="A506"/>
      <c r="B506" t="s">
        <v>1232</v>
      </c>
      <c r="C506"/>
      <c r="D506"/>
      <c r="E506"/>
      <c r="F506"/>
      <c r="G506"/>
      <c r="H506"/>
      <c r="I506"/>
      <c r="J506"/>
      <c r="K506"/>
      <c r="L506"/>
      <c r="M506"/>
      <c r="N506"/>
      <c r="O506"/>
      <c r="P506"/>
      <c r="Q506"/>
      <c r="R506"/>
      <c r="S506"/>
      <c r="T506"/>
      <c r="U506"/>
      <c r="V506"/>
      <c r="W506"/>
      <c r="X506"/>
      <c r="Y506"/>
      <c r="Z506"/>
      <c r="AA506"/>
      <c r="AB506"/>
      <c r="AC506"/>
      <c r="AD506"/>
      <c r="AE506"/>
    </row>
    <row r="507" spans="1:31" x14ac:dyDescent="0.25">
      <c r="A507"/>
      <c r="B507"/>
      <c r="C507"/>
      <c r="D507"/>
      <c r="E507"/>
      <c r="F507"/>
      <c r="G507"/>
      <c r="H507"/>
      <c r="I507"/>
      <c r="J507"/>
      <c r="K507"/>
      <c r="L507"/>
      <c r="M507"/>
      <c r="N507"/>
      <c r="O507"/>
      <c r="P507"/>
      <c r="Q507"/>
      <c r="R507"/>
      <c r="S507"/>
      <c r="T507"/>
      <c r="U507"/>
      <c r="V507"/>
      <c r="W507"/>
      <c r="X507"/>
      <c r="Y507"/>
      <c r="Z507"/>
      <c r="AA507"/>
      <c r="AB507"/>
      <c r="AC507"/>
      <c r="AD507"/>
      <c r="AE507"/>
    </row>
    <row r="508" spans="1:31" x14ac:dyDescent="0.25">
      <c r="A508" s="39" t="s">
        <v>386</v>
      </c>
      <c r="B508" t="s">
        <v>366</v>
      </c>
      <c r="C508"/>
      <c r="D508"/>
      <c r="E508"/>
      <c r="F508"/>
      <c r="G508"/>
      <c r="H508"/>
      <c r="I508"/>
      <c r="J508"/>
      <c r="K508"/>
      <c r="L508"/>
      <c r="M508"/>
      <c r="N508"/>
      <c r="O508"/>
      <c r="P508"/>
      <c r="Q508"/>
      <c r="R508"/>
      <c r="S508"/>
      <c r="T508"/>
      <c r="U508"/>
      <c r="V508"/>
      <c r="W508"/>
      <c r="X508"/>
      <c r="Y508"/>
      <c r="Z508"/>
      <c r="AA508"/>
      <c r="AB508"/>
      <c r="AC508"/>
      <c r="AD508"/>
      <c r="AE508"/>
    </row>
    <row r="509" spans="1:31" x14ac:dyDescent="0.25">
      <c r="A509" s="39"/>
      <c r="B509" t="s">
        <v>1233</v>
      </c>
      <c r="C509"/>
      <c r="D509"/>
      <c r="E509"/>
      <c r="F509"/>
      <c r="G509"/>
      <c r="H509"/>
      <c r="I509"/>
      <c r="J509"/>
      <c r="K509"/>
      <c r="L509"/>
      <c r="M509"/>
      <c r="N509"/>
      <c r="O509"/>
      <c r="P509"/>
      <c r="Q509"/>
      <c r="R509"/>
      <c r="S509"/>
      <c r="T509"/>
      <c r="U509"/>
      <c r="V509"/>
      <c r="W509"/>
      <c r="X509"/>
      <c r="Y509"/>
      <c r="Z509"/>
      <c r="AA509"/>
      <c r="AB509"/>
      <c r="AC509"/>
      <c r="AD509"/>
      <c r="AE509"/>
    </row>
    <row r="510" spans="1:31" x14ac:dyDescent="0.25">
      <c r="A510" s="39"/>
      <c r="B510"/>
      <c r="C510"/>
      <c r="D510"/>
      <c r="E510"/>
      <c r="F510"/>
      <c r="G510"/>
      <c r="H510"/>
      <c r="I510"/>
      <c r="J510"/>
      <c r="K510"/>
      <c r="L510"/>
      <c r="M510"/>
      <c r="N510"/>
      <c r="O510"/>
      <c r="P510"/>
      <c r="Q510"/>
      <c r="R510"/>
      <c r="S510"/>
      <c r="T510"/>
      <c r="U510"/>
      <c r="V510"/>
      <c r="W510"/>
      <c r="X510"/>
      <c r="Y510"/>
      <c r="Z510"/>
      <c r="AA510"/>
      <c r="AB510"/>
      <c r="AC510"/>
      <c r="AD510"/>
      <c r="AE510"/>
    </row>
    <row r="511" spans="1:31" x14ac:dyDescent="0.25">
      <c r="A511"/>
      <c r="B511" t="s">
        <v>367</v>
      </c>
      <c r="C511"/>
      <c r="D511" t="s">
        <v>237</v>
      </c>
      <c r="E511"/>
      <c r="F511"/>
      <c r="G511" s="39" t="s">
        <v>387</v>
      </c>
      <c r="H511"/>
      <c r="I511" s="39" t="s">
        <v>13</v>
      </c>
      <c r="J511" t="s">
        <v>414</v>
      </c>
      <c r="K511"/>
      <c r="L511"/>
      <c r="M511"/>
      <c r="N511"/>
      <c r="O511"/>
      <c r="P511"/>
      <c r="Q511"/>
      <c r="R511"/>
      <c r="S511"/>
      <c r="T511"/>
      <c r="U511"/>
      <c r="V511"/>
      <c r="W511"/>
      <c r="X511"/>
      <c r="Y511"/>
      <c r="Z511"/>
      <c r="AA511"/>
      <c r="AB511"/>
      <c r="AC511"/>
      <c r="AD511"/>
      <c r="AE511"/>
    </row>
    <row r="512" spans="1:31" x14ac:dyDescent="0.25">
      <c r="A512"/>
      <c r="B512" t="s">
        <v>245</v>
      </c>
      <c r="C512"/>
      <c r="D512" t="s">
        <v>245</v>
      </c>
      <c r="E512"/>
      <c r="F512"/>
      <c r="G512" s="451">
        <f>[1]Listas!$J$3</f>
        <v>60</v>
      </c>
      <c r="H512"/>
      <c r="I512" s="444">
        <f>Listas!L3</f>
        <v>305</v>
      </c>
      <c r="J512" s="311">
        <f>I512/I515</f>
        <v>1</v>
      </c>
      <c r="K512"/>
      <c r="L512"/>
      <c r="M512"/>
      <c r="N512"/>
      <c r="O512"/>
      <c r="P512"/>
      <c r="Q512" s="453"/>
      <c r="R512"/>
      <c r="S512"/>
      <c r="T512"/>
      <c r="U512"/>
      <c r="V512"/>
      <c r="W512"/>
      <c r="X512"/>
      <c r="Y512"/>
      <c r="Z512"/>
      <c r="AA512"/>
      <c r="AB512"/>
      <c r="AC512"/>
      <c r="AD512"/>
      <c r="AE512"/>
    </row>
    <row r="513" spans="1:31" x14ac:dyDescent="0.25">
      <c r="A513"/>
      <c r="B513"/>
      <c r="C513"/>
      <c r="D513" t="s">
        <v>251</v>
      </c>
      <c r="E513"/>
      <c r="F513"/>
      <c r="G513" s="451">
        <f>[1]Listas!$J$4</f>
        <v>50</v>
      </c>
      <c r="H513"/>
      <c r="I513" s="444">
        <f>[1]Listas!$L$4</f>
        <v>0</v>
      </c>
      <c r="J513" s="311">
        <f>I513/I515</f>
        <v>0</v>
      </c>
      <c r="K513"/>
      <c r="L513"/>
      <c r="M513"/>
      <c r="N513"/>
      <c r="O513"/>
      <c r="P513"/>
      <c r="Q513" s="453"/>
      <c r="R513"/>
      <c r="S513"/>
      <c r="T513"/>
      <c r="U513"/>
      <c r="V513"/>
      <c r="W513"/>
      <c r="X513"/>
      <c r="Y513"/>
      <c r="Z513"/>
      <c r="AA513"/>
      <c r="AB513"/>
      <c r="AC513"/>
      <c r="AD513"/>
      <c r="AE513"/>
    </row>
    <row r="514" spans="1:31" x14ac:dyDescent="0.25">
      <c r="A514"/>
      <c r="B514"/>
      <c r="C514"/>
      <c r="D514" t="s">
        <v>254</v>
      </c>
      <c r="E514"/>
      <c r="F514"/>
      <c r="G514" s="451">
        <f>[1]Listas!$J$5</f>
        <v>40</v>
      </c>
      <c r="H514"/>
      <c r="I514" s="444">
        <f>[1]Listas!$L$5</f>
        <v>0</v>
      </c>
      <c r="J514" s="311">
        <f>I514/I515</f>
        <v>0</v>
      </c>
      <c r="K514"/>
      <c r="L514"/>
      <c r="M514"/>
      <c r="N514"/>
      <c r="O514"/>
      <c r="P514"/>
      <c r="Q514" s="39"/>
      <c r="R514" s="454"/>
      <c r="S514"/>
      <c r="T514"/>
      <c r="U514"/>
      <c r="V514"/>
      <c r="W514"/>
      <c r="X514"/>
      <c r="Y514"/>
      <c r="Z514"/>
      <c r="AA514"/>
      <c r="AB514"/>
      <c r="AC514"/>
      <c r="AD514"/>
      <c r="AE514"/>
    </row>
    <row r="515" spans="1:31" x14ac:dyDescent="0.25">
      <c r="A515"/>
      <c r="B515"/>
      <c r="C515"/>
      <c r="D515"/>
      <c r="E515"/>
      <c r="F515"/>
      <c r="G515" s="451"/>
      <c r="H515" t="s">
        <v>329</v>
      </c>
      <c r="I515" s="444">
        <f>SUM(I512:I514)</f>
        <v>305</v>
      </c>
      <c r="J515" s="311">
        <f>I515/I515</f>
        <v>1</v>
      </c>
      <c r="K515"/>
      <c r="L515"/>
      <c r="M515"/>
      <c r="N515"/>
      <c r="O515"/>
      <c r="P515"/>
      <c r="Q515" s="453"/>
      <c r="R515" s="446"/>
      <c r="S515"/>
      <c r="T515"/>
      <c r="U515"/>
      <c r="V515"/>
      <c r="W515"/>
      <c r="X515"/>
      <c r="Y515"/>
      <c r="Z515"/>
      <c r="AA515"/>
      <c r="AB515"/>
      <c r="AC515"/>
      <c r="AD515"/>
      <c r="AE515"/>
    </row>
    <row r="516" spans="1:31" x14ac:dyDescent="0.25">
      <c r="A516"/>
      <c r="B516"/>
      <c r="C516"/>
      <c r="D516"/>
      <c r="E516"/>
      <c r="F516"/>
      <c r="G516"/>
      <c r="H516"/>
      <c r="I516"/>
      <c r="J516"/>
      <c r="K516"/>
      <c r="L516"/>
      <c r="M516"/>
      <c r="N516"/>
      <c r="O516"/>
      <c r="P516"/>
      <c r="Q516" s="453"/>
      <c r="R516" s="446"/>
      <c r="S516"/>
      <c r="T516"/>
      <c r="U516"/>
      <c r="V516"/>
      <c r="W516"/>
      <c r="X516"/>
      <c r="Y516"/>
      <c r="Z516"/>
      <c r="AA516"/>
      <c r="AB516"/>
      <c r="AC516"/>
      <c r="AD516"/>
      <c r="AE516"/>
    </row>
    <row r="517" spans="1:31" x14ac:dyDescent="0.25">
      <c r="A517"/>
      <c r="B517" t="str">
        <f>Listas!$N$1</f>
        <v>Decreto Estadual 16.536/2024</v>
      </c>
      <c r="C517"/>
      <c r="D517"/>
      <c r="E517"/>
      <c r="F517"/>
      <c r="G517"/>
      <c r="H517"/>
      <c r="I517"/>
      <c r="J517"/>
      <c r="K517"/>
      <c r="L517"/>
      <c r="M517"/>
      <c r="N517"/>
      <c r="O517"/>
      <c r="P517"/>
      <c r="Q517"/>
      <c r="R517"/>
      <c r="S517"/>
      <c r="T517"/>
      <c r="U517"/>
      <c r="V517"/>
      <c r="W517"/>
      <c r="X517"/>
      <c r="Y517"/>
      <c r="Z517"/>
      <c r="AA517"/>
      <c r="AB517"/>
      <c r="AC517"/>
      <c r="AD517"/>
      <c r="AE517"/>
    </row>
    <row r="518" spans="1:31" x14ac:dyDescent="0.25">
      <c r="A518"/>
      <c r="B518" t="s">
        <v>15</v>
      </c>
      <c r="C518"/>
      <c r="D518"/>
      <c r="E518" t="s">
        <v>357</v>
      </c>
      <c r="F518" t="s">
        <v>202</v>
      </c>
      <c r="G518"/>
      <c r="H518"/>
      <c r="I518"/>
      <c r="J518"/>
      <c r="K518"/>
      <c r="L518"/>
      <c r="M518"/>
      <c r="N518"/>
      <c r="O518"/>
      <c r="P518"/>
      <c r="Q518"/>
      <c r="R518"/>
      <c r="S518"/>
      <c r="T518"/>
      <c r="U518"/>
      <c r="V518"/>
      <c r="W518"/>
      <c r="X518"/>
      <c r="Y518"/>
      <c r="Z518"/>
      <c r="AA518"/>
      <c r="AB518"/>
      <c r="AC518"/>
      <c r="AD518"/>
      <c r="AE518"/>
    </row>
    <row r="519" spans="1:31" x14ac:dyDescent="0.25">
      <c r="A519"/>
      <c r="B519" t="s">
        <v>248</v>
      </c>
      <c r="C519"/>
      <c r="D519"/>
      <c r="E519" s="444">
        <f>Listas!$P$3</f>
        <v>250</v>
      </c>
      <c r="F519"/>
      <c r="G519"/>
      <c r="H519"/>
      <c r="I519"/>
      <c r="J519"/>
      <c r="K519"/>
      <c r="L519"/>
      <c r="M519"/>
      <c r="N519"/>
      <c r="O519"/>
      <c r="P519"/>
      <c r="Q519"/>
      <c r="R519"/>
      <c r="S519"/>
      <c r="T519"/>
      <c r="U519"/>
      <c r="V519"/>
      <c r="W519"/>
      <c r="X519"/>
      <c r="Y519"/>
      <c r="Z519"/>
      <c r="AA519"/>
      <c r="AB519"/>
      <c r="AC519"/>
      <c r="AD519"/>
      <c r="AE519"/>
    </row>
    <row r="520" spans="1:31" x14ac:dyDescent="0.25">
      <c r="A520"/>
      <c r="B520" t="s">
        <v>252</v>
      </c>
      <c r="C520"/>
      <c r="D520"/>
      <c r="E520" s="444">
        <f>E519/2</f>
        <v>125</v>
      </c>
      <c r="F520">
        <v>1</v>
      </c>
      <c r="G520"/>
      <c r="H520"/>
      <c r="I520"/>
      <c r="J520"/>
      <c r="K520"/>
      <c r="L520"/>
      <c r="M520"/>
      <c r="N520"/>
      <c r="O520"/>
      <c r="P520"/>
      <c r="Q520"/>
      <c r="R520"/>
      <c r="S520"/>
      <c r="T520"/>
      <c r="U520"/>
      <c r="V520"/>
      <c r="W520"/>
      <c r="X520"/>
      <c r="Y520"/>
      <c r="Z520"/>
      <c r="AA520"/>
      <c r="AB520"/>
      <c r="AC520"/>
      <c r="AD520"/>
      <c r="AE520"/>
    </row>
    <row r="521" spans="1:31" x14ac:dyDescent="0.25">
      <c r="A521"/>
      <c r="B521" t="s">
        <v>255</v>
      </c>
      <c r="C521"/>
      <c r="D521"/>
      <c r="E521" s="444">
        <f>E520</f>
        <v>125</v>
      </c>
      <c r="F521">
        <v>0</v>
      </c>
      <c r="G521"/>
      <c r="H521"/>
      <c r="I521"/>
      <c r="J521"/>
      <c r="K521"/>
      <c r="L521"/>
      <c r="M521"/>
      <c r="N521"/>
      <c r="O521"/>
      <c r="P521"/>
      <c r="Q521"/>
      <c r="R521"/>
      <c r="S521"/>
      <c r="T521"/>
      <c r="U521"/>
      <c r="V521"/>
      <c r="W521"/>
      <c r="X521"/>
      <c r="Y521"/>
      <c r="Z521"/>
      <c r="AA521"/>
      <c r="AB521"/>
      <c r="AC521"/>
      <c r="AD521"/>
      <c r="AE521"/>
    </row>
    <row r="522" spans="1:31" x14ac:dyDescent="0.25">
      <c r="A522"/>
      <c r="B522"/>
      <c r="C522"/>
      <c r="D522"/>
      <c r="E522"/>
      <c r="F522"/>
      <c r="G522"/>
      <c r="H522"/>
      <c r="I522"/>
      <c r="J522"/>
      <c r="K522"/>
      <c r="L522"/>
      <c r="M522"/>
      <c r="N522"/>
      <c r="O522"/>
      <c r="P522"/>
      <c r="Q522"/>
      <c r="R522"/>
      <c r="S522"/>
      <c r="T522"/>
      <c r="U522"/>
      <c r="V522"/>
      <c r="W522"/>
      <c r="X522"/>
      <c r="Y522"/>
      <c r="Z522"/>
      <c r="AA522"/>
      <c r="AB522"/>
      <c r="AC522"/>
      <c r="AD522"/>
      <c r="AE522"/>
    </row>
    <row r="523" spans="1:31" x14ac:dyDescent="0.25">
      <c r="A523"/>
      <c r="B523" t="s">
        <v>360</v>
      </c>
      <c r="C523" t="s">
        <v>15</v>
      </c>
      <c r="D523"/>
      <c r="E523"/>
      <c r="F523"/>
      <c r="G523" s="39" t="s">
        <v>202</v>
      </c>
      <c r="H523" s="39"/>
      <c r="I523" s="39" t="s">
        <v>401</v>
      </c>
      <c r="J523"/>
      <c r="K523" s="39" t="s">
        <v>402</v>
      </c>
      <c r="L523"/>
      <c r="M523"/>
      <c r="N523" s="39" t="s">
        <v>371</v>
      </c>
      <c r="O523" s="39"/>
      <c r="P523" s="39" t="s">
        <v>372</v>
      </c>
      <c r="Q523" s="39" t="s">
        <v>373</v>
      </c>
      <c r="R523" s="450" t="s">
        <v>236</v>
      </c>
      <c r="S523" s="39"/>
      <c r="T523" s="39" t="s">
        <v>183</v>
      </c>
      <c r="U523" s="39"/>
      <c r="V523" s="39" t="s">
        <v>374</v>
      </c>
      <c r="W523"/>
      <c r="X523" s="39" t="s">
        <v>375</v>
      </c>
      <c r="Y523" s="39"/>
      <c r="Z523" s="39" t="s">
        <v>376</v>
      </c>
      <c r="AA523"/>
      <c r="AB523" s="39" t="s">
        <v>377</v>
      </c>
      <c r="AC523" s="39" t="s">
        <v>388</v>
      </c>
      <c r="AD523" s="39"/>
      <c r="AE523" s="449" t="s">
        <v>362</v>
      </c>
    </row>
    <row r="524" spans="1:31" x14ac:dyDescent="0.25">
      <c r="A524"/>
      <c r="B524"/>
      <c r="C524"/>
      <c r="D524"/>
      <c r="E524"/>
      <c r="F524"/>
      <c r="G524" s="39" t="s">
        <v>363</v>
      </c>
      <c r="H524" s="39"/>
      <c r="I524" s="39" t="s">
        <v>330</v>
      </c>
      <c r="J524"/>
      <c r="K524" s="39" t="s">
        <v>331</v>
      </c>
      <c r="L524"/>
      <c r="M524"/>
      <c r="N524" s="39" t="s">
        <v>403</v>
      </c>
      <c r="O524" s="39"/>
      <c r="P524" s="39" t="s">
        <v>372</v>
      </c>
      <c r="Q524" s="39" t="s">
        <v>333</v>
      </c>
      <c r="R524" s="39"/>
      <c r="S524" s="39"/>
      <c r="T524" s="39" t="s">
        <v>378</v>
      </c>
      <c r="U524" s="39"/>
      <c r="V524" s="39" t="s">
        <v>407</v>
      </c>
      <c r="W524"/>
      <c r="X524" s="39" t="s">
        <v>389</v>
      </c>
      <c r="Y524" s="39"/>
      <c r="Z524" s="39" t="s">
        <v>413</v>
      </c>
      <c r="AA524"/>
      <c r="AB524" s="39" t="s">
        <v>410</v>
      </c>
      <c r="AC524" s="39" t="s">
        <v>411</v>
      </c>
      <c r="AD524" s="39"/>
      <c r="AE524" s="449" t="s">
        <v>412</v>
      </c>
    </row>
    <row r="525" spans="1:31" x14ac:dyDescent="0.25">
      <c r="A525"/>
      <c r="B525" s="39" t="s">
        <v>193</v>
      </c>
      <c r="C525" t="str">
        <f ca="1">IFERROR(VLOOKUP(B525,Veiculo_Equip_Matriz,2,0),"")</f>
        <v>Veículo leve picape 4 x 4 com capacidade de 1,10 t - 147 kW (sem motorista)</v>
      </c>
      <c r="D525"/>
      <c r="E525"/>
      <c r="F525"/>
      <c r="G525">
        <f>G465</f>
        <v>1</v>
      </c>
      <c r="H525"/>
      <c r="I525" s="444">
        <f>I515</f>
        <v>305</v>
      </c>
      <c r="J525"/>
      <c r="K525">
        <f>G512*J512+G513*J513+G514*J514</f>
        <v>60</v>
      </c>
      <c r="L525"/>
      <c r="M525"/>
      <c r="N525">
        <f>I525/K525</f>
        <v>5.083333333333333</v>
      </c>
      <c r="O525"/>
      <c r="P525">
        <v>1</v>
      </c>
      <c r="Q525">
        <v>1</v>
      </c>
      <c r="R525" s="39" t="str">
        <f>B525</f>
        <v>E8891</v>
      </c>
      <c r="S525"/>
      <c r="T525">
        <f ca="1">IFERROR(VLOOKUP(R525,Veiculo_Equip_Matriz,4,0),"")</f>
        <v>79.599999999999994</v>
      </c>
      <c r="U525"/>
      <c r="V525" s="446">
        <f ca="1">G525*N525*P525*Q525*T525</f>
        <v>404.63333333333327</v>
      </c>
      <c r="W525"/>
      <c r="X525">
        <f>((INT(N525/4))*30)/60</f>
        <v>0.5</v>
      </c>
      <c r="Y525"/>
      <c r="Z525">
        <f>N525+X525</f>
        <v>5.583333333333333</v>
      </c>
      <c r="AA525"/>
      <c r="AB525" s="446">
        <f>E520*F520+E521*F521</f>
        <v>125</v>
      </c>
      <c r="AC525" s="446">
        <f>R516*G525</f>
        <v>0</v>
      </c>
      <c r="AD525"/>
      <c r="AE525" s="448">
        <f ca="1">V525+AB525+AC525</f>
        <v>529.63333333333321</v>
      </c>
    </row>
    <row r="526" spans="1:31" x14ac:dyDescent="0.25">
      <c r="A526" s="39"/>
      <c r="B526"/>
      <c r="C526"/>
      <c r="D526"/>
      <c r="E526"/>
      <c r="F526"/>
      <c r="G526"/>
      <c r="H526"/>
      <c r="I526"/>
      <c r="J526"/>
      <c r="K526"/>
      <c r="L526"/>
      <c r="M526"/>
      <c r="N526"/>
      <c r="O526"/>
      <c r="P526"/>
      <c r="Q526"/>
      <c r="R526"/>
      <c r="S526"/>
      <c r="T526"/>
      <c r="U526"/>
      <c r="V526"/>
      <c r="W526"/>
      <c r="X526"/>
      <c r="Y526"/>
      <c r="Z526"/>
      <c r="AA526"/>
      <c r="AB526"/>
      <c r="AC526"/>
      <c r="AD526"/>
      <c r="AE526"/>
    </row>
    <row r="527" spans="1:31" x14ac:dyDescent="0.25">
      <c r="A527" s="39" t="s">
        <v>355</v>
      </c>
      <c r="B527" t="s">
        <v>356</v>
      </c>
      <c r="C527"/>
      <c r="D527"/>
      <c r="E527"/>
      <c r="F527"/>
      <c r="G527"/>
      <c r="H527"/>
      <c r="I527"/>
      <c r="J527"/>
      <c r="K527"/>
      <c r="L527"/>
      <c r="M527"/>
      <c r="N527"/>
      <c r="O527"/>
      <c r="P527"/>
      <c r="Q527"/>
      <c r="R527"/>
      <c r="S527"/>
      <c r="T527"/>
      <c r="U527"/>
      <c r="V527"/>
      <c r="W527"/>
      <c r="X527"/>
      <c r="Y527"/>
      <c r="Z527"/>
      <c r="AA527"/>
      <c r="AB527"/>
      <c r="AC527"/>
      <c r="AD527"/>
      <c r="AE527"/>
    </row>
    <row r="528" spans="1:31" x14ac:dyDescent="0.25">
      <c r="A528"/>
      <c r="B528" t="s">
        <v>15</v>
      </c>
      <c r="C528"/>
      <c r="D528"/>
      <c r="E528"/>
      <c r="F528" t="s">
        <v>357</v>
      </c>
      <c r="G528"/>
      <c r="H528"/>
      <c r="I528"/>
      <c r="J528"/>
      <c r="K528"/>
      <c r="L528"/>
      <c r="M528"/>
      <c r="N528"/>
      <c r="O528"/>
      <c r="P528"/>
      <c r="Q528"/>
      <c r="R528"/>
      <c r="S528"/>
      <c r="T528"/>
      <c r="U528"/>
      <c r="V528"/>
      <c r="W528"/>
      <c r="X528"/>
      <c r="Y528"/>
      <c r="Z528"/>
      <c r="AA528"/>
      <c r="AB528"/>
      <c r="AC528"/>
      <c r="AD528"/>
      <c r="AE528"/>
    </row>
    <row r="529" spans="1:31" x14ac:dyDescent="0.25">
      <c r="A529"/>
      <c r="B529" t="s">
        <v>317</v>
      </c>
      <c r="C529"/>
      <c r="D529"/>
      <c r="E529"/>
      <c r="F529" s="446">
        <f ca="1">U461</f>
        <v>144.87467999999998</v>
      </c>
      <c r="G529"/>
      <c r="H529"/>
      <c r="I529"/>
      <c r="J529"/>
      <c r="K529"/>
      <c r="L529"/>
      <c r="M529"/>
      <c r="N529"/>
      <c r="O529"/>
      <c r="P529"/>
      <c r="Q529"/>
      <c r="R529"/>
      <c r="S529"/>
      <c r="T529"/>
      <c r="U529"/>
      <c r="V529"/>
      <c r="W529"/>
      <c r="X529"/>
      <c r="Y529"/>
      <c r="Z529"/>
      <c r="AA529"/>
      <c r="AB529"/>
      <c r="AC529"/>
      <c r="AD529"/>
      <c r="AE529"/>
    </row>
    <row r="530" spans="1:31" x14ac:dyDescent="0.25">
      <c r="A530"/>
      <c r="B530" t="s">
        <v>276</v>
      </c>
      <c r="C530"/>
      <c r="D530"/>
      <c r="E530"/>
      <c r="F530" s="446">
        <f ca="1">K465</f>
        <v>55.440392699999997</v>
      </c>
      <c r="G530"/>
      <c r="H530"/>
      <c r="I530"/>
      <c r="J530"/>
      <c r="K530"/>
      <c r="L530"/>
      <c r="M530"/>
      <c r="N530"/>
      <c r="O530"/>
      <c r="P530"/>
      <c r="Q530"/>
      <c r="R530"/>
      <c r="S530"/>
      <c r="T530"/>
      <c r="U530"/>
      <c r="V530"/>
      <c r="W530"/>
      <c r="X530"/>
      <c r="Y530"/>
      <c r="Z530"/>
      <c r="AA530"/>
      <c r="AB530"/>
      <c r="AC530"/>
      <c r="AD530"/>
      <c r="AE530"/>
    </row>
    <row r="531" spans="1:31" x14ac:dyDescent="0.25">
      <c r="A531"/>
      <c r="B531" t="s">
        <v>342</v>
      </c>
      <c r="C531"/>
      <c r="D531"/>
      <c r="E531"/>
      <c r="F531" s="446">
        <v>0</v>
      </c>
      <c r="G531"/>
      <c r="H531"/>
      <c r="I531"/>
      <c r="J531"/>
      <c r="K531"/>
      <c r="L531"/>
      <c r="M531"/>
      <c r="N531"/>
      <c r="O531"/>
      <c r="P531"/>
      <c r="Q531"/>
      <c r="R531"/>
      <c r="S531"/>
      <c r="T531"/>
      <c r="U531"/>
      <c r="V531"/>
      <c r="W531"/>
      <c r="X531"/>
      <c r="Y531"/>
      <c r="Z531"/>
      <c r="AA531"/>
      <c r="AB531"/>
      <c r="AC531"/>
      <c r="AD531"/>
      <c r="AE531"/>
    </row>
    <row r="532" spans="1:31" x14ac:dyDescent="0.25">
      <c r="A532"/>
      <c r="B532" t="s">
        <v>343</v>
      </c>
      <c r="C532"/>
      <c r="D532"/>
      <c r="E532"/>
      <c r="F532" s="446">
        <f ca="1">R487</f>
        <v>383.41385809999997</v>
      </c>
      <c r="G532"/>
      <c r="H532"/>
      <c r="I532"/>
      <c r="J532"/>
      <c r="K532"/>
      <c r="L532"/>
      <c r="M532"/>
      <c r="N532"/>
      <c r="O532"/>
      <c r="P532"/>
      <c r="Q532"/>
      <c r="R532"/>
      <c r="S532"/>
      <c r="T532"/>
      <c r="U532"/>
      <c r="V532"/>
      <c r="W532"/>
      <c r="X532"/>
      <c r="Y532"/>
      <c r="Z532"/>
      <c r="AA532"/>
      <c r="AB532"/>
      <c r="AC532"/>
      <c r="AD532"/>
      <c r="AE532"/>
    </row>
    <row r="533" spans="1:31" x14ac:dyDescent="0.25">
      <c r="A533"/>
      <c r="B533" t="s">
        <v>345</v>
      </c>
      <c r="C533"/>
      <c r="D533"/>
      <c r="E533"/>
      <c r="F533" s="446">
        <f>K499</f>
        <v>125</v>
      </c>
      <c r="G533"/>
      <c r="H533"/>
      <c r="I533"/>
      <c r="J533"/>
      <c r="K533"/>
      <c r="L533"/>
      <c r="M533"/>
      <c r="N533"/>
      <c r="O533"/>
      <c r="P533"/>
      <c r="Q533"/>
      <c r="R533"/>
      <c r="S533"/>
      <c r="T533"/>
      <c r="U533"/>
      <c r="V533"/>
      <c r="W533"/>
      <c r="X533"/>
      <c r="Y533"/>
      <c r="Z533"/>
      <c r="AA533"/>
      <c r="AB533"/>
      <c r="AC533"/>
      <c r="AD533"/>
      <c r="AE533"/>
    </row>
    <row r="534" spans="1:31" x14ac:dyDescent="0.25">
      <c r="A534"/>
      <c r="B534" t="s">
        <v>516</v>
      </c>
      <c r="C534"/>
      <c r="D534"/>
      <c r="E534"/>
      <c r="F534" s="446">
        <f ca="1">2*AE525</f>
        <v>1059.2666666666664</v>
      </c>
      <c r="G534"/>
      <c r="H534"/>
      <c r="I534"/>
      <c r="J534"/>
      <c r="K534"/>
      <c r="L534"/>
      <c r="M534"/>
      <c r="N534"/>
      <c r="O534"/>
      <c r="P534"/>
      <c r="Q534"/>
      <c r="R534"/>
      <c r="S534"/>
      <c r="T534"/>
      <c r="U534"/>
      <c r="V534"/>
      <c r="W534"/>
      <c r="X534"/>
      <c r="Y534"/>
      <c r="Z534"/>
      <c r="AA534"/>
      <c r="AB534"/>
      <c r="AC534"/>
      <c r="AD534"/>
      <c r="AE534"/>
    </row>
    <row r="535" spans="1:31" ht="17.25" x14ac:dyDescent="0.3">
      <c r="A535"/>
      <c r="B535"/>
      <c r="C535"/>
      <c r="D535"/>
      <c r="E535" s="447" t="s">
        <v>329</v>
      </c>
      <c r="F535" s="448">
        <f ca="1">SUM(F529:F534)</f>
        <v>1767.9955974666664</v>
      </c>
      <c r="G535"/>
      <c r="H535"/>
      <c r="I535"/>
      <c r="J535"/>
      <c r="K535"/>
      <c r="L535"/>
      <c r="M535"/>
      <c r="N535"/>
      <c r="O535"/>
      <c r="P535"/>
      <c r="Q535"/>
      <c r="R535"/>
      <c r="S535"/>
      <c r="T535"/>
      <c r="U535"/>
      <c r="V535" s="442"/>
      <c r="W535" s="442"/>
      <c r="X535" s="442"/>
      <c r="Y535" s="442"/>
      <c r="Z535" s="442"/>
      <c r="AA535" s="442"/>
      <c r="AB535" s="442"/>
      <c r="AC535" s="442"/>
      <c r="AD535" s="442"/>
      <c r="AE535" s="442"/>
    </row>
    <row r="536" spans="1:31" ht="17.25" x14ac:dyDescent="0.3">
      <c r="A536"/>
      <c r="B536"/>
      <c r="C536"/>
      <c r="D536"/>
      <c r="E536" s="447"/>
      <c r="F536" s="448"/>
      <c r="G536"/>
      <c r="H536"/>
      <c r="I536"/>
      <c r="J536"/>
      <c r="K536"/>
      <c r="L536"/>
      <c r="M536"/>
      <c r="N536"/>
      <c r="O536"/>
      <c r="P536"/>
      <c r="Q536"/>
      <c r="R536"/>
      <c r="S536"/>
      <c r="T536"/>
      <c r="U536"/>
      <c r="V536" s="442"/>
      <c r="W536" s="442"/>
      <c r="X536" s="442"/>
      <c r="Y536" s="442"/>
      <c r="Z536" s="442"/>
      <c r="AA536" s="442"/>
      <c r="AB536" s="442"/>
      <c r="AC536" s="442"/>
      <c r="AD536" s="442"/>
      <c r="AE536" s="442"/>
    </row>
    <row r="537" spans="1:31" ht="17.25" x14ac:dyDescent="0.3">
      <c r="A537" s="263" t="s">
        <v>1240</v>
      </c>
      <c r="B537" s="263" t="s">
        <v>1239</v>
      </c>
      <c r="C537" s="263"/>
      <c r="D537" s="263"/>
      <c r="E537" s="263"/>
      <c r="F537" s="263"/>
      <c r="G537" s="263"/>
      <c r="H537" s="263"/>
      <c r="I537" s="263"/>
      <c r="J537" s="263"/>
      <c r="K537" s="263"/>
      <c r="L537"/>
      <c r="M537"/>
      <c r="N537"/>
      <c r="O537"/>
      <c r="P537"/>
      <c r="Q537"/>
      <c r="R537"/>
      <c r="S537"/>
      <c r="T537"/>
      <c r="U537"/>
      <c r="V537" s="442"/>
      <c r="W537" s="442"/>
      <c r="X537" s="442"/>
      <c r="Y537" s="442"/>
      <c r="Z537" s="442"/>
      <c r="AA537" s="442"/>
      <c r="AB537" s="442"/>
      <c r="AC537" s="442"/>
      <c r="AD537" s="442"/>
      <c r="AE537" s="442"/>
    </row>
    <row r="538" spans="1:31" x14ac:dyDescent="0.25">
      <c r="A538"/>
      <c r="B538" s="443" t="s">
        <v>470</v>
      </c>
      <c r="C538" s="456">
        <v>75</v>
      </c>
      <c r="D538" t="s">
        <v>198</v>
      </c>
      <c r="E538" s="450" t="s">
        <v>1235</v>
      </c>
      <c r="F538"/>
      <c r="G538"/>
      <c r="H538"/>
      <c r="I538"/>
      <c r="J538"/>
      <c r="K538"/>
      <c r="L538"/>
      <c r="M538"/>
      <c r="N538"/>
      <c r="O538"/>
      <c r="P538"/>
      <c r="Q538"/>
      <c r="R538"/>
      <c r="S538"/>
      <c r="T538"/>
      <c r="U538"/>
      <c r="V538"/>
      <c r="W538"/>
      <c r="X538"/>
      <c r="Y538"/>
      <c r="Z538"/>
      <c r="AA538"/>
      <c r="AB538"/>
      <c r="AC538"/>
      <c r="AD538"/>
      <c r="AE538"/>
    </row>
    <row r="539" spans="1:31" x14ac:dyDescent="0.25">
      <c r="A539"/>
      <c r="B539" t="s">
        <v>359</v>
      </c>
      <c r="C539" s="444">
        <f>'Qd abrang'!C7</f>
        <v>1.7</v>
      </c>
      <c r="D539" t="s">
        <v>13</v>
      </c>
      <c r="E539" s="39" t="s">
        <v>201</v>
      </c>
      <c r="F539">
        <f>ROUND(C539/C538,2)</f>
        <v>0.02</v>
      </c>
      <c r="G539" t="s">
        <v>472</v>
      </c>
      <c r="H539"/>
      <c r="I539" s="39" t="s">
        <v>201</v>
      </c>
      <c r="J539">
        <f>F539*[1]Listas!$E$5</f>
        <v>2.3333333333333334E-2</v>
      </c>
      <c r="K539" t="s">
        <v>473</v>
      </c>
      <c r="L539"/>
      <c r="M539" t="s">
        <v>471</v>
      </c>
      <c r="N539"/>
      <c r="O539"/>
      <c r="P539"/>
      <c r="Q539"/>
      <c r="R539"/>
      <c r="S539"/>
      <c r="T539"/>
      <c r="U539"/>
      <c r="V539"/>
      <c r="W539"/>
      <c r="X539"/>
      <c r="Y539"/>
      <c r="Z539"/>
      <c r="AA539"/>
      <c r="AB539"/>
      <c r="AC539"/>
      <c r="AD539"/>
      <c r="AE539"/>
    </row>
    <row r="540" spans="1:31" x14ac:dyDescent="0.25">
      <c r="A540"/>
      <c r="B540" s="443"/>
      <c r="C540" s="444"/>
      <c r="D540"/>
      <c r="E540"/>
      <c r="F540"/>
      <c r="G540"/>
      <c r="H540"/>
      <c r="I540"/>
      <c r="J540"/>
      <c r="K540"/>
      <c r="L540"/>
      <c r="M540"/>
      <c r="N540"/>
      <c r="O540"/>
      <c r="P540"/>
      <c r="Q540"/>
      <c r="R540"/>
      <c r="S540"/>
      <c r="T540"/>
      <c r="U540"/>
      <c r="V540"/>
      <c r="W540"/>
      <c r="X540"/>
      <c r="Y540"/>
      <c r="Z540"/>
      <c r="AA540"/>
      <c r="AB540"/>
      <c r="AC540"/>
      <c r="AD540"/>
      <c r="AE540"/>
    </row>
    <row r="541" spans="1:31" x14ac:dyDescent="0.25">
      <c r="A541"/>
      <c r="B541" t="s">
        <v>474</v>
      </c>
      <c r="C541">
        <v>1</v>
      </c>
      <c r="D541" t="s">
        <v>475</v>
      </c>
      <c r="E541" s="39" t="s">
        <v>201</v>
      </c>
      <c r="F541">
        <f>F539/C541</f>
        <v>0.02</v>
      </c>
      <c r="G541" t="s">
        <v>472</v>
      </c>
      <c r="H541"/>
      <c r="I541" s="39"/>
      <c r="J541"/>
      <c r="K541"/>
      <c r="L541" s="39"/>
      <c r="M541"/>
      <c r="N541"/>
      <c r="O541"/>
      <c r="P541"/>
      <c r="Q541"/>
      <c r="R541"/>
      <c r="S541"/>
      <c r="T541"/>
      <c r="U541"/>
      <c r="V541"/>
      <c r="W541"/>
      <c r="X541"/>
      <c r="Y541"/>
      <c r="Z541"/>
      <c r="AA541"/>
      <c r="AB541"/>
      <c r="AC541"/>
      <c r="AD541"/>
      <c r="AE541"/>
    </row>
    <row r="542" spans="1:31" x14ac:dyDescent="0.25">
      <c r="A542"/>
      <c r="B542"/>
      <c r="C542"/>
      <c r="D542"/>
      <c r="E542"/>
      <c r="F542">
        <f>F541*[1]Listas!$E$5</f>
        <v>2.3333333333333334E-2</v>
      </c>
      <c r="G542" t="s">
        <v>473</v>
      </c>
      <c r="H542"/>
      <c r="I542"/>
      <c r="J542"/>
      <c r="K542"/>
      <c r="L542"/>
      <c r="M542"/>
      <c r="N542"/>
      <c r="O542"/>
      <c r="P542"/>
      <c r="Q542"/>
      <c r="R542"/>
      <c r="S542"/>
      <c r="T542"/>
      <c r="U542"/>
      <c r="V542"/>
      <c r="W542"/>
      <c r="X542"/>
      <c r="Y542"/>
      <c r="Z542"/>
      <c r="AA542"/>
      <c r="AB542"/>
      <c r="AC542"/>
      <c r="AD542"/>
      <c r="AE542"/>
    </row>
    <row r="543" spans="1:31" x14ac:dyDescent="0.25">
      <c r="A543"/>
      <c r="B543"/>
      <c r="C543"/>
      <c r="D543"/>
      <c r="E543"/>
      <c r="F543"/>
      <c r="G543"/>
      <c r="H543"/>
      <c r="I543"/>
      <c r="J543"/>
      <c r="K543"/>
      <c r="L543"/>
      <c r="M543"/>
      <c r="N543"/>
      <c r="O543"/>
      <c r="P543"/>
      <c r="Q543"/>
      <c r="R543"/>
      <c r="S543"/>
      <c r="T543"/>
      <c r="U543"/>
      <c r="V543"/>
      <c r="W543"/>
      <c r="X543"/>
      <c r="Y543"/>
      <c r="Z543"/>
      <c r="AA543"/>
      <c r="AB543"/>
      <c r="AC543"/>
      <c r="AD543"/>
      <c r="AE543"/>
    </row>
    <row r="544" spans="1:31" x14ac:dyDescent="0.25">
      <c r="A544" s="445" t="s">
        <v>61</v>
      </c>
      <c r="B544" s="134" t="s">
        <v>338</v>
      </c>
      <c r="C544" s="134"/>
      <c r="D544" s="134"/>
      <c r="E544" s="134"/>
      <c r="F544" s="134"/>
      <c r="G544" s="134"/>
      <c r="H544" s="134"/>
      <c r="I544" s="134"/>
      <c r="J544" s="134"/>
      <c r="K544" s="134"/>
      <c r="L544" s="134"/>
      <c r="M544" s="134"/>
      <c r="N544" s="134"/>
      <c r="O544" s="134"/>
      <c r="P544" s="134"/>
      <c r="Q544" s="134"/>
      <c r="R544" s="134"/>
      <c r="S544" s="134"/>
      <c r="T544" s="134"/>
      <c r="U544" s="134"/>
      <c r="V544"/>
      <c r="W544"/>
      <c r="X544"/>
      <c r="Y544"/>
      <c r="Z544"/>
      <c r="AA544"/>
      <c r="AB544"/>
      <c r="AC544"/>
      <c r="AD544"/>
      <c r="AE544"/>
    </row>
    <row r="545" spans="1:31" x14ac:dyDescent="0.25">
      <c r="A545"/>
      <c r="B545" s="39" t="s">
        <v>360</v>
      </c>
      <c r="C545" t="s">
        <v>15</v>
      </c>
      <c r="D545"/>
      <c r="E545"/>
      <c r="F545" s="39" t="s">
        <v>321</v>
      </c>
      <c r="G545" s="39"/>
      <c r="H545" s="39" t="s">
        <v>322</v>
      </c>
      <c r="I545" s="39"/>
      <c r="J545" s="39" t="s">
        <v>323</v>
      </c>
      <c r="K545" s="39"/>
      <c r="L545" s="39" t="s">
        <v>324</v>
      </c>
      <c r="M545" s="39"/>
      <c r="N545" s="39" t="s">
        <v>325</v>
      </c>
      <c r="O545" s="39"/>
      <c r="P545" s="39" t="s">
        <v>326</v>
      </c>
      <c r="Q545" s="39"/>
      <c r="R545" s="39" t="s">
        <v>327</v>
      </c>
      <c r="S545" s="39"/>
      <c r="T545" s="39" t="s">
        <v>328</v>
      </c>
      <c r="U545" s="39" t="s">
        <v>329</v>
      </c>
      <c r="V545"/>
      <c r="W545"/>
      <c r="X545"/>
      <c r="Y545"/>
      <c r="Z545"/>
      <c r="AA545"/>
      <c r="AB545"/>
      <c r="AC545"/>
      <c r="AD545"/>
      <c r="AE545"/>
    </row>
    <row r="546" spans="1:31" x14ac:dyDescent="0.25">
      <c r="A546"/>
      <c r="B546" s="39"/>
      <c r="C546"/>
      <c r="D546"/>
      <c r="E546"/>
      <c r="F546" s="39"/>
      <c r="G546" s="39"/>
      <c r="H546" s="39" t="s">
        <v>330</v>
      </c>
      <c r="I546" s="39"/>
      <c r="J546" s="39" t="s">
        <v>331</v>
      </c>
      <c r="K546" s="39"/>
      <c r="L546" s="39" t="s">
        <v>332</v>
      </c>
      <c r="M546" s="39"/>
      <c r="N546" s="39" t="s">
        <v>333</v>
      </c>
      <c r="O546" s="39"/>
      <c r="P546" s="39" t="s">
        <v>334</v>
      </c>
      <c r="Q546" s="39"/>
      <c r="R546" s="39" t="s">
        <v>335</v>
      </c>
      <c r="S546" s="39"/>
      <c r="T546" s="39" t="s">
        <v>336</v>
      </c>
      <c r="U546" s="39" t="s">
        <v>337</v>
      </c>
      <c r="V546"/>
      <c r="W546"/>
      <c r="X546"/>
      <c r="Y546"/>
      <c r="Z546"/>
      <c r="AA546"/>
      <c r="AB546"/>
      <c r="AC546"/>
      <c r="AD546"/>
      <c r="AE546"/>
    </row>
    <row r="547" spans="1:31" x14ac:dyDescent="0.25">
      <c r="A547"/>
      <c r="B547" s="43" t="s">
        <v>169</v>
      </c>
      <c r="C547" t="str">
        <f ca="1">IFERROR(VLOOKUP(B547,MO_Matriz,2,0),"")</f>
        <v>Técnico de obras</v>
      </c>
      <c r="D547"/>
      <c r="E547"/>
      <c r="F547" s="39" t="str">
        <f ca="1">IFERROR(VLOOKUP(B547,MO_Matriz,3,0),"")</f>
        <v>T</v>
      </c>
      <c r="G547"/>
      <c r="H547">
        <f>$C$541</f>
        <v>1</v>
      </c>
      <c r="I547"/>
      <c r="J547">
        <v>1</v>
      </c>
      <c r="K547"/>
      <c r="L547">
        <f>[1]Listas!$B$6</f>
        <v>7.333333333333333</v>
      </c>
      <c r="M547"/>
      <c r="N547">
        <f>F541</f>
        <v>0.02</v>
      </c>
      <c r="O547"/>
      <c r="P547">
        <f>H547*J547*L547*N547</f>
        <v>0.14666666666666667</v>
      </c>
      <c r="Q547"/>
      <c r="R547">
        <f>P547/220</f>
        <v>6.6666666666666664E-4</v>
      </c>
      <c r="S547"/>
      <c r="T547" s="446">
        <f ca="1">IFERROR(VLOOKUP(B547,MO_Matriz,5,0),"")</f>
        <v>7040.14</v>
      </c>
      <c r="U547" s="446">
        <f ca="1">R547*T547</f>
        <v>4.6934266666666664</v>
      </c>
      <c r="V547"/>
      <c r="W547"/>
      <c r="X547"/>
      <c r="Y547"/>
      <c r="Z547"/>
      <c r="AA547"/>
      <c r="AB547"/>
      <c r="AC547"/>
      <c r="AD547"/>
      <c r="AE547"/>
    </row>
    <row r="548" spans="1:31" x14ac:dyDescent="0.25">
      <c r="A548"/>
      <c r="B548" s="39" t="s">
        <v>59</v>
      </c>
      <c r="C548" t="str">
        <f ca="1">IFERROR(VLOOKUP(B548,MO_Matriz,2,0),"")</f>
        <v>Auxiliar</v>
      </c>
      <c r="D548"/>
      <c r="E548"/>
      <c r="F548" s="39" t="str">
        <f ca="1">IFERROR(VLOOKUP(B548,MO_Matriz,3,0),"")</f>
        <v>A</v>
      </c>
      <c r="G548"/>
      <c r="H548">
        <f>$C$541</f>
        <v>1</v>
      </c>
      <c r="I548"/>
      <c r="J548">
        <v>2</v>
      </c>
      <c r="K548"/>
      <c r="L548">
        <f>[1]Listas!$B$6</f>
        <v>7.333333333333333</v>
      </c>
      <c r="M548"/>
      <c r="N548">
        <f>F541</f>
        <v>0.02</v>
      </c>
      <c r="O548"/>
      <c r="P548">
        <f t="shared" ref="P548" si="14">H548*J548*L548*N548</f>
        <v>0.29333333333333333</v>
      </c>
      <c r="Q548"/>
      <c r="R548">
        <f t="shared" ref="R548" si="15">P548/220</f>
        <v>1.3333333333333333E-3</v>
      </c>
      <c r="S548"/>
      <c r="T548" s="446">
        <f ca="1">IFERROR(VLOOKUP(B548,MO_Matriz,5,0),"")</f>
        <v>4276.41</v>
      </c>
      <c r="U548" s="446">
        <f t="shared" ref="U548" ca="1" si="16">R548*T548</f>
        <v>5.7018800000000001</v>
      </c>
      <c r="V548"/>
      <c r="W548"/>
      <c r="X548"/>
      <c r="Y548"/>
      <c r="Z548"/>
      <c r="AA548"/>
      <c r="AB548"/>
      <c r="AC548"/>
      <c r="AD548"/>
      <c r="AE548"/>
    </row>
    <row r="549" spans="1:31" x14ac:dyDescent="0.25">
      <c r="A549"/>
      <c r="B549"/>
      <c r="C549"/>
      <c r="D549"/>
      <c r="E549"/>
      <c r="F549"/>
      <c r="G549"/>
      <c r="H549"/>
      <c r="I549"/>
      <c r="J549"/>
      <c r="K549"/>
      <c r="L549"/>
      <c r="M549"/>
      <c r="N549"/>
      <c r="O549"/>
      <c r="P549"/>
      <c r="Q549"/>
      <c r="R549"/>
      <c r="S549"/>
      <c r="T549" s="447" t="s">
        <v>329</v>
      </c>
      <c r="U549" s="448">
        <f ca="1">SUM(U547:U548)</f>
        <v>10.395306666666666</v>
      </c>
      <c r="V549"/>
      <c r="W549"/>
      <c r="X549"/>
      <c r="Y549"/>
      <c r="Z549"/>
      <c r="AA549"/>
      <c r="AB549"/>
      <c r="AC549"/>
      <c r="AD549"/>
      <c r="AE549"/>
    </row>
    <row r="550" spans="1:31" x14ac:dyDescent="0.25">
      <c r="A550" s="39" t="s">
        <v>339</v>
      </c>
      <c r="B550" t="s">
        <v>340</v>
      </c>
      <c r="C550"/>
      <c r="D550"/>
      <c r="E550"/>
      <c r="F550"/>
      <c r="G550"/>
      <c r="H550"/>
      <c r="I550"/>
      <c r="J550"/>
      <c r="K550"/>
      <c r="L550"/>
      <c r="M550"/>
      <c r="N550"/>
      <c r="O550"/>
      <c r="P550"/>
      <c r="Q550"/>
      <c r="R550"/>
      <c r="S550"/>
      <c r="T550"/>
      <c r="U550"/>
      <c r="V550"/>
      <c r="W550"/>
      <c r="X550"/>
      <c r="Y550"/>
      <c r="Z550"/>
      <c r="AA550"/>
      <c r="AB550"/>
      <c r="AC550"/>
      <c r="AD550"/>
      <c r="AE550"/>
    </row>
    <row r="551" spans="1:31" x14ac:dyDescent="0.25">
      <c r="A551"/>
      <c r="B551" s="39" t="s">
        <v>360</v>
      </c>
      <c r="C551" t="s">
        <v>15</v>
      </c>
      <c r="D551"/>
      <c r="E551"/>
      <c r="F551" s="39" t="s">
        <v>31</v>
      </c>
      <c r="G551" s="39" t="s">
        <v>224</v>
      </c>
      <c r="H551" s="39" t="s">
        <v>361</v>
      </c>
      <c r="I551" s="39" t="s">
        <v>328</v>
      </c>
      <c r="J551" s="449" t="s">
        <v>362</v>
      </c>
      <c r="K551"/>
      <c r="L551"/>
      <c r="M551"/>
      <c r="N551"/>
      <c r="O551"/>
      <c r="P551"/>
      <c r="Q551"/>
      <c r="R551"/>
      <c r="S551"/>
      <c r="T551"/>
      <c r="U551"/>
      <c r="V551"/>
      <c r="W551"/>
      <c r="X551"/>
      <c r="Y551"/>
      <c r="Z551"/>
      <c r="AA551"/>
      <c r="AB551"/>
      <c r="AC551"/>
      <c r="AD551"/>
      <c r="AE551"/>
    </row>
    <row r="552" spans="1:31" x14ac:dyDescent="0.25">
      <c r="A552"/>
      <c r="B552" s="39"/>
      <c r="C552"/>
      <c r="D552"/>
      <c r="E552"/>
      <c r="F552" s="39" t="s">
        <v>363</v>
      </c>
      <c r="G552" s="39" t="s">
        <v>330</v>
      </c>
      <c r="H552" s="39" t="s">
        <v>364</v>
      </c>
      <c r="I552" s="39" t="s">
        <v>332</v>
      </c>
      <c r="J552" s="449" t="s">
        <v>365</v>
      </c>
      <c r="K552"/>
      <c r="L552"/>
      <c r="M552"/>
      <c r="N552"/>
      <c r="O552"/>
      <c r="P552"/>
      <c r="Q552"/>
      <c r="R552"/>
      <c r="S552"/>
      <c r="T552"/>
      <c r="U552"/>
      <c r="V552"/>
      <c r="W552"/>
      <c r="X552"/>
      <c r="Y552"/>
      <c r="Z552"/>
      <c r="AA552"/>
      <c r="AB552"/>
      <c r="AC552"/>
      <c r="AD552"/>
      <c r="AE552"/>
    </row>
    <row r="553" spans="1:31" x14ac:dyDescent="0.25">
      <c r="A553"/>
      <c r="B553" s="39" t="s">
        <v>194</v>
      </c>
      <c r="C553" t="str">
        <f ca="1">IFERROR(VLOOKUP(B553,Veiculo_Equip_Matriz,2,0),"")</f>
        <v>Veículo tipo van furgão com capacidade de 1,38 t - 100 kW (com motorista)</v>
      </c>
      <c r="D553"/>
      <c r="E553"/>
      <c r="F553">
        <f>C541</f>
        <v>1</v>
      </c>
      <c r="G553">
        <f>F542</f>
        <v>2.3333333333333334E-2</v>
      </c>
      <c r="H553">
        <f>G553/30</f>
        <v>7.7777777777777784E-4</v>
      </c>
      <c r="I553" s="446">
        <f ca="1">IFERROR(VLOOKUP(B553,Veiculo_Equip_Matriz,10,0),"")</f>
        <v>10762.441800000001</v>
      </c>
      <c r="J553" s="448">
        <f ca="1">F553*H553*I553</f>
        <v>8.3707880666666679</v>
      </c>
      <c r="K553"/>
      <c r="L553"/>
      <c r="M553"/>
      <c r="N553"/>
      <c r="O553"/>
      <c r="P553"/>
      <c r="Q553"/>
      <c r="R553"/>
      <c r="S553"/>
      <c r="T553"/>
      <c r="U553"/>
      <c r="V553"/>
      <c r="W553"/>
      <c r="X553"/>
      <c r="Y553"/>
      <c r="Z553"/>
      <c r="AA553"/>
      <c r="AB553"/>
      <c r="AC553"/>
      <c r="AD553"/>
      <c r="AE553"/>
    </row>
    <row r="554" spans="1:31" x14ac:dyDescent="0.25">
      <c r="A554"/>
      <c r="B554"/>
      <c r="C554"/>
      <c r="D554"/>
      <c r="E554"/>
      <c r="F554"/>
      <c r="G554"/>
      <c r="H554"/>
      <c r="I554"/>
      <c r="J554"/>
      <c r="K554"/>
      <c r="L554"/>
      <c r="M554"/>
      <c r="N554"/>
      <c r="O554"/>
      <c r="P554"/>
      <c r="Q554"/>
      <c r="R554"/>
      <c r="S554"/>
      <c r="T554"/>
      <c r="U554"/>
      <c r="V554"/>
      <c r="W554"/>
      <c r="X554"/>
      <c r="Y554"/>
      <c r="Z554"/>
      <c r="AA554"/>
      <c r="AB554"/>
      <c r="AC554"/>
      <c r="AD554"/>
      <c r="AE554"/>
    </row>
    <row r="555" spans="1:31" x14ac:dyDescent="0.25">
      <c r="A555" s="39" t="s">
        <v>348</v>
      </c>
      <c r="B555" t="s">
        <v>349</v>
      </c>
      <c r="C555"/>
      <c r="D555"/>
      <c r="E555"/>
      <c r="F555"/>
      <c r="G555"/>
      <c r="H555"/>
      <c r="I555"/>
      <c r="J555"/>
      <c r="K555"/>
      <c r="L555"/>
      <c r="M555"/>
      <c r="N555"/>
      <c r="O555"/>
      <c r="P555"/>
      <c r="Q555"/>
      <c r="R555"/>
      <c r="S555"/>
      <c r="T555"/>
      <c r="U555"/>
      <c r="V555"/>
      <c r="W555"/>
      <c r="X555"/>
      <c r="Y555"/>
      <c r="Z555"/>
      <c r="AA555"/>
      <c r="AB555"/>
      <c r="AC555"/>
      <c r="AD555"/>
      <c r="AE555"/>
    </row>
    <row r="556" spans="1:31" x14ac:dyDescent="0.25">
      <c r="A556" s="39" t="s">
        <v>451</v>
      </c>
      <c r="B556" t="s">
        <v>452</v>
      </c>
      <c r="C556"/>
      <c r="D556"/>
      <c r="E556"/>
      <c r="F556"/>
      <c r="G556"/>
      <c r="H556"/>
      <c r="I556"/>
      <c r="J556"/>
      <c r="K556"/>
      <c r="L556"/>
      <c r="M556"/>
      <c r="N556"/>
      <c r="O556"/>
      <c r="P556"/>
      <c r="Q556"/>
      <c r="R556"/>
      <c r="S556"/>
      <c r="T556"/>
      <c r="U556"/>
      <c r="V556"/>
      <c r="W556"/>
      <c r="X556"/>
      <c r="Y556"/>
      <c r="Z556"/>
      <c r="AA556"/>
      <c r="AB556"/>
      <c r="AC556"/>
      <c r="AD556"/>
      <c r="AE556"/>
    </row>
    <row r="557" spans="1:31" x14ac:dyDescent="0.25">
      <c r="A557" s="39"/>
      <c r="B557" t="s">
        <v>360</v>
      </c>
      <c r="C557" t="s">
        <v>15</v>
      </c>
      <c r="D557"/>
      <c r="E557"/>
      <c r="F557" t="s">
        <v>321</v>
      </c>
      <c r="G557"/>
      <c r="H557" t="s">
        <v>453</v>
      </c>
      <c r="I557"/>
      <c r="J557" t="s">
        <v>454</v>
      </c>
      <c r="K557"/>
      <c r="L557"/>
      <c r="M557"/>
      <c r="N557"/>
      <c r="O557"/>
      <c r="P557"/>
      <c r="Q557"/>
      <c r="R557"/>
      <c r="S557"/>
      <c r="T557"/>
      <c r="U557"/>
      <c r="V557"/>
      <c r="W557"/>
      <c r="X557"/>
      <c r="Y557"/>
      <c r="Z557"/>
      <c r="AA557"/>
      <c r="AB557"/>
      <c r="AC557"/>
      <c r="AD557"/>
      <c r="AE557"/>
    </row>
    <row r="558" spans="1:31" x14ac:dyDescent="0.25">
      <c r="A558" s="39"/>
      <c r="B558" s="43" t="str">
        <f>B547</f>
        <v>P8147</v>
      </c>
      <c r="C558" t="str">
        <f ca="1">IFERROR(VLOOKUP(B558,MO_Matriz,2,0),"")</f>
        <v>Técnico de obras</v>
      </c>
      <c r="D558"/>
      <c r="E558"/>
      <c r="F558" s="39" t="str">
        <f ca="1">IFERROR(VLOOKUP(B558,MO_Matriz,3,0),"")</f>
        <v>T</v>
      </c>
      <c r="G558"/>
      <c r="H558" t="s">
        <v>1229</v>
      </c>
      <c r="I558"/>
      <c r="J558">
        <v>0</v>
      </c>
      <c r="K558"/>
      <c r="L558"/>
      <c r="M558"/>
      <c r="N558"/>
      <c r="O558"/>
      <c r="P558"/>
      <c r="Q558"/>
      <c r="R558"/>
      <c r="S558"/>
      <c r="T558"/>
      <c r="U558"/>
      <c r="V558"/>
      <c r="W558"/>
      <c r="X558"/>
      <c r="Y558"/>
      <c r="Z558"/>
      <c r="AA558"/>
      <c r="AB558"/>
      <c r="AC558"/>
      <c r="AD558"/>
      <c r="AE558"/>
    </row>
    <row r="559" spans="1:31" x14ac:dyDescent="0.25">
      <c r="A559" s="39"/>
      <c r="B559" s="39" t="str">
        <f>B548</f>
        <v>P8025</v>
      </c>
      <c r="C559" t="str">
        <f ca="1">IFERROR(VLOOKUP(B559,MO_Matriz,2,0),"")</f>
        <v>Auxiliar</v>
      </c>
      <c r="D559"/>
      <c r="E559"/>
      <c r="F559" s="39" t="str">
        <f ca="1">IFERROR(VLOOKUP(B559,MO_Matriz,3,0),"")</f>
        <v>A</v>
      </c>
      <c r="G559"/>
      <c r="H559" t="s">
        <v>1229</v>
      </c>
      <c r="I559"/>
      <c r="J559">
        <v>0</v>
      </c>
      <c r="K559"/>
      <c r="L559"/>
      <c r="M559"/>
      <c r="N559"/>
      <c r="O559"/>
      <c r="P559"/>
      <c r="Q559"/>
      <c r="R559"/>
      <c r="S559"/>
      <c r="T559"/>
      <c r="U559"/>
      <c r="V559"/>
      <c r="W559"/>
      <c r="X559"/>
      <c r="Y559"/>
      <c r="Z559"/>
      <c r="AA559"/>
      <c r="AB559"/>
      <c r="AC559"/>
      <c r="AD559"/>
      <c r="AE559"/>
    </row>
    <row r="560" spans="1:31" x14ac:dyDescent="0.25">
      <c r="A560" s="39"/>
      <c r="B560" s="39" t="s">
        <v>259</v>
      </c>
      <c r="C560" t="s">
        <v>1236</v>
      </c>
      <c r="D560"/>
      <c r="E560"/>
      <c r="F560" s="39" t="s">
        <v>61</v>
      </c>
      <c r="G560"/>
      <c r="H560" t="s">
        <v>1229</v>
      </c>
      <c r="I560"/>
      <c r="J560">
        <v>0</v>
      </c>
      <c r="K560"/>
      <c r="L560"/>
      <c r="M560"/>
      <c r="N560"/>
      <c r="O560"/>
      <c r="P560"/>
      <c r="Q560"/>
      <c r="R560"/>
      <c r="S560"/>
      <c r="T560"/>
      <c r="U560"/>
      <c r="V560"/>
      <c r="W560"/>
      <c r="X560"/>
      <c r="Y560"/>
      <c r="Z560"/>
      <c r="AA560"/>
      <c r="AB560"/>
      <c r="AC560"/>
      <c r="AD560"/>
      <c r="AE560"/>
    </row>
    <row r="561" spans="1:31" x14ac:dyDescent="0.25">
      <c r="A561"/>
      <c r="B561"/>
      <c r="C561"/>
      <c r="D561"/>
      <c r="E561"/>
      <c r="F561"/>
      <c r="G561"/>
      <c r="H561"/>
      <c r="I561" t="s">
        <v>329</v>
      </c>
      <c r="J561">
        <f>SUM(J558:J560)</f>
        <v>0</v>
      </c>
      <c r="K561"/>
      <c r="L561"/>
      <c r="M561"/>
      <c r="N561"/>
      <c r="O561"/>
      <c r="P561"/>
      <c r="Q561"/>
      <c r="R561"/>
      <c r="S561"/>
      <c r="T561"/>
      <c r="U561"/>
      <c r="V561"/>
      <c r="W561"/>
      <c r="X561"/>
      <c r="Y561"/>
      <c r="Z561"/>
      <c r="AA561"/>
      <c r="AB561"/>
      <c r="AC561"/>
      <c r="AD561"/>
      <c r="AE561"/>
    </row>
    <row r="562" spans="1:31" x14ac:dyDescent="0.25">
      <c r="A562"/>
      <c r="B562"/>
      <c r="C562"/>
      <c r="D562"/>
      <c r="E562"/>
      <c r="F562"/>
      <c r="G562"/>
      <c r="H562"/>
      <c r="I562"/>
      <c r="J562"/>
      <c r="K562"/>
      <c r="L562"/>
      <c r="M562"/>
      <c r="N562"/>
      <c r="O562"/>
      <c r="P562"/>
      <c r="Q562"/>
      <c r="R562"/>
      <c r="S562"/>
      <c r="T562"/>
      <c r="U562"/>
      <c r="V562"/>
      <c r="W562"/>
      <c r="X562"/>
      <c r="Y562"/>
      <c r="Z562"/>
      <c r="AA562"/>
      <c r="AB562"/>
      <c r="AC562"/>
      <c r="AD562"/>
      <c r="AE562"/>
    </row>
    <row r="563" spans="1:31" x14ac:dyDescent="0.25">
      <c r="A563" s="39" t="s">
        <v>456</v>
      </c>
      <c r="B563" t="s">
        <v>457</v>
      </c>
      <c r="C563"/>
      <c r="D563"/>
      <c r="E563"/>
      <c r="F563"/>
      <c r="G563"/>
      <c r="H563"/>
      <c r="I563"/>
      <c r="J563"/>
      <c r="K563"/>
      <c r="L563"/>
      <c r="M563"/>
      <c r="N563"/>
      <c r="O563"/>
      <c r="P563"/>
      <c r="Q563"/>
      <c r="R563"/>
      <c r="S563"/>
      <c r="T563"/>
      <c r="U563"/>
      <c r="V563"/>
      <c r="W563"/>
      <c r="X563"/>
      <c r="Y563"/>
      <c r="Z563"/>
      <c r="AA563"/>
      <c r="AB563"/>
      <c r="AC563"/>
      <c r="AD563"/>
      <c r="AE563"/>
    </row>
    <row r="564" spans="1:31" x14ac:dyDescent="0.25">
      <c r="A564" s="39"/>
      <c r="B564" t="s">
        <v>458</v>
      </c>
      <c r="C564"/>
      <c r="D564"/>
      <c r="E564"/>
      <c r="F564"/>
      <c r="G564"/>
      <c r="H564"/>
      <c r="I564"/>
      <c r="J564"/>
      <c r="K564"/>
      <c r="L564"/>
      <c r="M564"/>
      <c r="N564"/>
      <c r="O564"/>
      <c r="P564"/>
      <c r="Q564"/>
      <c r="R564"/>
      <c r="S564"/>
      <c r="T564"/>
      <c r="U564"/>
      <c r="V564"/>
      <c r="W564"/>
      <c r="X564"/>
      <c r="Y564"/>
      <c r="Z564"/>
      <c r="AA564"/>
      <c r="AB564"/>
      <c r="AC564"/>
      <c r="AD564"/>
      <c r="AE564"/>
    </row>
    <row r="565" spans="1:31" x14ac:dyDescent="0.25">
      <c r="A565" s="39"/>
      <c r="B565"/>
      <c r="C565"/>
      <c r="D565"/>
      <c r="E565"/>
      <c r="F565"/>
      <c r="G565"/>
      <c r="H565"/>
      <c r="I565"/>
      <c r="J565"/>
      <c r="K565"/>
      <c r="L565"/>
      <c r="M565"/>
      <c r="N565"/>
      <c r="O565"/>
      <c r="P565"/>
      <c r="Q565"/>
      <c r="R565"/>
      <c r="S565"/>
      <c r="T565"/>
      <c r="U565"/>
      <c r="V565"/>
      <c r="W565"/>
      <c r="X565"/>
      <c r="Y565"/>
      <c r="Z565"/>
      <c r="AA565"/>
      <c r="AB565"/>
      <c r="AC565"/>
      <c r="AD565"/>
      <c r="AE565"/>
    </row>
    <row r="566" spans="1:31" x14ac:dyDescent="0.25">
      <c r="A566" s="39"/>
      <c r="B566" t="s">
        <v>360</v>
      </c>
      <c r="C566" t="s">
        <v>15</v>
      </c>
      <c r="D566"/>
      <c r="E566"/>
      <c r="F566" t="s">
        <v>321</v>
      </c>
      <c r="G566"/>
      <c r="H566" t="s">
        <v>453</v>
      </c>
      <c r="I566"/>
      <c r="J566" t="s">
        <v>454</v>
      </c>
      <c r="K566"/>
      <c r="L566"/>
      <c r="M566"/>
      <c r="N566"/>
      <c r="O566"/>
      <c r="P566"/>
      <c r="Q566"/>
      <c r="R566"/>
      <c r="S566"/>
      <c r="T566"/>
      <c r="U566"/>
      <c r="V566"/>
      <c r="W566"/>
      <c r="X566"/>
      <c r="Y566"/>
      <c r="Z566"/>
      <c r="AA566"/>
      <c r="AB566"/>
      <c r="AC566"/>
      <c r="AD566"/>
      <c r="AE566"/>
    </row>
    <row r="567" spans="1:31" x14ac:dyDescent="0.25">
      <c r="A567" s="39"/>
      <c r="B567" s="39" t="str">
        <f>B547</f>
        <v>P8147</v>
      </c>
      <c r="C567" t="str">
        <f ca="1">IFERROR(VLOOKUP(B567,MO_Matriz,2,0),"")</f>
        <v>Técnico de obras</v>
      </c>
      <c r="D567"/>
      <c r="E567"/>
      <c r="F567" s="39" t="str">
        <f ca="1">IFERROR(VLOOKUP(B567,MO_Matriz,3,0),"")</f>
        <v>T</v>
      </c>
      <c r="G567"/>
      <c r="H567" t="s">
        <v>1229</v>
      </c>
      <c r="I567"/>
      <c r="J567">
        <f>J558</f>
        <v>0</v>
      </c>
      <c r="K567"/>
      <c r="L567"/>
      <c r="M567"/>
      <c r="N567"/>
      <c r="O567"/>
      <c r="P567"/>
      <c r="Q567"/>
      <c r="R567"/>
      <c r="S567"/>
      <c r="T567"/>
      <c r="U567"/>
      <c r="V567"/>
      <c r="W567"/>
      <c r="X567"/>
      <c r="Y567"/>
      <c r="Z567"/>
      <c r="AA567"/>
      <c r="AB567"/>
      <c r="AC567"/>
      <c r="AD567"/>
      <c r="AE567"/>
    </row>
    <row r="568" spans="1:31" x14ac:dyDescent="0.25">
      <c r="A568" s="39"/>
      <c r="B568" s="39" t="str">
        <f>B548</f>
        <v>P8025</v>
      </c>
      <c r="C568" t="str">
        <f ca="1">IFERROR(VLOOKUP(B568,MO_Matriz,2,0),"")</f>
        <v>Auxiliar</v>
      </c>
      <c r="D568"/>
      <c r="E568"/>
      <c r="F568" s="39" t="str">
        <f ca="1">IFERROR(VLOOKUP(B568,MO_Matriz,3,0),"")</f>
        <v>A</v>
      </c>
      <c r="G568"/>
      <c r="H568" t="s">
        <v>1229</v>
      </c>
      <c r="I568"/>
      <c r="J568">
        <v>0</v>
      </c>
      <c r="K568"/>
      <c r="L568"/>
      <c r="M568"/>
      <c r="N568"/>
      <c r="O568"/>
      <c r="P568"/>
      <c r="Q568"/>
      <c r="R568"/>
      <c r="S568"/>
      <c r="T568"/>
      <c r="U568"/>
      <c r="V568"/>
      <c r="W568"/>
      <c r="X568"/>
      <c r="Y568"/>
      <c r="Z568"/>
      <c r="AA568"/>
      <c r="AB568"/>
      <c r="AC568"/>
      <c r="AD568"/>
      <c r="AE568"/>
    </row>
    <row r="569" spans="1:31" x14ac:dyDescent="0.25">
      <c r="A569" s="39"/>
      <c r="B569" s="39" t="s">
        <v>259</v>
      </c>
      <c r="C569" t="s">
        <v>1236</v>
      </c>
      <c r="D569"/>
      <c r="E569"/>
      <c r="F569" s="39" t="s">
        <v>61</v>
      </c>
      <c r="G569"/>
      <c r="H569" t="s">
        <v>455</v>
      </c>
      <c r="I569"/>
      <c r="J569">
        <v>0</v>
      </c>
      <c r="K569"/>
      <c r="L569"/>
      <c r="M569"/>
      <c r="N569"/>
      <c r="O569"/>
      <c r="P569"/>
      <c r="Q569"/>
      <c r="R569"/>
      <c r="S569"/>
      <c r="T569"/>
      <c r="U569"/>
      <c r="V569"/>
      <c r="W569"/>
      <c r="X569"/>
      <c r="Y569"/>
      <c r="Z569"/>
      <c r="AA569"/>
      <c r="AB569"/>
      <c r="AC569"/>
      <c r="AD569"/>
      <c r="AE569"/>
    </row>
    <row r="570" spans="1:31" x14ac:dyDescent="0.25">
      <c r="A570"/>
      <c r="B570"/>
      <c r="C570"/>
      <c r="D570"/>
      <c r="E570"/>
      <c r="F570"/>
      <c r="G570"/>
      <c r="H570"/>
      <c r="I570" t="s">
        <v>329</v>
      </c>
      <c r="J570">
        <f>SUM(J567:J569)</f>
        <v>0</v>
      </c>
      <c r="K570"/>
      <c r="L570"/>
      <c r="M570"/>
      <c r="N570"/>
      <c r="O570"/>
      <c r="P570"/>
      <c r="Q570"/>
      <c r="R570"/>
      <c r="S570"/>
      <c r="T570"/>
      <c r="U570"/>
      <c r="V570"/>
      <c r="W570"/>
      <c r="X570"/>
      <c r="Y570"/>
      <c r="Z570"/>
      <c r="AA570"/>
      <c r="AB570"/>
      <c r="AC570"/>
      <c r="AD570"/>
      <c r="AE570"/>
    </row>
    <row r="571" spans="1:31" x14ac:dyDescent="0.25">
      <c r="A571"/>
      <c r="B571"/>
      <c r="C571"/>
      <c r="D571"/>
      <c r="E571"/>
      <c r="F571"/>
      <c r="G571"/>
      <c r="H571"/>
      <c r="I571"/>
      <c r="J571"/>
      <c r="K571"/>
      <c r="L571"/>
      <c r="M571"/>
      <c r="N571"/>
      <c r="O571"/>
      <c r="P571"/>
      <c r="Q571"/>
      <c r="R571"/>
      <c r="S571"/>
      <c r="T571"/>
      <c r="U571"/>
      <c r="V571"/>
      <c r="W571"/>
      <c r="X571"/>
      <c r="Y571"/>
      <c r="Z571"/>
      <c r="AA571"/>
      <c r="AB571"/>
      <c r="AC571"/>
      <c r="AD571"/>
      <c r="AE571"/>
    </row>
    <row r="572" spans="1:31" x14ac:dyDescent="0.25">
      <c r="A572" s="39" t="s">
        <v>350</v>
      </c>
      <c r="B572" s="450" t="s">
        <v>351</v>
      </c>
      <c r="C572"/>
      <c r="D572"/>
      <c r="E572"/>
      <c r="F572"/>
      <c r="G572"/>
      <c r="H572"/>
      <c r="I572"/>
      <c r="J572"/>
      <c r="K572"/>
      <c r="L572"/>
      <c r="M572"/>
      <c r="N572"/>
      <c r="O572"/>
      <c r="P572"/>
      <c r="Q572"/>
      <c r="R572"/>
      <c r="S572"/>
      <c r="T572"/>
      <c r="U572"/>
      <c r="V572"/>
      <c r="W572"/>
      <c r="X572"/>
      <c r="Y572"/>
      <c r="Z572"/>
      <c r="AA572"/>
      <c r="AB572"/>
      <c r="AC572"/>
      <c r="AD572"/>
      <c r="AE572"/>
    </row>
    <row r="573" spans="1:31" x14ac:dyDescent="0.25">
      <c r="A573" s="39"/>
      <c r="B573" t="s">
        <v>15</v>
      </c>
      <c r="C573"/>
      <c r="D573"/>
      <c r="E573"/>
      <c r="F573" t="s">
        <v>368</v>
      </c>
      <c r="G573" t="s">
        <v>357</v>
      </c>
      <c r="H573"/>
      <c r="I573"/>
      <c r="J573"/>
      <c r="K573"/>
      <c r="L573"/>
      <c r="M573"/>
      <c r="N573"/>
      <c r="O573"/>
      <c r="P573"/>
      <c r="Q573"/>
      <c r="R573"/>
      <c r="S573"/>
      <c r="T573"/>
      <c r="U573"/>
      <c r="V573"/>
      <c r="W573"/>
      <c r="X573"/>
      <c r="Y573"/>
      <c r="Z573"/>
      <c r="AA573"/>
      <c r="AB573"/>
      <c r="AC573"/>
      <c r="AD573"/>
      <c r="AE573"/>
    </row>
    <row r="574" spans="1:31" x14ac:dyDescent="0.25">
      <c r="A574" s="39"/>
      <c r="B574" t="s">
        <v>369</v>
      </c>
      <c r="C574"/>
      <c r="D574"/>
      <c r="E574"/>
      <c r="F574" s="453">
        <v>43344</v>
      </c>
      <c r="G574">
        <f>Listas!S3</f>
        <v>223.666</v>
      </c>
      <c r="H574"/>
      <c r="I574"/>
      <c r="J574"/>
      <c r="K574"/>
      <c r="L574"/>
      <c r="M574"/>
      <c r="N574"/>
      <c r="O574"/>
      <c r="P574"/>
      <c r="Q574"/>
      <c r="R574"/>
      <c r="S574"/>
      <c r="T574"/>
      <c r="U574"/>
      <c r="V574"/>
      <c r="W574"/>
      <c r="X574"/>
      <c r="Y574"/>
      <c r="Z574"/>
      <c r="AA574"/>
      <c r="AB574"/>
      <c r="AC574"/>
      <c r="AD574"/>
      <c r="AE574"/>
    </row>
    <row r="575" spans="1:31" x14ac:dyDescent="0.25">
      <c r="A575" s="39"/>
      <c r="B575" t="s">
        <v>369</v>
      </c>
      <c r="C575"/>
      <c r="D575"/>
      <c r="E575"/>
      <c r="F575" s="453">
        <v>45748</v>
      </c>
      <c r="G575">
        <f>Listas!AI3</f>
        <v>303.67500000000001</v>
      </c>
      <c r="H575"/>
      <c r="I575"/>
      <c r="J575"/>
      <c r="K575"/>
      <c r="L575"/>
      <c r="M575"/>
      <c r="N575"/>
      <c r="O575"/>
      <c r="P575"/>
      <c r="Q575"/>
      <c r="R575"/>
      <c r="S575"/>
      <c r="T575"/>
      <c r="U575"/>
      <c r="V575"/>
      <c r="W575"/>
      <c r="X575"/>
      <c r="Y575"/>
      <c r="Z575"/>
      <c r="AA575"/>
      <c r="AB575"/>
      <c r="AC575"/>
      <c r="AD575"/>
      <c r="AE575"/>
    </row>
    <row r="576" spans="1:31" x14ac:dyDescent="0.25">
      <c r="A576" s="39"/>
      <c r="B576" t="s">
        <v>370</v>
      </c>
      <c r="C576"/>
      <c r="D576"/>
      <c r="E576"/>
      <c r="F576" s="39" t="s">
        <v>259</v>
      </c>
      <c r="G576" s="454">
        <f>G575/G574-1</f>
        <v>0.35771641644237406</v>
      </c>
      <c r="H576"/>
      <c r="I576"/>
      <c r="J576"/>
      <c r="K576"/>
      <c r="L576"/>
      <c r="M576"/>
      <c r="N576"/>
      <c r="O576"/>
      <c r="P576"/>
      <c r="Q576"/>
      <c r="R576"/>
      <c r="S576"/>
      <c r="T576"/>
      <c r="U576"/>
      <c r="V576"/>
      <c r="W576"/>
      <c r="X576"/>
      <c r="Y576"/>
      <c r="Z576"/>
      <c r="AA576"/>
      <c r="AB576"/>
      <c r="AC576"/>
      <c r="AD576"/>
      <c r="AE576"/>
    </row>
    <row r="577" spans="1:31" x14ac:dyDescent="0.25">
      <c r="A577" s="39"/>
      <c r="B577" t="s">
        <v>1237</v>
      </c>
      <c r="C577"/>
      <c r="D577"/>
      <c r="E577"/>
      <c r="F577" s="453">
        <v>43344</v>
      </c>
      <c r="G577" s="446">
        <f>'Edital DNIT 311-19 (Custo VDR)'!B29</f>
        <v>25421</v>
      </c>
      <c r="H577"/>
      <c r="I577"/>
      <c r="J577"/>
      <c r="K577"/>
      <c r="L577"/>
      <c r="M577"/>
      <c r="N577"/>
      <c r="O577"/>
      <c r="P577"/>
      <c r="Q577"/>
      <c r="R577"/>
      <c r="S577"/>
      <c r="T577"/>
      <c r="U577"/>
      <c r="V577"/>
      <c r="W577"/>
      <c r="X577"/>
      <c r="Y577"/>
      <c r="Z577"/>
      <c r="AA577"/>
      <c r="AB577"/>
      <c r="AC577"/>
      <c r="AD577"/>
      <c r="AE577"/>
    </row>
    <row r="578" spans="1:31" x14ac:dyDescent="0.25">
      <c r="A578" s="39"/>
      <c r="B578" t="s">
        <v>1237</v>
      </c>
      <c r="C578"/>
      <c r="D578"/>
      <c r="E578"/>
      <c r="F578" s="453">
        <v>45748</v>
      </c>
      <c r="G578" s="446">
        <f>ROUND(G577*(1+G576), 2)</f>
        <v>34514.51</v>
      </c>
      <c r="H578"/>
      <c r="I578"/>
      <c r="J578"/>
      <c r="K578"/>
      <c r="L578"/>
      <c r="M578"/>
      <c r="N578"/>
      <c r="O578"/>
      <c r="P578"/>
      <c r="Q578"/>
      <c r="R578"/>
      <c r="S578"/>
      <c r="T578"/>
      <c r="U578"/>
      <c r="V578"/>
      <c r="W578"/>
      <c r="X578"/>
      <c r="Y578"/>
      <c r="Z578"/>
      <c r="AA578"/>
      <c r="AB578"/>
      <c r="AC578"/>
      <c r="AD578"/>
      <c r="AE578"/>
    </row>
    <row r="579" spans="1:31" x14ac:dyDescent="0.25">
      <c r="A579" s="39"/>
      <c r="B579" s="450"/>
      <c r="C579"/>
      <c r="D579"/>
      <c r="E579"/>
      <c r="F579"/>
      <c r="G579"/>
      <c r="H579"/>
      <c r="I579"/>
      <c r="J579"/>
      <c r="K579"/>
      <c r="L579"/>
      <c r="M579"/>
      <c r="N579"/>
      <c r="O579"/>
      <c r="P579"/>
      <c r="Q579"/>
      <c r="R579"/>
      <c r="S579"/>
      <c r="T579"/>
      <c r="U579"/>
      <c r="V579"/>
      <c r="W579"/>
      <c r="X579"/>
      <c r="Y579"/>
      <c r="Z579"/>
      <c r="AA579"/>
      <c r="AB579"/>
      <c r="AC579"/>
      <c r="AD579"/>
      <c r="AE579"/>
    </row>
    <row r="580" spans="1:31" x14ac:dyDescent="0.25">
      <c r="A580"/>
      <c r="B580" s="39" t="s">
        <v>320</v>
      </c>
      <c r="C580" t="s">
        <v>15</v>
      </c>
      <c r="D580"/>
      <c r="E580" s="39" t="s">
        <v>31</v>
      </c>
      <c r="F580"/>
      <c r="G580" s="39" t="s">
        <v>478</v>
      </c>
      <c r="H580"/>
      <c r="I580" s="39" t="s">
        <v>202</v>
      </c>
      <c r="J580" s="39" t="s">
        <v>224</v>
      </c>
      <c r="K580" s="39" t="s">
        <v>361</v>
      </c>
      <c r="L580" s="449" t="s">
        <v>396</v>
      </c>
      <c r="M580"/>
      <c r="N580" s="39"/>
      <c r="O580"/>
      <c r="P580"/>
      <c r="Q580"/>
      <c r="R580"/>
      <c r="S580"/>
      <c r="T580"/>
      <c r="U580"/>
      <c r="V580"/>
      <c r="W580"/>
      <c r="X580"/>
      <c r="Y580"/>
      <c r="Z580"/>
      <c r="AA580"/>
      <c r="AB580"/>
      <c r="AC580"/>
      <c r="AD580"/>
      <c r="AE580"/>
    </row>
    <row r="581" spans="1:31" x14ac:dyDescent="0.25">
      <c r="A581"/>
      <c r="B581" s="39"/>
      <c r="C581"/>
      <c r="D581"/>
      <c r="E581"/>
      <c r="F581"/>
      <c r="G581" s="39" t="s">
        <v>363</v>
      </c>
      <c r="H581"/>
      <c r="I581" s="39" t="s">
        <v>330</v>
      </c>
      <c r="J581" s="39" t="s">
        <v>331</v>
      </c>
      <c r="K581" s="39" t="s">
        <v>682</v>
      </c>
      <c r="L581" s="449" t="s">
        <v>1231</v>
      </c>
      <c r="M581"/>
      <c r="N581" s="39"/>
      <c r="O581"/>
      <c r="P581"/>
      <c r="Q581"/>
      <c r="R581"/>
      <c r="S581"/>
      <c r="T581"/>
      <c r="U581"/>
      <c r="V581"/>
      <c r="W581"/>
      <c r="X581"/>
      <c r="Y581"/>
      <c r="Z581"/>
      <c r="AA581"/>
      <c r="AB581"/>
      <c r="AC581"/>
      <c r="AD581"/>
      <c r="AE581"/>
    </row>
    <row r="582" spans="1:31" x14ac:dyDescent="0.25">
      <c r="A582"/>
      <c r="B582" s="39" t="s">
        <v>259</v>
      </c>
      <c r="C582" t="s">
        <v>1237</v>
      </c>
      <c r="D582"/>
      <c r="E582" s="39" t="s">
        <v>36</v>
      </c>
      <c r="F582"/>
      <c r="G582" s="446">
        <f>G578</f>
        <v>34514.51</v>
      </c>
      <c r="H582"/>
      <c r="I582">
        <f>C541</f>
        <v>1</v>
      </c>
      <c r="J582">
        <f>F542</f>
        <v>2.3333333333333334E-2</v>
      </c>
      <c r="K582">
        <f>J582/30</f>
        <v>7.7777777777777784E-4</v>
      </c>
      <c r="L582" s="448">
        <f>G582*I582*K582</f>
        <v>26.844618888888892</v>
      </c>
      <c r="M582"/>
      <c r="N582"/>
      <c r="O582"/>
      <c r="P582"/>
      <c r="Q582"/>
      <c r="R582"/>
      <c r="S582"/>
      <c r="T582"/>
      <c r="U582"/>
      <c r="V582"/>
      <c r="W582"/>
      <c r="X582"/>
      <c r="Y582"/>
      <c r="Z582"/>
      <c r="AA582"/>
      <c r="AB582"/>
      <c r="AC582"/>
      <c r="AD582"/>
      <c r="AE582"/>
    </row>
    <row r="583" spans="1:31" x14ac:dyDescent="0.25">
      <c r="A583"/>
      <c r="B583"/>
      <c r="C583"/>
      <c r="D583"/>
      <c r="E583"/>
      <c r="F583"/>
      <c r="G583"/>
      <c r="H583"/>
      <c r="I583"/>
      <c r="J583"/>
      <c r="K583"/>
      <c r="L583"/>
      <c r="M583"/>
      <c r="N583"/>
      <c r="O583"/>
      <c r="P583"/>
      <c r="Q583"/>
      <c r="R583"/>
      <c r="S583"/>
      <c r="T583"/>
      <c r="U583"/>
      <c r="V583"/>
      <c r="W583"/>
      <c r="X583"/>
      <c r="Y583"/>
      <c r="Z583"/>
      <c r="AA583"/>
      <c r="AB583"/>
      <c r="AC583"/>
      <c r="AD583"/>
      <c r="AE583"/>
    </row>
    <row r="584" spans="1:31" x14ac:dyDescent="0.25">
      <c r="A584" s="39" t="s">
        <v>197</v>
      </c>
      <c r="B584" t="s">
        <v>352</v>
      </c>
      <c r="C584"/>
      <c r="D584"/>
      <c r="E584"/>
      <c r="F584"/>
      <c r="G584"/>
      <c r="H584"/>
      <c r="I584"/>
      <c r="J584"/>
      <c r="K584"/>
      <c r="L584"/>
      <c r="M584"/>
      <c r="N584"/>
      <c r="O584"/>
      <c r="P584"/>
      <c r="Q584"/>
      <c r="R584"/>
      <c r="S584"/>
      <c r="T584"/>
      <c r="U584"/>
      <c r="V584"/>
      <c r="W584"/>
      <c r="X584"/>
      <c r="Y584"/>
      <c r="Z584"/>
      <c r="AA584"/>
      <c r="AB584"/>
      <c r="AC584"/>
      <c r="AD584"/>
      <c r="AE584"/>
    </row>
    <row r="585" spans="1:31" x14ac:dyDescent="0.25">
      <c r="A585" s="39" t="s">
        <v>450</v>
      </c>
      <c r="B585" t="s">
        <v>433</v>
      </c>
      <c r="C585"/>
      <c r="D585"/>
      <c r="E585"/>
      <c r="F585"/>
      <c r="G585"/>
      <c r="H585"/>
      <c r="I585"/>
      <c r="J585"/>
      <c r="K585"/>
      <c r="L585"/>
      <c r="M585"/>
      <c r="N585"/>
      <c r="O585"/>
      <c r="P585"/>
      <c r="Q585"/>
      <c r="R585"/>
      <c r="S585"/>
      <c r="T585"/>
      <c r="U585"/>
      <c r="V585"/>
      <c r="W585"/>
      <c r="X585"/>
      <c r="Y585"/>
      <c r="Z585"/>
      <c r="AA585"/>
      <c r="AB585"/>
      <c r="AC585"/>
      <c r="AD585"/>
      <c r="AE585"/>
    </row>
    <row r="586" spans="1:31" x14ac:dyDescent="0.25">
      <c r="A586"/>
      <c r="B586" t="str">
        <f>Listas!$N$1</f>
        <v>Decreto Estadual 16.536/2024</v>
      </c>
      <c r="C586"/>
      <c r="D586"/>
      <c r="E586"/>
      <c r="F586"/>
      <c r="G586"/>
      <c r="H586"/>
      <c r="I586"/>
      <c r="J586"/>
      <c r="K586"/>
      <c r="L586"/>
      <c r="M586"/>
      <c r="N586"/>
      <c r="O586"/>
      <c r="P586"/>
      <c r="Q586"/>
      <c r="R586"/>
      <c r="S586"/>
      <c r="T586"/>
      <c r="U586"/>
      <c r="V586"/>
      <c r="W586"/>
      <c r="X586"/>
      <c r="Y586"/>
      <c r="Z586"/>
      <c r="AA586"/>
      <c r="AB586"/>
      <c r="AC586"/>
      <c r="AD586"/>
      <c r="AE586"/>
    </row>
    <row r="587" spans="1:31" x14ac:dyDescent="0.25">
      <c r="A587"/>
      <c r="B587" t="s">
        <v>15</v>
      </c>
      <c r="C587"/>
      <c r="D587"/>
      <c r="E587" t="s">
        <v>357</v>
      </c>
      <c r="F587" t="s">
        <v>202</v>
      </c>
      <c r="G587"/>
      <c r="H587"/>
      <c r="I587"/>
      <c r="J587"/>
      <c r="K587"/>
      <c r="L587"/>
      <c r="M587"/>
      <c r="N587"/>
      <c r="O587"/>
      <c r="P587"/>
      <c r="Q587"/>
      <c r="R587"/>
      <c r="S587"/>
      <c r="T587"/>
      <c r="U587"/>
      <c r="V587"/>
      <c r="W587"/>
      <c r="X587"/>
      <c r="Y587"/>
      <c r="Z587"/>
      <c r="AA587"/>
      <c r="AB587"/>
      <c r="AC587"/>
      <c r="AD587"/>
      <c r="AE587"/>
    </row>
    <row r="588" spans="1:31" x14ac:dyDescent="0.25">
      <c r="A588"/>
      <c r="B588" t="s">
        <v>248</v>
      </c>
      <c r="C588"/>
      <c r="D588"/>
      <c r="E588" s="444">
        <f>Listas!$P$3</f>
        <v>250</v>
      </c>
      <c r="F588"/>
      <c r="G588"/>
      <c r="H588"/>
      <c r="I588"/>
      <c r="J588"/>
      <c r="K588"/>
      <c r="L588"/>
      <c r="M588"/>
      <c r="N588"/>
      <c r="O588"/>
      <c r="P588"/>
      <c r="Q588"/>
      <c r="R588"/>
      <c r="S588"/>
      <c r="T588"/>
      <c r="U588"/>
      <c r="V588"/>
      <c r="W588"/>
      <c r="X588"/>
      <c r="Y588"/>
      <c r="Z588"/>
      <c r="AA588"/>
      <c r="AB588"/>
      <c r="AC588"/>
      <c r="AD588"/>
      <c r="AE588"/>
    </row>
    <row r="589" spans="1:31" x14ac:dyDescent="0.25">
      <c r="A589"/>
      <c r="B589" t="s">
        <v>252</v>
      </c>
      <c r="C589"/>
      <c r="D589"/>
      <c r="E589" s="444">
        <f>E588/2</f>
        <v>125</v>
      </c>
      <c r="F589">
        <f>ROUNDUP(H547*J547*N547, 0)</f>
        <v>1</v>
      </c>
      <c r="G589"/>
      <c r="H589"/>
      <c r="I589"/>
      <c r="J589"/>
      <c r="K589"/>
      <c r="L589"/>
      <c r="M589"/>
      <c r="N589"/>
      <c r="O589"/>
      <c r="P589"/>
      <c r="Q589"/>
      <c r="R589"/>
      <c r="S589"/>
      <c r="T589"/>
      <c r="U589"/>
      <c r="V589"/>
      <c r="W589"/>
      <c r="X589"/>
      <c r="Y589"/>
      <c r="Z589"/>
      <c r="AA589"/>
      <c r="AB589"/>
      <c r="AC589"/>
      <c r="AD589"/>
      <c r="AE589"/>
    </row>
    <row r="590" spans="1:31" x14ac:dyDescent="0.25">
      <c r="A590"/>
      <c r="B590" t="s">
        <v>255</v>
      </c>
      <c r="C590"/>
      <c r="D590"/>
      <c r="E590" s="444">
        <f>E589</f>
        <v>125</v>
      </c>
      <c r="F590">
        <v>0</v>
      </c>
      <c r="G590"/>
      <c r="H590"/>
      <c r="I590"/>
      <c r="J590"/>
      <c r="K590"/>
      <c r="L590"/>
      <c r="M590"/>
      <c r="N590"/>
      <c r="O590"/>
      <c r="P590"/>
      <c r="Q590"/>
      <c r="R590"/>
      <c r="S590"/>
      <c r="T590"/>
      <c r="U590"/>
      <c r="V590"/>
      <c r="W590"/>
      <c r="X590"/>
      <c r="Y590"/>
      <c r="Z590"/>
      <c r="AA590"/>
      <c r="AB590"/>
      <c r="AC590"/>
      <c r="AD590"/>
      <c r="AE590"/>
    </row>
    <row r="591" spans="1:31" x14ac:dyDescent="0.25">
      <c r="A591" s="134"/>
      <c r="B591" s="134"/>
      <c r="C591" s="134"/>
      <c r="D591" s="134"/>
      <c r="E591" s="134"/>
      <c r="F591" s="134"/>
      <c r="G591" s="134"/>
      <c r="H591" s="134"/>
      <c r="I591" s="134"/>
      <c r="J591" s="134"/>
      <c r="K591" s="134"/>
      <c r="L591" s="134"/>
      <c r="M591" s="134"/>
      <c r="N591" s="134"/>
      <c r="O591" s="134"/>
      <c r="P591" s="134"/>
      <c r="Q591" s="134"/>
      <c r="R591" s="134"/>
      <c r="S591" s="134"/>
      <c r="T591" s="134"/>
      <c r="U591" s="134"/>
      <c r="V591" s="134"/>
      <c r="W591" s="134"/>
      <c r="X591" s="134"/>
      <c r="Y591" s="134"/>
      <c r="Z591" s="134"/>
      <c r="AA591" s="134"/>
      <c r="AB591" s="134"/>
      <c r="AC591" s="134"/>
      <c r="AD591" s="134"/>
      <c r="AE591" s="134"/>
    </row>
    <row r="592" spans="1:31" x14ac:dyDescent="0.25">
      <c r="A592"/>
      <c r="B592" s="39" t="s">
        <v>360</v>
      </c>
      <c r="C592" s="450" t="s">
        <v>15</v>
      </c>
      <c r="D592" s="39"/>
      <c r="E592" s="39"/>
      <c r="F592" s="39" t="s">
        <v>321</v>
      </c>
      <c r="G592" s="39"/>
      <c r="H592" s="39" t="s">
        <v>434</v>
      </c>
      <c r="I592" s="39" t="s">
        <v>435</v>
      </c>
      <c r="J592" s="449" t="s">
        <v>329</v>
      </c>
      <c r="K592"/>
      <c r="L592"/>
      <c r="M592"/>
      <c r="N592"/>
      <c r="O592"/>
      <c r="P592"/>
      <c r="Q592"/>
      <c r="R592"/>
      <c r="S592"/>
      <c r="T592"/>
      <c r="U592"/>
      <c r="V592"/>
      <c r="W592"/>
      <c r="X592"/>
      <c r="Y592"/>
      <c r="Z592"/>
      <c r="AA592"/>
      <c r="AB592"/>
      <c r="AC592"/>
      <c r="AD592"/>
      <c r="AE592"/>
    </row>
    <row r="593" spans="1:31" x14ac:dyDescent="0.25">
      <c r="A593"/>
      <c r="B593" s="39"/>
      <c r="C593" s="39"/>
      <c r="D593" s="39"/>
      <c r="E593" s="39"/>
      <c r="F593" s="39"/>
      <c r="G593" s="39"/>
      <c r="H593" s="39" t="s">
        <v>363</v>
      </c>
      <c r="I593" s="39" t="s">
        <v>330</v>
      </c>
      <c r="J593" s="449" t="s">
        <v>436</v>
      </c>
      <c r="K593"/>
      <c r="L593"/>
      <c r="M593"/>
      <c r="N593"/>
      <c r="O593"/>
      <c r="P593"/>
      <c r="Q593"/>
      <c r="R593"/>
      <c r="S593"/>
      <c r="T593"/>
      <c r="U593"/>
      <c r="V593"/>
      <c r="W593"/>
      <c r="X593"/>
      <c r="Y593"/>
      <c r="Z593"/>
      <c r="AA593"/>
      <c r="AB593"/>
      <c r="AC593"/>
      <c r="AD593"/>
      <c r="AE593"/>
    </row>
    <row r="594" spans="1:31" x14ac:dyDescent="0.25">
      <c r="A594"/>
      <c r="B594" s="39" t="s">
        <v>259</v>
      </c>
      <c r="C594" t="s">
        <v>1236</v>
      </c>
      <c r="D594"/>
      <c r="E594"/>
      <c r="F594" s="39" t="s">
        <v>61</v>
      </c>
      <c r="G594"/>
      <c r="H594" s="446">
        <f>E589*F589</f>
        <v>125</v>
      </c>
      <c r="I594" s="446">
        <f>E590*F590</f>
        <v>0</v>
      </c>
      <c r="J594" s="448">
        <f>H594+I594</f>
        <v>125</v>
      </c>
      <c r="K594"/>
      <c r="L594"/>
      <c r="M594"/>
      <c r="N594"/>
      <c r="O594"/>
      <c r="P594"/>
      <c r="Q594"/>
      <c r="R594"/>
      <c r="S594"/>
      <c r="T594"/>
      <c r="U594"/>
      <c r="V594"/>
      <c r="W594"/>
      <c r="X594"/>
      <c r="Y594"/>
      <c r="Z594"/>
      <c r="AA594"/>
      <c r="AB594"/>
      <c r="AC594"/>
      <c r="AD594"/>
      <c r="AE594"/>
    </row>
    <row r="595" spans="1:31" x14ac:dyDescent="0.25">
      <c r="A595" s="39"/>
      <c r="B595"/>
      <c r="C595"/>
      <c r="D595"/>
      <c r="E595"/>
      <c r="F595"/>
      <c r="G595"/>
      <c r="H595"/>
      <c r="I595"/>
      <c r="J595"/>
      <c r="K595"/>
      <c r="L595"/>
      <c r="M595"/>
      <c r="N595"/>
      <c r="O595"/>
      <c r="P595"/>
      <c r="Q595"/>
      <c r="R595"/>
      <c r="S595"/>
      <c r="T595"/>
      <c r="U595"/>
      <c r="V595"/>
      <c r="W595"/>
      <c r="X595"/>
      <c r="Y595"/>
      <c r="Z595"/>
      <c r="AA595"/>
      <c r="AB595"/>
      <c r="AC595"/>
      <c r="AD595"/>
      <c r="AE595"/>
    </row>
    <row r="596" spans="1:31" x14ac:dyDescent="0.25">
      <c r="A596" s="39" t="s">
        <v>459</v>
      </c>
      <c r="B596" t="s">
        <v>437</v>
      </c>
      <c r="C596"/>
      <c r="D596"/>
      <c r="E596"/>
      <c r="F596"/>
      <c r="G596"/>
      <c r="H596"/>
      <c r="I596"/>
      <c r="J596"/>
      <c r="K596"/>
      <c r="L596"/>
      <c r="M596"/>
      <c r="N596"/>
      <c r="O596"/>
      <c r="P596"/>
      <c r="Q596"/>
      <c r="R596"/>
      <c r="S596"/>
      <c r="T596"/>
      <c r="U596"/>
      <c r="V596"/>
      <c r="W596"/>
      <c r="X596"/>
      <c r="Y596"/>
      <c r="Z596"/>
      <c r="AA596"/>
      <c r="AB596"/>
      <c r="AC596"/>
      <c r="AD596"/>
      <c r="AE596"/>
    </row>
    <row r="597" spans="1:31" x14ac:dyDescent="0.25">
      <c r="A597"/>
      <c r="B597" t="s">
        <v>438</v>
      </c>
      <c r="C597"/>
      <c r="D597"/>
      <c r="E597"/>
      <c r="F597"/>
      <c r="G597"/>
      <c r="H597"/>
      <c r="I597"/>
      <c r="J597"/>
      <c r="K597"/>
      <c r="L597"/>
      <c r="M597"/>
      <c r="N597"/>
      <c r="O597"/>
      <c r="P597"/>
      <c r="Q597"/>
      <c r="R597"/>
      <c r="S597"/>
      <c r="T597"/>
      <c r="U597"/>
      <c r="V597"/>
      <c r="W597"/>
      <c r="X597"/>
      <c r="Y597"/>
      <c r="Z597"/>
      <c r="AA597"/>
      <c r="AB597"/>
      <c r="AC597"/>
      <c r="AD597"/>
      <c r="AE597"/>
    </row>
    <row r="598" spans="1:31" x14ac:dyDescent="0.25">
      <c r="A598" s="39"/>
      <c r="B598"/>
      <c r="C598"/>
      <c r="D598"/>
      <c r="E598"/>
      <c r="F598"/>
      <c r="G598"/>
      <c r="H598"/>
      <c r="I598"/>
      <c r="J598"/>
      <c r="K598"/>
      <c r="L598"/>
      <c r="M598"/>
      <c r="N598"/>
      <c r="O598"/>
      <c r="P598"/>
      <c r="Q598"/>
      <c r="R598"/>
      <c r="S598"/>
      <c r="T598"/>
      <c r="U598"/>
      <c r="V598"/>
      <c r="W598"/>
      <c r="X598"/>
      <c r="Y598"/>
      <c r="Z598"/>
      <c r="AA598"/>
      <c r="AB598"/>
      <c r="AC598"/>
      <c r="AD598"/>
      <c r="AE598"/>
    </row>
    <row r="599" spans="1:31" x14ac:dyDescent="0.25">
      <c r="A599" s="39" t="s">
        <v>353</v>
      </c>
      <c r="B599" t="s">
        <v>354</v>
      </c>
      <c r="C599"/>
      <c r="D599"/>
      <c r="E599"/>
      <c r="F599"/>
      <c r="G599"/>
      <c r="H599"/>
      <c r="I599"/>
      <c r="J599"/>
      <c r="K599"/>
      <c r="L599"/>
      <c r="M599"/>
      <c r="N599"/>
      <c r="O599"/>
      <c r="P599"/>
      <c r="Q599"/>
      <c r="R599"/>
      <c r="S599"/>
      <c r="T599"/>
      <c r="U599"/>
      <c r="V599"/>
      <c r="W599"/>
      <c r="X599"/>
      <c r="Y599"/>
      <c r="Z599"/>
      <c r="AA599"/>
      <c r="AB599"/>
      <c r="AC599"/>
      <c r="AD599"/>
      <c r="AE599"/>
    </row>
    <row r="600" spans="1:31" x14ac:dyDescent="0.25">
      <c r="A600" s="39" t="s">
        <v>385</v>
      </c>
      <c r="B600" t="s">
        <v>317</v>
      </c>
      <c r="C600"/>
      <c r="D600"/>
      <c r="E600"/>
      <c r="F600"/>
      <c r="G600"/>
      <c r="H600"/>
      <c r="I600"/>
      <c r="J600"/>
      <c r="K600"/>
      <c r="L600"/>
      <c r="M600"/>
      <c r="N600"/>
      <c r="O600"/>
      <c r="P600"/>
      <c r="Q600"/>
      <c r="R600"/>
      <c r="S600"/>
      <c r="T600"/>
      <c r="U600"/>
      <c r="V600"/>
      <c r="W600"/>
      <c r="X600"/>
      <c r="Y600"/>
      <c r="Z600"/>
      <c r="AA600"/>
      <c r="AB600"/>
      <c r="AC600"/>
      <c r="AD600"/>
      <c r="AE600"/>
    </row>
    <row r="601" spans="1:31" x14ac:dyDescent="0.25">
      <c r="A601"/>
      <c r="B601" t="s">
        <v>1238</v>
      </c>
      <c r="C601"/>
      <c r="D601"/>
      <c r="E601"/>
      <c r="F601"/>
      <c r="G601"/>
      <c r="H601"/>
      <c r="I601"/>
      <c r="J601"/>
      <c r="K601"/>
      <c r="L601"/>
      <c r="M601"/>
      <c r="N601"/>
      <c r="O601"/>
      <c r="P601"/>
      <c r="Q601"/>
      <c r="R601"/>
      <c r="S601"/>
      <c r="T601"/>
      <c r="U601"/>
      <c r="V601"/>
      <c r="W601"/>
      <c r="X601"/>
      <c r="Y601"/>
      <c r="Z601"/>
      <c r="AA601"/>
      <c r="AB601"/>
      <c r="AC601"/>
      <c r="AD601"/>
      <c r="AE601"/>
    </row>
    <row r="602" spans="1:31" x14ac:dyDescent="0.25">
      <c r="A602"/>
      <c r="B602"/>
      <c r="C602"/>
      <c r="D602"/>
      <c r="E602"/>
      <c r="F602"/>
      <c r="G602"/>
      <c r="H602"/>
      <c r="I602"/>
      <c r="J602"/>
      <c r="K602"/>
      <c r="L602"/>
      <c r="M602"/>
      <c r="N602"/>
      <c r="O602"/>
      <c r="P602"/>
      <c r="Q602"/>
      <c r="R602"/>
      <c r="S602"/>
      <c r="T602"/>
      <c r="U602"/>
      <c r="V602"/>
      <c r="W602"/>
      <c r="X602"/>
      <c r="Y602"/>
      <c r="Z602"/>
      <c r="AA602"/>
      <c r="AB602"/>
      <c r="AC602"/>
      <c r="AD602"/>
      <c r="AE602"/>
    </row>
    <row r="603" spans="1:31" x14ac:dyDescent="0.25">
      <c r="A603" s="39" t="s">
        <v>386</v>
      </c>
      <c r="B603" t="s">
        <v>366</v>
      </c>
      <c r="C603"/>
      <c r="D603"/>
      <c r="E603"/>
      <c r="F603"/>
      <c r="G603"/>
      <c r="H603"/>
      <c r="I603"/>
      <c r="J603"/>
      <c r="K603"/>
      <c r="L603"/>
      <c r="M603"/>
      <c r="N603"/>
      <c r="O603"/>
      <c r="P603"/>
      <c r="Q603"/>
      <c r="R603"/>
      <c r="S603"/>
      <c r="T603"/>
      <c r="U603"/>
      <c r="V603"/>
      <c r="W603"/>
      <c r="X603"/>
      <c r="Y603"/>
      <c r="Z603"/>
      <c r="AA603"/>
      <c r="AB603"/>
      <c r="AC603"/>
      <c r="AD603"/>
      <c r="AE603"/>
    </row>
    <row r="604" spans="1:31" x14ac:dyDescent="0.25">
      <c r="A604" s="39"/>
      <c r="B604" t="s">
        <v>1233</v>
      </c>
      <c r="C604"/>
      <c r="D604"/>
      <c r="E604"/>
      <c r="F604"/>
      <c r="G604"/>
      <c r="H604"/>
      <c r="I604"/>
      <c r="J604"/>
      <c r="K604"/>
      <c r="L604"/>
      <c r="M604"/>
      <c r="N604"/>
      <c r="O604"/>
      <c r="P604"/>
      <c r="Q604"/>
      <c r="R604"/>
      <c r="S604"/>
      <c r="T604"/>
      <c r="U604"/>
      <c r="V604"/>
      <c r="W604"/>
      <c r="X604"/>
      <c r="Y604"/>
      <c r="Z604"/>
      <c r="AA604"/>
      <c r="AB604"/>
      <c r="AC604"/>
      <c r="AD604"/>
      <c r="AE604"/>
    </row>
    <row r="605" spans="1:31" x14ac:dyDescent="0.25">
      <c r="A605" s="39"/>
      <c r="B605"/>
      <c r="C605"/>
      <c r="D605"/>
      <c r="E605"/>
      <c r="F605"/>
      <c r="G605"/>
      <c r="H605"/>
      <c r="I605"/>
      <c r="J605"/>
      <c r="K605"/>
      <c r="L605"/>
      <c r="M605"/>
      <c r="N605"/>
      <c r="O605"/>
      <c r="P605"/>
      <c r="Q605"/>
      <c r="R605"/>
      <c r="S605"/>
      <c r="T605"/>
      <c r="U605"/>
      <c r="V605"/>
      <c r="W605"/>
      <c r="X605"/>
      <c r="Y605"/>
      <c r="Z605"/>
      <c r="AA605"/>
      <c r="AB605"/>
      <c r="AC605"/>
      <c r="AD605"/>
      <c r="AE605"/>
    </row>
    <row r="606" spans="1:31" x14ac:dyDescent="0.25">
      <c r="A606"/>
      <c r="B606" t="s">
        <v>367</v>
      </c>
      <c r="C606"/>
      <c r="D606" t="s">
        <v>237</v>
      </c>
      <c r="E606"/>
      <c r="F606"/>
      <c r="G606" s="39" t="s">
        <v>387</v>
      </c>
      <c r="H606"/>
      <c r="I606" s="39" t="s">
        <v>13</v>
      </c>
      <c r="J606" t="s">
        <v>414</v>
      </c>
      <c r="K606"/>
      <c r="L606"/>
      <c r="M606"/>
      <c r="N606"/>
      <c r="O606"/>
      <c r="P606"/>
      <c r="Q606"/>
      <c r="R606"/>
      <c r="S606"/>
      <c r="T606"/>
      <c r="U606"/>
      <c r="V606"/>
      <c r="W606"/>
      <c r="X606"/>
      <c r="Y606"/>
      <c r="Z606"/>
      <c r="AA606"/>
      <c r="AB606"/>
      <c r="AC606"/>
      <c r="AD606"/>
      <c r="AE606"/>
    </row>
    <row r="607" spans="1:31" x14ac:dyDescent="0.25">
      <c r="A607"/>
      <c r="B607" t="s">
        <v>245</v>
      </c>
      <c r="C607"/>
      <c r="D607" t="s">
        <v>245</v>
      </c>
      <c r="E607"/>
      <c r="F607"/>
      <c r="G607" s="451">
        <f>[1]Listas!$J$3</f>
        <v>60</v>
      </c>
      <c r="H607"/>
      <c r="I607" s="444">
        <f>Listas!L3</f>
        <v>305</v>
      </c>
      <c r="J607" s="452">
        <f>I607/$I$610</f>
        <v>1</v>
      </c>
      <c r="K607"/>
      <c r="L607"/>
      <c r="M607"/>
      <c r="N607"/>
      <c r="O607"/>
      <c r="P607"/>
      <c r="Q607" s="453"/>
      <c r="R607"/>
      <c r="S607"/>
      <c r="T607"/>
      <c r="U607"/>
      <c r="V607"/>
      <c r="W607"/>
      <c r="X607"/>
      <c r="Y607"/>
      <c r="Z607"/>
      <c r="AA607"/>
      <c r="AB607"/>
      <c r="AC607"/>
      <c r="AD607"/>
      <c r="AE607"/>
    </row>
    <row r="608" spans="1:31" x14ac:dyDescent="0.25">
      <c r="A608"/>
      <c r="B608"/>
      <c r="C608"/>
      <c r="D608" t="s">
        <v>251</v>
      </c>
      <c r="E608"/>
      <c r="F608"/>
      <c r="G608" s="451">
        <f>[1]Listas!$J$4</f>
        <v>50</v>
      </c>
      <c r="H608"/>
      <c r="I608" s="444">
        <f>[1]Listas!$L$4</f>
        <v>0</v>
      </c>
      <c r="J608" s="452">
        <f t="shared" ref="J608:J610" si="17">I608/$I$610</f>
        <v>0</v>
      </c>
      <c r="K608"/>
      <c r="L608"/>
      <c r="M608"/>
      <c r="N608"/>
      <c r="O608"/>
      <c r="P608"/>
      <c r="Q608" s="453"/>
      <c r="R608"/>
      <c r="S608"/>
      <c r="T608"/>
      <c r="U608"/>
      <c r="V608"/>
      <c r="W608"/>
      <c r="X608"/>
      <c r="Y608"/>
      <c r="Z608"/>
      <c r="AA608"/>
      <c r="AB608"/>
      <c r="AC608"/>
      <c r="AD608"/>
      <c r="AE608"/>
    </row>
    <row r="609" spans="1:31" x14ac:dyDescent="0.25">
      <c r="A609"/>
      <c r="B609"/>
      <c r="C609"/>
      <c r="D609" t="s">
        <v>254</v>
      </c>
      <c r="E609"/>
      <c r="F609"/>
      <c r="G609" s="451">
        <f>[1]Listas!$J$5</f>
        <v>40</v>
      </c>
      <c r="H609"/>
      <c r="I609" s="444">
        <f>[1]Listas!$L$5</f>
        <v>0</v>
      </c>
      <c r="J609" s="452">
        <f t="shared" si="17"/>
        <v>0</v>
      </c>
      <c r="K609"/>
      <c r="L609"/>
      <c r="M609"/>
      <c r="N609"/>
      <c r="O609"/>
      <c r="P609"/>
      <c r="Q609" s="39"/>
      <c r="R609" s="454"/>
      <c r="S609"/>
      <c r="T609"/>
      <c r="U609"/>
      <c r="V609"/>
      <c r="W609"/>
      <c r="X609"/>
      <c r="Y609"/>
      <c r="Z609"/>
      <c r="AA609"/>
      <c r="AB609"/>
      <c r="AC609"/>
      <c r="AD609"/>
      <c r="AE609"/>
    </row>
    <row r="610" spans="1:31" x14ac:dyDescent="0.25">
      <c r="A610"/>
      <c r="B610"/>
      <c r="C610"/>
      <c r="D610"/>
      <c r="E610"/>
      <c r="F610"/>
      <c r="G610" s="451"/>
      <c r="H610" t="s">
        <v>329</v>
      </c>
      <c r="I610" s="444">
        <f>SUM(I607:I609)</f>
        <v>305</v>
      </c>
      <c r="J610" s="452">
        <f t="shared" si="17"/>
        <v>1</v>
      </c>
      <c r="K610"/>
      <c r="L610"/>
      <c r="M610"/>
      <c r="N610"/>
      <c r="O610"/>
      <c r="P610"/>
      <c r="Q610" s="453"/>
      <c r="R610" s="446"/>
      <c r="S610"/>
      <c r="T610"/>
      <c r="U610"/>
      <c r="V610"/>
      <c r="W610"/>
      <c r="X610"/>
      <c r="Y610"/>
      <c r="Z610"/>
      <c r="AA610"/>
      <c r="AB610"/>
      <c r="AC610"/>
      <c r="AD610"/>
      <c r="AE610"/>
    </row>
    <row r="611" spans="1:31" x14ac:dyDescent="0.25">
      <c r="A611"/>
      <c r="B611"/>
      <c r="C611"/>
      <c r="D611"/>
      <c r="E611"/>
      <c r="F611"/>
      <c r="G611"/>
      <c r="H611"/>
      <c r="I611"/>
      <c r="J611"/>
      <c r="K611"/>
      <c r="L611"/>
      <c r="M611"/>
      <c r="N611"/>
      <c r="O611"/>
      <c r="P611"/>
      <c r="Q611" s="453"/>
      <c r="R611" s="446"/>
      <c r="S611"/>
      <c r="T611"/>
      <c r="U611"/>
      <c r="V611"/>
      <c r="W611"/>
      <c r="X611"/>
      <c r="Y611"/>
      <c r="Z611"/>
      <c r="AA611"/>
      <c r="AB611"/>
      <c r="AC611"/>
      <c r="AD611"/>
      <c r="AE611"/>
    </row>
    <row r="612" spans="1:31" x14ac:dyDescent="0.25">
      <c r="A612"/>
      <c r="B612" t="str">
        <f>Listas!$N$1</f>
        <v>Decreto Estadual 16.536/2024</v>
      </c>
      <c r="C612"/>
      <c r="D612"/>
      <c r="E612"/>
      <c r="F612"/>
      <c r="G612"/>
      <c r="H612"/>
      <c r="I612"/>
      <c r="J612"/>
      <c r="K612"/>
      <c r="L612"/>
      <c r="M612"/>
      <c r="N612"/>
      <c r="O612"/>
      <c r="P612"/>
      <c r="Q612"/>
      <c r="R612"/>
      <c r="S612"/>
      <c r="T612"/>
      <c r="U612"/>
      <c r="V612"/>
      <c r="W612"/>
      <c r="X612"/>
      <c r="Y612"/>
      <c r="Z612"/>
      <c r="AA612"/>
      <c r="AB612"/>
      <c r="AC612"/>
      <c r="AD612"/>
      <c r="AE612"/>
    </row>
    <row r="613" spans="1:31" x14ac:dyDescent="0.25">
      <c r="A613"/>
      <c r="B613" t="s">
        <v>15</v>
      </c>
      <c r="C613"/>
      <c r="D613"/>
      <c r="E613" t="s">
        <v>357</v>
      </c>
      <c r="F613" t="s">
        <v>202</v>
      </c>
      <c r="G613"/>
      <c r="H613"/>
      <c r="I613"/>
      <c r="J613"/>
      <c r="K613"/>
      <c r="L613"/>
      <c r="M613"/>
      <c r="N613"/>
      <c r="O613"/>
      <c r="P613"/>
      <c r="Q613"/>
      <c r="R613"/>
      <c r="S613"/>
      <c r="T613"/>
      <c r="U613"/>
      <c r="V613"/>
      <c r="W613"/>
      <c r="X613"/>
      <c r="Y613"/>
      <c r="Z613"/>
      <c r="AA613"/>
      <c r="AB613"/>
      <c r="AC613"/>
      <c r="AD613"/>
      <c r="AE613"/>
    </row>
    <row r="614" spans="1:31" x14ac:dyDescent="0.25">
      <c r="A614"/>
      <c r="B614" t="s">
        <v>248</v>
      </c>
      <c r="C614"/>
      <c r="D614"/>
      <c r="E614" s="444">
        <f>Listas!$P$3</f>
        <v>250</v>
      </c>
      <c r="F614"/>
      <c r="G614"/>
      <c r="H614"/>
      <c r="I614"/>
      <c r="J614"/>
      <c r="K614"/>
      <c r="L614"/>
      <c r="M614"/>
      <c r="N614"/>
      <c r="O614"/>
      <c r="P614"/>
      <c r="Q614"/>
      <c r="R614"/>
      <c r="S614"/>
      <c r="T614"/>
      <c r="U614"/>
      <c r="V614"/>
      <c r="W614"/>
      <c r="X614"/>
      <c r="Y614"/>
      <c r="Z614"/>
      <c r="AA614"/>
      <c r="AB614"/>
      <c r="AC614"/>
      <c r="AD614"/>
      <c r="AE614"/>
    </row>
    <row r="615" spans="1:31" x14ac:dyDescent="0.25">
      <c r="A615"/>
      <c r="B615" t="s">
        <v>252</v>
      </c>
      <c r="C615"/>
      <c r="D615"/>
      <c r="E615" s="444">
        <f>E614/2</f>
        <v>125</v>
      </c>
      <c r="F615">
        <v>1</v>
      </c>
      <c r="G615"/>
      <c r="H615"/>
      <c r="I615"/>
      <c r="J615"/>
      <c r="K615"/>
      <c r="L615"/>
      <c r="M615"/>
      <c r="N615"/>
      <c r="O615"/>
      <c r="P615"/>
      <c r="Q615"/>
      <c r="R615"/>
      <c r="S615"/>
      <c r="T615"/>
      <c r="U615"/>
      <c r="V615"/>
      <c r="W615"/>
      <c r="X615"/>
      <c r="Y615"/>
      <c r="Z615"/>
      <c r="AA615"/>
      <c r="AB615"/>
      <c r="AC615"/>
      <c r="AD615"/>
      <c r="AE615"/>
    </row>
    <row r="616" spans="1:31" x14ac:dyDescent="0.25">
      <c r="A616"/>
      <c r="B616" t="s">
        <v>255</v>
      </c>
      <c r="C616"/>
      <c r="D616"/>
      <c r="E616" s="444">
        <f>E615</f>
        <v>125</v>
      </c>
      <c r="F616">
        <v>0</v>
      </c>
      <c r="G616"/>
      <c r="H616"/>
      <c r="I616"/>
      <c r="J616"/>
      <c r="K616"/>
      <c r="L616"/>
      <c r="M616"/>
      <c r="N616"/>
      <c r="O616"/>
      <c r="P616"/>
      <c r="Q616"/>
      <c r="R616"/>
      <c r="S616"/>
      <c r="T616"/>
      <c r="U616"/>
      <c r="V616"/>
      <c r="W616"/>
      <c r="X616"/>
      <c r="Y616"/>
      <c r="Z616"/>
      <c r="AA616"/>
      <c r="AB616"/>
      <c r="AC616"/>
      <c r="AD616"/>
      <c r="AE616"/>
    </row>
    <row r="617" spans="1:31" x14ac:dyDescent="0.25">
      <c r="A617"/>
      <c r="B617"/>
      <c r="C617"/>
      <c r="D617"/>
      <c r="E617"/>
      <c r="F617"/>
      <c r="G617"/>
      <c r="H617"/>
      <c r="I617"/>
      <c r="J617"/>
      <c r="K617"/>
      <c r="L617"/>
      <c r="M617"/>
      <c r="N617"/>
      <c r="O617"/>
      <c r="P617"/>
      <c r="Q617"/>
      <c r="R617"/>
      <c r="S617"/>
      <c r="T617"/>
      <c r="U617"/>
      <c r="V617"/>
      <c r="W617"/>
      <c r="X617"/>
      <c r="Y617"/>
      <c r="Z617"/>
      <c r="AA617"/>
      <c r="AB617"/>
      <c r="AC617"/>
      <c r="AD617"/>
      <c r="AE617"/>
    </row>
    <row r="618" spans="1:31" x14ac:dyDescent="0.25">
      <c r="A618"/>
      <c r="B618" t="s">
        <v>360</v>
      </c>
      <c r="C618" t="s">
        <v>15</v>
      </c>
      <c r="D618"/>
      <c r="E618"/>
      <c r="F618"/>
      <c r="G618" s="39" t="s">
        <v>202</v>
      </c>
      <c r="H618" s="39"/>
      <c r="I618" s="39" t="s">
        <v>401</v>
      </c>
      <c r="J618"/>
      <c r="K618" s="39" t="s">
        <v>402</v>
      </c>
      <c r="L618"/>
      <c r="M618"/>
      <c r="N618" s="39" t="s">
        <v>371</v>
      </c>
      <c r="O618" s="39"/>
      <c r="P618" s="39" t="s">
        <v>372</v>
      </c>
      <c r="Q618" s="39" t="s">
        <v>373</v>
      </c>
      <c r="R618" s="450" t="s">
        <v>236</v>
      </c>
      <c r="S618" s="39"/>
      <c r="T618" s="39" t="s">
        <v>183</v>
      </c>
      <c r="U618" s="39"/>
      <c r="V618" s="39" t="s">
        <v>374</v>
      </c>
      <c r="W618"/>
      <c r="X618" s="39" t="s">
        <v>375</v>
      </c>
      <c r="Y618" s="39"/>
      <c r="Z618" s="39" t="s">
        <v>376</v>
      </c>
      <c r="AA618"/>
      <c r="AB618" s="39" t="s">
        <v>377</v>
      </c>
      <c r="AC618" s="39" t="s">
        <v>388</v>
      </c>
      <c r="AD618" s="39"/>
      <c r="AE618" s="449" t="s">
        <v>362</v>
      </c>
    </row>
    <row r="619" spans="1:31" x14ac:dyDescent="0.25">
      <c r="A619"/>
      <c r="B619"/>
      <c r="C619"/>
      <c r="D619"/>
      <c r="E619"/>
      <c r="F619"/>
      <c r="G619" s="39" t="s">
        <v>363</v>
      </c>
      <c r="H619" s="39"/>
      <c r="I619" s="39" t="s">
        <v>330</v>
      </c>
      <c r="J619"/>
      <c r="K619" s="39" t="s">
        <v>331</v>
      </c>
      <c r="L619"/>
      <c r="M619"/>
      <c r="N619" s="39" t="s">
        <v>403</v>
      </c>
      <c r="O619" s="39"/>
      <c r="P619" s="39" t="s">
        <v>372</v>
      </c>
      <c r="Q619" s="39" t="s">
        <v>333</v>
      </c>
      <c r="R619" s="39"/>
      <c r="S619" s="39"/>
      <c r="T619" s="39" t="s">
        <v>378</v>
      </c>
      <c r="U619" s="39"/>
      <c r="V619" s="39" t="s">
        <v>407</v>
      </c>
      <c r="W619"/>
      <c r="X619" s="39" t="s">
        <v>389</v>
      </c>
      <c r="Y619" s="39"/>
      <c r="Z619" s="39" t="s">
        <v>413</v>
      </c>
      <c r="AA619"/>
      <c r="AB619" s="39" t="s">
        <v>410</v>
      </c>
      <c r="AC619" s="39" t="s">
        <v>411</v>
      </c>
      <c r="AD619" s="39"/>
      <c r="AE619" s="449" t="s">
        <v>412</v>
      </c>
    </row>
    <row r="620" spans="1:31" x14ac:dyDescent="0.25">
      <c r="A620"/>
      <c r="B620" s="39" t="s">
        <v>194</v>
      </c>
      <c r="C620" t="str">
        <f ca="1">IFERROR(VLOOKUP(B620,Veiculo_Equip_Matriz,2,0),"")</f>
        <v>Veículo tipo van furgão com capacidade de 1,38 t - 100 kW (com motorista)</v>
      </c>
      <c r="D620"/>
      <c r="E620"/>
      <c r="F620"/>
      <c r="G620">
        <f>F553</f>
        <v>1</v>
      </c>
      <c r="H620"/>
      <c r="I620" s="444">
        <f>I610</f>
        <v>305</v>
      </c>
      <c r="J620"/>
      <c r="K620">
        <f>G607*J607+G608*J608+G609*J609</f>
        <v>60</v>
      </c>
      <c r="L620"/>
      <c r="M620"/>
      <c r="N620">
        <f>I620/K620</f>
        <v>5.083333333333333</v>
      </c>
      <c r="O620"/>
      <c r="P620">
        <v>1</v>
      </c>
      <c r="Q620">
        <v>1</v>
      </c>
      <c r="R620" s="39" t="str">
        <f>B620</f>
        <v>E8887</v>
      </c>
      <c r="S620"/>
      <c r="T620">
        <f ca="1">IFERROR(VLOOKUP(R620,Veiculo_Equip_Matriz,4,0),"")</f>
        <v>83.96</v>
      </c>
      <c r="U620"/>
      <c r="V620" s="446">
        <f ca="1">G620*N620*P620*Q620*T620</f>
        <v>426.79666666666662</v>
      </c>
      <c r="W620"/>
      <c r="X620">
        <f>((INT(N620/4))*30)/60</f>
        <v>0.5</v>
      </c>
      <c r="Y620"/>
      <c r="Z620">
        <f>N620+X620</f>
        <v>5.583333333333333</v>
      </c>
      <c r="AA620"/>
      <c r="AB620" s="446">
        <f>E615*F615+E616*F616</f>
        <v>125</v>
      </c>
      <c r="AC620" s="446">
        <f>R611*G620</f>
        <v>0</v>
      </c>
      <c r="AD620"/>
      <c r="AE620" s="448">
        <f ca="1">V620+AB620+AC620</f>
        <v>551.79666666666662</v>
      </c>
    </row>
    <row r="621" spans="1:31" x14ac:dyDescent="0.25">
      <c r="A621" s="39"/>
      <c r="B621"/>
      <c r="C621"/>
      <c r="D621"/>
      <c r="E621"/>
      <c r="F621"/>
      <c r="G621"/>
      <c r="H621"/>
      <c r="I621"/>
      <c r="J621"/>
      <c r="K621"/>
      <c r="L621"/>
      <c r="M621"/>
      <c r="N621"/>
      <c r="O621"/>
      <c r="P621"/>
      <c r="Q621"/>
      <c r="R621"/>
      <c r="S621"/>
      <c r="T621"/>
      <c r="U621"/>
      <c r="V621" s="134"/>
      <c r="W621" s="134"/>
      <c r="X621" s="134"/>
      <c r="Y621" s="134"/>
      <c r="Z621" s="134"/>
      <c r="AA621" s="134"/>
      <c r="AB621" s="134"/>
      <c r="AC621" s="134"/>
      <c r="AD621" s="134"/>
      <c r="AE621" s="134"/>
    </row>
    <row r="622" spans="1:31" x14ac:dyDescent="0.25">
      <c r="A622" s="39" t="s">
        <v>355</v>
      </c>
      <c r="B622" t="s">
        <v>356</v>
      </c>
      <c r="C622"/>
      <c r="D622"/>
      <c r="E622"/>
      <c r="F622"/>
      <c r="G622"/>
      <c r="H622"/>
      <c r="I622"/>
      <c r="J622"/>
      <c r="K622"/>
      <c r="L622"/>
      <c r="M622"/>
      <c r="N622"/>
      <c r="O622"/>
      <c r="P622"/>
      <c r="Q622"/>
      <c r="R622"/>
      <c r="S622"/>
      <c r="T622"/>
      <c r="U622"/>
      <c r="V622"/>
      <c r="W622"/>
      <c r="X622"/>
      <c r="Y622"/>
      <c r="Z622"/>
      <c r="AA622"/>
      <c r="AB622"/>
      <c r="AC622"/>
      <c r="AD622"/>
      <c r="AE622"/>
    </row>
    <row r="623" spans="1:31" x14ac:dyDescent="0.25">
      <c r="A623"/>
      <c r="B623" t="s">
        <v>15</v>
      </c>
      <c r="C623"/>
      <c r="D623"/>
      <c r="E623"/>
      <c r="F623" t="s">
        <v>357</v>
      </c>
      <c r="G623"/>
      <c r="H623"/>
      <c r="I623"/>
      <c r="J623"/>
      <c r="K623"/>
      <c r="L623"/>
      <c r="M623"/>
      <c r="N623"/>
      <c r="O623"/>
      <c r="P623"/>
      <c r="Q623"/>
      <c r="R623"/>
      <c r="S623"/>
      <c r="T623"/>
      <c r="U623"/>
      <c r="V623"/>
      <c r="W623"/>
      <c r="X623"/>
      <c r="Y623"/>
      <c r="Z623"/>
      <c r="AA623"/>
      <c r="AB623"/>
      <c r="AC623"/>
      <c r="AD623"/>
      <c r="AE623"/>
    </row>
    <row r="624" spans="1:31" x14ac:dyDescent="0.25">
      <c r="A624"/>
      <c r="B624" t="s">
        <v>317</v>
      </c>
      <c r="C624"/>
      <c r="D624"/>
      <c r="E624"/>
      <c r="F624" s="446">
        <f ca="1">U549</f>
        <v>10.395306666666666</v>
      </c>
      <c r="G624"/>
      <c r="H624"/>
      <c r="I624"/>
      <c r="J624"/>
      <c r="K624"/>
      <c r="L624"/>
      <c r="M624"/>
      <c r="N624"/>
      <c r="O624"/>
      <c r="P624"/>
      <c r="Q624"/>
      <c r="R624"/>
      <c r="S624"/>
      <c r="T624"/>
      <c r="U624"/>
      <c r="V624"/>
      <c r="W624"/>
      <c r="X624"/>
      <c r="Y624"/>
      <c r="Z624"/>
      <c r="AA624"/>
      <c r="AB624"/>
      <c r="AC624"/>
      <c r="AD624"/>
      <c r="AE624"/>
    </row>
    <row r="625" spans="1:31" x14ac:dyDescent="0.25">
      <c r="A625"/>
      <c r="B625" t="s">
        <v>276</v>
      </c>
      <c r="C625"/>
      <c r="D625"/>
      <c r="E625"/>
      <c r="F625" s="446">
        <f ca="1">J553</f>
        <v>8.3707880666666679</v>
      </c>
      <c r="G625"/>
      <c r="H625"/>
      <c r="I625"/>
      <c r="J625"/>
      <c r="K625"/>
      <c r="L625"/>
      <c r="M625"/>
      <c r="N625"/>
      <c r="O625"/>
      <c r="P625"/>
      <c r="Q625"/>
      <c r="R625"/>
      <c r="S625"/>
      <c r="T625"/>
      <c r="U625"/>
      <c r="V625"/>
      <c r="W625"/>
      <c r="X625"/>
      <c r="Y625"/>
      <c r="Z625"/>
      <c r="AA625"/>
      <c r="AB625"/>
      <c r="AC625"/>
      <c r="AD625"/>
      <c r="AE625"/>
    </row>
    <row r="626" spans="1:31" x14ac:dyDescent="0.25">
      <c r="A626"/>
      <c r="B626" t="s">
        <v>342</v>
      </c>
      <c r="C626"/>
      <c r="D626"/>
      <c r="E626"/>
      <c r="F626" s="446">
        <v>0</v>
      </c>
      <c r="G626"/>
      <c r="H626"/>
      <c r="I626"/>
      <c r="J626"/>
      <c r="K626"/>
      <c r="L626"/>
      <c r="M626"/>
      <c r="N626"/>
      <c r="O626"/>
      <c r="P626"/>
      <c r="Q626"/>
      <c r="R626"/>
      <c r="S626"/>
      <c r="T626"/>
      <c r="U626"/>
      <c r="V626"/>
      <c r="W626"/>
      <c r="X626"/>
      <c r="Y626"/>
      <c r="Z626"/>
      <c r="AA626"/>
      <c r="AB626"/>
      <c r="AC626"/>
      <c r="AD626"/>
      <c r="AE626"/>
    </row>
    <row r="627" spans="1:31" x14ac:dyDescent="0.25">
      <c r="A627"/>
      <c r="B627" t="s">
        <v>343</v>
      </c>
      <c r="C627"/>
      <c r="D627"/>
      <c r="E627"/>
      <c r="F627" s="446">
        <f>L582</f>
        <v>26.844618888888892</v>
      </c>
      <c r="G627"/>
      <c r="H627"/>
      <c r="I627"/>
      <c r="J627"/>
      <c r="K627"/>
      <c r="L627"/>
      <c r="M627"/>
      <c r="N627"/>
      <c r="O627"/>
      <c r="P627"/>
      <c r="Q627"/>
      <c r="R627"/>
      <c r="S627"/>
      <c r="T627"/>
      <c r="U627"/>
      <c r="V627"/>
      <c r="W627"/>
      <c r="X627"/>
      <c r="Y627"/>
      <c r="Z627"/>
      <c r="AA627"/>
      <c r="AB627"/>
      <c r="AC627"/>
      <c r="AD627"/>
      <c r="AE627"/>
    </row>
    <row r="628" spans="1:31" x14ac:dyDescent="0.25">
      <c r="A628"/>
      <c r="B628" t="s">
        <v>345</v>
      </c>
      <c r="C628"/>
      <c r="D628"/>
      <c r="E628"/>
      <c r="F628" s="446">
        <f>J594</f>
        <v>125</v>
      </c>
      <c r="G628"/>
      <c r="H628"/>
      <c r="I628"/>
      <c r="J628"/>
      <c r="K628"/>
      <c r="L628"/>
      <c r="M628"/>
      <c r="N628"/>
      <c r="O628"/>
      <c r="P628"/>
      <c r="Q628"/>
      <c r="R628"/>
      <c r="S628"/>
      <c r="T628"/>
      <c r="U628"/>
      <c r="V628"/>
      <c r="W628"/>
      <c r="X628"/>
      <c r="Y628"/>
      <c r="Z628"/>
      <c r="AA628"/>
      <c r="AB628"/>
      <c r="AC628"/>
      <c r="AD628"/>
      <c r="AE628"/>
    </row>
    <row r="629" spans="1:31" x14ac:dyDescent="0.25">
      <c r="A629"/>
      <c r="B629" t="s">
        <v>516</v>
      </c>
      <c r="C629"/>
      <c r="D629"/>
      <c r="E629"/>
      <c r="F629" s="446">
        <f ca="1">2*AE620</f>
        <v>1103.5933333333332</v>
      </c>
      <c r="G629"/>
      <c r="H629"/>
      <c r="I629"/>
      <c r="J629"/>
      <c r="K629"/>
      <c r="L629"/>
      <c r="M629"/>
      <c r="N629"/>
      <c r="O629"/>
      <c r="P629"/>
      <c r="Q629"/>
      <c r="R629"/>
      <c r="S629"/>
      <c r="T629"/>
      <c r="U629"/>
      <c r="V629"/>
      <c r="W629"/>
      <c r="X629"/>
      <c r="Y629"/>
      <c r="Z629"/>
      <c r="AA629"/>
      <c r="AB629"/>
      <c r="AC629"/>
      <c r="AD629"/>
      <c r="AE629"/>
    </row>
    <row r="630" spans="1:31" x14ac:dyDescent="0.25">
      <c r="A630"/>
      <c r="B630"/>
      <c r="C630"/>
      <c r="D630"/>
      <c r="E630" s="447" t="s">
        <v>329</v>
      </c>
      <c r="F630" s="448">
        <f ca="1">SUM(F624:F629)</f>
        <v>1274.2040469555554</v>
      </c>
      <c r="G630"/>
      <c r="H630"/>
      <c r="I630"/>
      <c r="J630"/>
      <c r="K630"/>
      <c r="L630"/>
      <c r="M630"/>
      <c r="N630"/>
      <c r="O630"/>
      <c r="P630"/>
      <c r="Q630"/>
      <c r="R630"/>
      <c r="S630"/>
      <c r="T630"/>
      <c r="U630"/>
      <c r="V630"/>
      <c r="W630"/>
      <c r="X630"/>
      <c r="Y630"/>
      <c r="Z630"/>
      <c r="AA630"/>
      <c r="AB630"/>
      <c r="AC630"/>
      <c r="AD630"/>
      <c r="AE630"/>
    </row>
    <row r="631" spans="1:31" ht="17.25" x14ac:dyDescent="0.3">
      <c r="A631"/>
      <c r="B631"/>
      <c r="C631"/>
      <c r="D631"/>
      <c r="E631" s="447"/>
      <c r="F631" s="448"/>
      <c r="G631"/>
      <c r="H631"/>
      <c r="I631"/>
      <c r="J631"/>
      <c r="K631"/>
      <c r="L631"/>
      <c r="M631"/>
      <c r="N631"/>
      <c r="O631"/>
      <c r="P631"/>
      <c r="Q631"/>
      <c r="R631"/>
      <c r="S631"/>
      <c r="T631"/>
      <c r="U631"/>
      <c r="V631" s="442"/>
      <c r="W631" s="442"/>
      <c r="X631" s="442"/>
      <c r="Y631" s="442"/>
      <c r="Z631" s="442"/>
      <c r="AA631" s="442"/>
      <c r="AB631" s="442"/>
      <c r="AC631" s="442"/>
      <c r="AD631" s="442"/>
      <c r="AE631" s="442"/>
    </row>
    <row r="632" spans="1:31" ht="17.25" x14ac:dyDescent="0.3">
      <c r="A632"/>
      <c r="B632"/>
      <c r="C632"/>
      <c r="D632"/>
      <c r="E632" s="447"/>
      <c r="F632" s="448"/>
      <c r="G632"/>
      <c r="H632"/>
      <c r="I632"/>
      <c r="J632"/>
      <c r="K632"/>
      <c r="L632"/>
      <c r="M632"/>
      <c r="N632"/>
      <c r="O632"/>
      <c r="P632"/>
      <c r="Q632"/>
      <c r="R632"/>
      <c r="S632"/>
      <c r="T632"/>
      <c r="U632"/>
      <c r="V632" s="442"/>
      <c r="W632" s="442"/>
      <c r="X632" s="442"/>
      <c r="Y632" s="442"/>
      <c r="Z632" s="442"/>
      <c r="AA632" s="442"/>
      <c r="AB632" s="442"/>
      <c r="AC632" s="442"/>
      <c r="AD632" s="442"/>
      <c r="AE632" s="442"/>
    </row>
    <row r="633" spans="1:31" ht="17.25" x14ac:dyDescent="0.3">
      <c r="A633" s="263" t="s">
        <v>1266</v>
      </c>
      <c r="B633" s="263" t="s">
        <v>1241</v>
      </c>
      <c r="C633" s="263"/>
      <c r="D633" s="263"/>
      <c r="E633" s="263"/>
      <c r="F633" s="263"/>
      <c r="G633" s="134"/>
      <c r="H633" s="134"/>
      <c r="I633" s="134"/>
      <c r="J633" s="134"/>
      <c r="K633" s="134"/>
      <c r="L633" s="134"/>
      <c r="M633" s="134"/>
      <c r="N633" s="134"/>
      <c r="O633" s="134"/>
      <c r="P633" s="134"/>
      <c r="Q633" s="134"/>
      <c r="R633" s="134"/>
      <c r="S633" s="134"/>
      <c r="T633" s="134"/>
      <c r="U633" s="134"/>
      <c r="V633" s="134"/>
      <c r="W633" s="134"/>
      <c r="X633" s="134"/>
      <c r="Y633" s="134"/>
      <c r="Z633" s="134"/>
      <c r="AA633" s="134"/>
      <c r="AB633" s="134"/>
      <c r="AC633" s="134"/>
      <c r="AD633" s="442"/>
      <c r="AE633" s="442"/>
    </row>
    <row r="634" spans="1:31" ht="17.25" x14ac:dyDescent="0.3">
      <c r="A634" s="134"/>
      <c r="B634" s="134" t="s">
        <v>1</v>
      </c>
      <c r="C634" s="457">
        <v>1.3</v>
      </c>
      <c r="D634" s="134" t="s">
        <v>13</v>
      </c>
      <c r="E634" s="458" t="s">
        <v>201</v>
      </c>
      <c r="F634" s="243">
        <f>C634*1000</f>
        <v>1300</v>
      </c>
      <c r="G634" s="134" t="s">
        <v>411</v>
      </c>
      <c r="H634" s="134"/>
      <c r="I634" s="134"/>
      <c r="J634" s="134"/>
      <c r="K634" s="134"/>
      <c r="L634" s="134"/>
      <c r="M634" s="134"/>
      <c r="N634" s="134"/>
      <c r="O634" s="134"/>
      <c r="P634" s="134"/>
      <c r="Q634" s="134"/>
      <c r="R634" s="134"/>
      <c r="S634" s="134"/>
      <c r="T634" s="134"/>
      <c r="U634" s="134"/>
      <c r="V634" s="134"/>
      <c r="W634" s="134"/>
      <c r="X634" s="134"/>
      <c r="Y634" s="134"/>
      <c r="Z634" s="134"/>
      <c r="AA634" s="134"/>
      <c r="AB634" s="134"/>
      <c r="AC634" s="134"/>
      <c r="AD634" s="442"/>
      <c r="AE634" s="442"/>
    </row>
    <row r="635" spans="1:31" ht="17.25" x14ac:dyDescent="0.3">
      <c r="A635" s="134"/>
      <c r="B635" s="134"/>
      <c r="C635" s="134"/>
      <c r="D635" s="134"/>
      <c r="E635" s="134"/>
      <c r="F635" s="134"/>
      <c r="G635" s="134"/>
      <c r="H635" s="134"/>
      <c r="I635" s="134"/>
      <c r="J635" s="134"/>
      <c r="K635" s="134"/>
      <c r="L635" s="134"/>
      <c r="M635" s="134"/>
      <c r="N635" s="134"/>
      <c r="O635" s="134"/>
      <c r="P635" s="134"/>
      <c r="Q635" s="134"/>
      <c r="R635" s="134"/>
      <c r="S635" s="134"/>
      <c r="T635" s="134"/>
      <c r="U635" s="134"/>
      <c r="V635" s="134"/>
      <c r="W635" s="134"/>
      <c r="X635" s="134"/>
      <c r="Y635" s="134"/>
      <c r="Z635" s="134"/>
      <c r="AA635" s="134"/>
      <c r="AB635" s="134"/>
      <c r="AC635" s="134"/>
      <c r="AD635" s="442"/>
      <c r="AE635" s="442"/>
    </row>
    <row r="636" spans="1:31" ht="17.25" x14ac:dyDescent="0.3">
      <c r="A636" s="134"/>
      <c r="B636" s="134" t="s">
        <v>1242</v>
      </c>
      <c r="C636" s="134"/>
      <c r="D636" s="134"/>
      <c r="E636" s="134"/>
      <c r="F636" s="134"/>
      <c r="G636" s="134"/>
      <c r="H636" s="134"/>
      <c r="I636" s="134"/>
      <c r="J636" s="134"/>
      <c r="K636" s="134"/>
      <c r="L636" s="134"/>
      <c r="M636" s="134"/>
      <c r="N636" s="134"/>
      <c r="O636" s="134"/>
      <c r="P636" s="134"/>
      <c r="Q636" s="134"/>
      <c r="R636" s="134"/>
      <c r="S636" s="134"/>
      <c r="T636" s="134"/>
      <c r="U636" s="134"/>
      <c r="V636" s="134"/>
      <c r="W636" s="134"/>
      <c r="X636" s="134"/>
      <c r="Y636" s="134"/>
      <c r="Z636" s="134"/>
      <c r="AA636" s="134"/>
      <c r="AB636" s="134"/>
      <c r="AC636" s="134"/>
      <c r="AD636" s="442"/>
      <c r="AE636" s="442"/>
    </row>
    <row r="637" spans="1:31" ht="17.25" x14ac:dyDescent="0.3">
      <c r="A637" s="134"/>
      <c r="B637" s="134" t="s">
        <v>15</v>
      </c>
      <c r="C637" s="134"/>
      <c r="D637" s="134"/>
      <c r="E637" s="445" t="s">
        <v>1243</v>
      </c>
      <c r="F637" s="134"/>
      <c r="G637" s="445" t="s">
        <v>414</v>
      </c>
      <c r="H637" s="445" t="s">
        <v>1244</v>
      </c>
      <c r="I637" s="134"/>
      <c r="J637" s="445" t="s">
        <v>1245</v>
      </c>
      <c r="K637" s="134"/>
      <c r="L637" s="445" t="s">
        <v>199</v>
      </c>
      <c r="M637" s="134"/>
      <c r="N637" s="134"/>
      <c r="O637" s="134"/>
      <c r="P637" s="134"/>
      <c r="Q637" s="134"/>
      <c r="R637" s="134"/>
      <c r="S637" s="134"/>
      <c r="T637" s="134"/>
      <c r="U637" s="134"/>
      <c r="V637" s="134"/>
      <c r="W637" s="134"/>
      <c r="X637" s="134"/>
      <c r="Y637" s="134"/>
      <c r="Z637" s="134"/>
      <c r="AA637" s="134"/>
      <c r="AB637" s="134"/>
      <c r="AC637" s="134"/>
      <c r="AD637" s="442"/>
      <c r="AE637" s="442"/>
    </row>
    <row r="638" spans="1:31" ht="17.25" x14ac:dyDescent="0.3">
      <c r="A638" s="134"/>
      <c r="B638" s="134" t="s">
        <v>1246</v>
      </c>
      <c r="C638" s="134"/>
      <c r="D638" s="134"/>
      <c r="E638" s="134">
        <v>2000</v>
      </c>
      <c r="F638" s="134"/>
      <c r="G638" s="459">
        <v>1</v>
      </c>
      <c r="H638" s="134">
        <f>ROUND($F$634*G638/E638, 0)</f>
        <v>1</v>
      </c>
      <c r="I638" s="134"/>
      <c r="J638" s="134">
        <v>2</v>
      </c>
      <c r="K638" s="134"/>
      <c r="L638" s="134">
        <f>H638*J638</f>
        <v>2</v>
      </c>
      <c r="M638" s="134"/>
      <c r="N638" s="134"/>
      <c r="O638" s="134"/>
      <c r="P638" s="134"/>
      <c r="Q638" s="134"/>
      <c r="R638" s="134"/>
      <c r="S638" s="134"/>
      <c r="T638" s="134"/>
      <c r="U638" s="134"/>
      <c r="V638" s="134"/>
      <c r="W638" s="134"/>
      <c r="X638" s="134"/>
      <c r="Y638" s="134"/>
      <c r="Z638" s="134"/>
      <c r="AA638" s="134"/>
      <c r="AB638" s="134"/>
      <c r="AC638" s="134"/>
      <c r="AD638" s="442"/>
      <c r="AE638" s="442"/>
    </row>
    <row r="639" spans="1:31" ht="17.25" x14ac:dyDescent="0.3">
      <c r="A639" s="134"/>
      <c r="B639" s="134" t="s">
        <v>1247</v>
      </c>
      <c r="C639" s="134"/>
      <c r="D639" s="134"/>
      <c r="E639" s="134">
        <v>2000</v>
      </c>
      <c r="F639" s="134"/>
      <c r="G639" s="459">
        <v>0</v>
      </c>
      <c r="H639" s="134">
        <f>ROUND($F$634*G639/E639, 0)</f>
        <v>0</v>
      </c>
      <c r="I639" s="134"/>
      <c r="J639" s="134">
        <v>2</v>
      </c>
      <c r="K639" s="134"/>
      <c r="L639" s="134">
        <f>H639*J639</f>
        <v>0</v>
      </c>
      <c r="M639" s="134"/>
      <c r="N639" s="134"/>
      <c r="O639" s="134"/>
      <c r="P639" s="134"/>
      <c r="Q639" s="134"/>
      <c r="R639" s="134"/>
      <c r="S639" s="134"/>
      <c r="T639" s="134"/>
      <c r="U639" s="134"/>
      <c r="V639" s="134"/>
      <c r="W639" s="134"/>
      <c r="X639" s="134"/>
      <c r="Y639" s="134"/>
      <c r="Z639" s="134"/>
      <c r="AA639" s="134"/>
      <c r="AB639" s="134"/>
      <c r="AC639" s="134"/>
      <c r="AD639" s="442"/>
      <c r="AE639" s="442"/>
    </row>
    <row r="640" spans="1:31" ht="17.25" x14ac:dyDescent="0.3">
      <c r="A640" s="134"/>
      <c r="B640" s="134"/>
      <c r="C640" s="134"/>
      <c r="D640" s="134"/>
      <c r="E640" s="134"/>
      <c r="F640" s="134"/>
      <c r="G640" s="134"/>
      <c r="H640" s="134"/>
      <c r="I640" s="134"/>
      <c r="J640" s="134"/>
      <c r="K640" s="134" t="s">
        <v>329</v>
      </c>
      <c r="L640" s="134">
        <f>SUM(L638:L639)</f>
        <v>2</v>
      </c>
      <c r="M640" s="134"/>
      <c r="N640" s="134"/>
      <c r="O640" s="134"/>
      <c r="P640" s="134"/>
      <c r="Q640" s="134"/>
      <c r="R640" s="134"/>
      <c r="S640" s="134"/>
      <c r="T640" s="134"/>
      <c r="U640" s="134"/>
      <c r="V640" s="134"/>
      <c r="W640" s="134"/>
      <c r="X640" s="134"/>
      <c r="Y640" s="134"/>
      <c r="Z640" s="134"/>
      <c r="AA640" s="134"/>
      <c r="AB640" s="134"/>
      <c r="AC640" s="134"/>
      <c r="AD640" s="442"/>
      <c r="AE640" s="442"/>
    </row>
    <row r="641" spans="1:31" ht="17.25" x14ac:dyDescent="0.3">
      <c r="A641" s="134"/>
      <c r="B641" s="134"/>
      <c r="C641" s="134"/>
      <c r="D641" s="134"/>
      <c r="E641" s="134"/>
      <c r="F641" s="134"/>
      <c r="G641" s="134"/>
      <c r="H641" s="134"/>
      <c r="I641" s="134"/>
      <c r="J641" s="134"/>
      <c r="K641" s="134"/>
      <c r="L641" s="134"/>
      <c r="M641" s="134"/>
      <c r="N641" s="134"/>
      <c r="O641" s="134"/>
      <c r="P641" s="134"/>
      <c r="Q641" s="134"/>
      <c r="R641" s="134"/>
      <c r="S641" s="134"/>
      <c r="T641" s="134"/>
      <c r="U641" s="134"/>
      <c r="V641" s="134"/>
      <c r="W641" s="134"/>
      <c r="X641" s="134"/>
      <c r="Y641" s="134"/>
      <c r="Z641" s="134"/>
      <c r="AA641" s="134"/>
      <c r="AB641" s="134"/>
      <c r="AC641" s="134"/>
      <c r="AD641" s="442"/>
      <c r="AE641" s="442"/>
    </row>
    <row r="642" spans="1:31" ht="17.25" x14ac:dyDescent="0.3">
      <c r="A642" s="134"/>
      <c r="B642" s="134" t="s">
        <v>1248</v>
      </c>
      <c r="C642" s="134"/>
      <c r="D642" s="134"/>
      <c r="E642" s="445" t="s">
        <v>414</v>
      </c>
      <c r="F642" s="134"/>
      <c r="G642" s="445" t="s">
        <v>199</v>
      </c>
      <c r="H642" s="134"/>
      <c r="I642" s="445" t="s">
        <v>1249</v>
      </c>
      <c r="J642" s="134"/>
      <c r="K642" s="134"/>
      <c r="L642" s="445" t="s">
        <v>1250</v>
      </c>
      <c r="M642" s="134"/>
      <c r="N642" s="134"/>
      <c r="O642" s="134"/>
      <c r="P642" s="134"/>
      <c r="Q642" s="134"/>
      <c r="R642" s="134"/>
      <c r="S642" s="134"/>
      <c r="T642" s="134"/>
      <c r="U642" s="134"/>
      <c r="V642" s="134"/>
      <c r="W642" s="134"/>
      <c r="X642" s="134"/>
      <c r="Y642" s="134"/>
      <c r="Z642" s="134"/>
      <c r="AA642" s="134"/>
      <c r="AB642" s="134"/>
      <c r="AC642" s="134"/>
      <c r="AD642" s="442"/>
      <c r="AE642" s="442"/>
    </row>
    <row r="643" spans="1:31" ht="17.25" x14ac:dyDescent="0.3">
      <c r="A643" s="134"/>
      <c r="B643" s="134" t="s">
        <v>738</v>
      </c>
      <c r="C643" s="134"/>
      <c r="D643" s="134"/>
      <c r="E643" s="459">
        <v>1</v>
      </c>
      <c r="F643" s="134"/>
      <c r="G643" s="457">
        <f>$L$640*E643</f>
        <v>2</v>
      </c>
      <c r="H643" s="134"/>
      <c r="I643" s="460">
        <v>8</v>
      </c>
      <c r="J643" s="134"/>
      <c r="K643" s="134"/>
      <c r="L643" s="134">
        <f>ROUND($L$640*E643/I643,4)</f>
        <v>0.25</v>
      </c>
      <c r="M643" s="134"/>
      <c r="N643" s="134"/>
      <c r="O643" s="134"/>
      <c r="P643" s="134"/>
      <c r="Q643" s="134"/>
      <c r="R643" s="134"/>
      <c r="S643" s="134"/>
      <c r="T643" s="134"/>
      <c r="U643" s="134"/>
      <c r="V643" s="134"/>
      <c r="W643" s="134"/>
      <c r="X643" s="134"/>
      <c r="Y643" s="134"/>
      <c r="Z643" s="134"/>
      <c r="AA643" s="134"/>
      <c r="AB643" s="134"/>
      <c r="AC643" s="134"/>
      <c r="AD643" s="442"/>
      <c r="AE643" s="442"/>
    </row>
    <row r="644" spans="1:31" ht="17.25" x14ac:dyDescent="0.3">
      <c r="A644" s="134"/>
      <c r="B644" s="134" t="s">
        <v>1251</v>
      </c>
      <c r="C644" s="134"/>
      <c r="D644" s="134"/>
      <c r="E644" s="459">
        <v>0</v>
      </c>
      <c r="F644" s="134"/>
      <c r="G644" s="457">
        <f>$L$640*E644</f>
        <v>0</v>
      </c>
      <c r="H644" s="134"/>
      <c r="I644" s="460">
        <v>4</v>
      </c>
      <c r="J644" s="134"/>
      <c r="K644" s="134"/>
      <c r="L644" s="134">
        <f>ROUND($L$640*E644/I644,4)</f>
        <v>0</v>
      </c>
      <c r="M644" s="134"/>
      <c r="N644" s="134"/>
      <c r="O644" s="134"/>
      <c r="P644" s="134"/>
      <c r="Q644" s="134"/>
      <c r="R644" s="134"/>
      <c r="S644" s="134"/>
      <c r="T644" s="134"/>
      <c r="U644" s="134"/>
      <c r="V644" s="134"/>
      <c r="W644" s="134"/>
      <c r="X644" s="134"/>
      <c r="Y644" s="134"/>
      <c r="Z644" s="134"/>
      <c r="AA644" s="134"/>
      <c r="AB644" s="134"/>
      <c r="AC644" s="134"/>
      <c r="AD644" s="442"/>
      <c r="AE644" s="442"/>
    </row>
    <row r="645" spans="1:31" ht="17.25" x14ac:dyDescent="0.3">
      <c r="A645" s="134"/>
      <c r="B645" s="134" t="s">
        <v>1252</v>
      </c>
      <c r="C645" s="134"/>
      <c r="D645" s="134"/>
      <c r="E645" s="459">
        <v>0</v>
      </c>
      <c r="F645" s="134"/>
      <c r="G645" s="457">
        <f>$L$640*E645</f>
        <v>0</v>
      </c>
      <c r="H645" s="134"/>
      <c r="I645" s="460">
        <v>4</v>
      </c>
      <c r="J645" s="134"/>
      <c r="K645" s="134"/>
      <c r="L645" s="134">
        <f>ROUND($L$640*E645/I645,4)</f>
        <v>0</v>
      </c>
      <c r="M645" s="134"/>
      <c r="N645" s="134"/>
      <c r="O645" s="134"/>
      <c r="P645" s="134"/>
      <c r="Q645" s="134"/>
      <c r="R645" s="134"/>
      <c r="S645" s="134"/>
      <c r="T645" s="134"/>
      <c r="U645" s="134"/>
      <c r="V645" s="134"/>
      <c r="W645" s="134"/>
      <c r="X645" s="134"/>
      <c r="Y645" s="134"/>
      <c r="Z645" s="134"/>
      <c r="AA645" s="134"/>
      <c r="AB645" s="134"/>
      <c r="AC645" s="134"/>
      <c r="AD645" s="442"/>
      <c r="AE645" s="442"/>
    </row>
    <row r="646" spans="1:31" ht="17.25" x14ac:dyDescent="0.3">
      <c r="A646" s="134"/>
      <c r="B646" s="134"/>
      <c r="C646" s="134"/>
      <c r="D646" s="134"/>
      <c r="E646" s="134"/>
      <c r="F646" s="461" t="s">
        <v>329</v>
      </c>
      <c r="G646" s="457">
        <f>SUM(G643:G645)</f>
        <v>2</v>
      </c>
      <c r="H646" s="134"/>
      <c r="I646" s="134"/>
      <c r="J646" s="134"/>
      <c r="K646" s="134" t="s">
        <v>329</v>
      </c>
      <c r="L646" s="134">
        <f>SUM(L643:L645)</f>
        <v>0.25</v>
      </c>
      <c r="M646" s="134" t="s">
        <v>471</v>
      </c>
      <c r="N646" s="458" t="s">
        <v>201</v>
      </c>
      <c r="O646" s="134">
        <f>L646*[1]Listas!$E$5</f>
        <v>0.29166666666666669</v>
      </c>
      <c r="P646" s="134" t="s">
        <v>473</v>
      </c>
      <c r="Q646" s="134"/>
      <c r="R646" s="134"/>
      <c r="S646" s="134"/>
      <c r="T646" s="134"/>
      <c r="U646" s="134"/>
      <c r="V646" s="134"/>
      <c r="W646" s="134"/>
      <c r="X646" s="134"/>
      <c r="Y646" s="134"/>
      <c r="Z646" s="134"/>
      <c r="AA646" s="134"/>
      <c r="AB646" s="134"/>
      <c r="AC646" s="134"/>
      <c r="AD646" s="442"/>
      <c r="AE646" s="442"/>
    </row>
    <row r="647" spans="1:31" ht="17.25" x14ac:dyDescent="0.3">
      <c r="A647" s="134"/>
      <c r="B647" s="134"/>
      <c r="C647" s="134"/>
      <c r="D647" s="134"/>
      <c r="E647" s="134"/>
      <c r="F647" s="134"/>
      <c r="G647" s="134"/>
      <c r="H647" s="134"/>
      <c r="I647" s="134"/>
      <c r="J647" s="134"/>
      <c r="K647" s="134"/>
      <c r="L647" s="134"/>
      <c r="M647" s="134"/>
      <c r="N647" s="134"/>
      <c r="O647" s="134"/>
      <c r="P647" s="134"/>
      <c r="Q647" s="134"/>
      <c r="R647" s="134"/>
      <c r="S647" s="134"/>
      <c r="T647" s="134"/>
      <c r="U647" s="134"/>
      <c r="V647" s="134"/>
      <c r="W647" s="134"/>
      <c r="X647" s="134"/>
      <c r="Y647" s="134"/>
      <c r="Z647" s="134"/>
      <c r="AA647" s="134"/>
      <c r="AB647" s="134"/>
      <c r="AC647" s="134"/>
      <c r="AD647" s="442"/>
      <c r="AE647" s="442"/>
    </row>
    <row r="648" spans="1:31" ht="17.25" x14ac:dyDescent="0.3">
      <c r="A648" s="134"/>
      <c r="B648" s="134" t="s">
        <v>474</v>
      </c>
      <c r="C648" s="134">
        <v>1</v>
      </c>
      <c r="D648" s="134" t="s">
        <v>1253</v>
      </c>
      <c r="E648" s="458" t="s">
        <v>201</v>
      </c>
      <c r="F648" s="134">
        <f>L646/C648</f>
        <v>0.25</v>
      </c>
      <c r="G648" s="134" t="s">
        <v>472</v>
      </c>
      <c r="H648" s="134"/>
      <c r="I648" s="445" t="s">
        <v>431</v>
      </c>
      <c r="J648" s="134">
        <v>1</v>
      </c>
      <c r="K648" s="134" t="s">
        <v>1254</v>
      </c>
      <c r="L648" s="445" t="s">
        <v>432</v>
      </c>
      <c r="M648" s="134">
        <f>F648+J648</f>
        <v>1.25</v>
      </c>
      <c r="N648" s="134" t="s">
        <v>1255</v>
      </c>
      <c r="O648" s="134"/>
      <c r="P648" s="134"/>
      <c r="Q648" s="134"/>
      <c r="R648" s="134"/>
      <c r="S648" s="134"/>
      <c r="T648" s="134"/>
      <c r="U648" s="134"/>
      <c r="V648" s="134"/>
      <c r="W648" s="134"/>
      <c r="X648" s="134"/>
      <c r="Y648" s="134"/>
      <c r="Z648" s="134"/>
      <c r="AA648" s="134"/>
      <c r="AB648" s="134"/>
      <c r="AC648" s="134"/>
      <c r="AD648" s="442"/>
      <c r="AE648" s="442"/>
    </row>
    <row r="649" spans="1:31" ht="17.25" x14ac:dyDescent="0.3">
      <c r="A649" s="134"/>
      <c r="B649" s="134"/>
      <c r="C649" s="134"/>
      <c r="D649" s="134"/>
      <c r="E649" s="134"/>
      <c r="F649" s="134">
        <f>O646/C648</f>
        <v>0.29166666666666669</v>
      </c>
      <c r="G649" s="134" t="s">
        <v>473</v>
      </c>
      <c r="H649" s="134"/>
      <c r="I649" s="134"/>
      <c r="J649" s="134"/>
      <c r="K649" s="134"/>
      <c r="L649" s="134"/>
      <c r="M649" s="134">
        <f>F649+J648</f>
        <v>1.2916666666666667</v>
      </c>
      <c r="N649" s="134" t="s">
        <v>1256</v>
      </c>
      <c r="O649" s="134"/>
      <c r="P649" s="134"/>
      <c r="Q649" s="134"/>
      <c r="R649" s="134"/>
      <c r="S649" s="134"/>
      <c r="T649" s="134"/>
      <c r="U649" s="134"/>
      <c r="V649" s="134"/>
      <c r="W649" s="134"/>
      <c r="X649" s="134"/>
      <c r="Y649" s="134"/>
      <c r="Z649" s="134"/>
      <c r="AA649" s="134"/>
      <c r="AB649" s="134"/>
      <c r="AC649" s="134"/>
      <c r="AD649" s="442"/>
      <c r="AE649" s="442"/>
    </row>
    <row r="650" spans="1:31" ht="17.25" x14ac:dyDescent="0.3">
      <c r="A650" s="134"/>
      <c r="B650" s="134"/>
      <c r="C650" s="134"/>
      <c r="D650" s="134"/>
      <c r="E650" s="134"/>
      <c r="F650" s="134"/>
      <c r="G650" s="134"/>
      <c r="H650" s="134"/>
      <c r="I650" s="134"/>
      <c r="J650" s="134"/>
      <c r="K650" s="134"/>
      <c r="L650" s="134"/>
      <c r="M650" s="134"/>
      <c r="N650" s="134"/>
      <c r="O650" s="134"/>
      <c r="P650" s="134"/>
      <c r="Q650" s="134"/>
      <c r="R650" s="134"/>
      <c r="S650" s="134"/>
      <c r="T650" s="134"/>
      <c r="U650" s="134"/>
      <c r="V650" s="134"/>
      <c r="W650" s="134"/>
      <c r="X650" s="134"/>
      <c r="Y650" s="134"/>
      <c r="Z650" s="134"/>
      <c r="AA650" s="134"/>
      <c r="AB650" s="134"/>
      <c r="AC650" s="134"/>
      <c r="AD650" s="442"/>
      <c r="AE650" s="442"/>
    </row>
    <row r="651" spans="1:31" ht="17.25" x14ac:dyDescent="0.3">
      <c r="A651" s="39" t="s">
        <v>61</v>
      </c>
      <c r="B651" t="s">
        <v>338</v>
      </c>
      <c r="C651"/>
      <c r="D651"/>
      <c r="E651"/>
      <c r="F651"/>
      <c r="G651"/>
      <c r="H651"/>
      <c r="I651"/>
      <c r="J651"/>
      <c r="K651"/>
      <c r="L651"/>
      <c r="M651"/>
      <c r="N651"/>
      <c r="O651"/>
      <c r="P651"/>
      <c r="Q651"/>
      <c r="R651"/>
      <c r="S651"/>
      <c r="T651"/>
      <c r="U651"/>
      <c r="V651"/>
      <c r="W651"/>
      <c r="X651"/>
      <c r="Y651"/>
      <c r="Z651"/>
      <c r="AA651"/>
      <c r="AB651"/>
      <c r="AC651"/>
      <c r="AD651" s="442"/>
      <c r="AE651" s="442"/>
    </row>
    <row r="652" spans="1:31" ht="17.25" x14ac:dyDescent="0.3">
      <c r="A652"/>
      <c r="B652" s="39" t="s">
        <v>360</v>
      </c>
      <c r="C652" t="s">
        <v>15</v>
      </c>
      <c r="D652"/>
      <c r="E652"/>
      <c r="F652" s="39" t="s">
        <v>321</v>
      </c>
      <c r="G652" s="39"/>
      <c r="H652" s="39" t="s">
        <v>322</v>
      </c>
      <c r="I652" s="39"/>
      <c r="J652" s="39" t="s">
        <v>323</v>
      </c>
      <c r="K652" s="39"/>
      <c r="L652" s="39" t="s">
        <v>324</v>
      </c>
      <c r="M652" s="39"/>
      <c r="N652" s="39" t="s">
        <v>325</v>
      </c>
      <c r="O652" s="39"/>
      <c r="P652" s="39" t="s">
        <v>326</v>
      </c>
      <c r="Q652" s="39"/>
      <c r="R652" s="39" t="s">
        <v>327</v>
      </c>
      <c r="S652" s="39"/>
      <c r="T652" s="39" t="s">
        <v>328</v>
      </c>
      <c r="U652" s="39" t="s">
        <v>329</v>
      </c>
      <c r="V652"/>
      <c r="W652"/>
      <c r="X652"/>
      <c r="Y652"/>
      <c r="Z652"/>
      <c r="AA652"/>
      <c r="AB652"/>
      <c r="AC652"/>
      <c r="AD652" s="442"/>
      <c r="AE652" s="442"/>
    </row>
    <row r="653" spans="1:31" ht="17.25" x14ac:dyDescent="0.3">
      <c r="A653"/>
      <c r="B653" s="39"/>
      <c r="C653"/>
      <c r="D653"/>
      <c r="E653"/>
      <c r="F653" s="39"/>
      <c r="G653" s="39"/>
      <c r="H653" s="39" t="s">
        <v>330</v>
      </c>
      <c r="I653" s="39"/>
      <c r="J653" s="39" t="s">
        <v>331</v>
      </c>
      <c r="K653" s="39"/>
      <c r="L653" s="39" t="s">
        <v>332</v>
      </c>
      <c r="M653" s="39"/>
      <c r="N653" s="39" t="s">
        <v>333</v>
      </c>
      <c r="O653" s="39"/>
      <c r="P653" s="39" t="s">
        <v>334</v>
      </c>
      <c r="Q653" s="39"/>
      <c r="R653" s="39" t="s">
        <v>335</v>
      </c>
      <c r="S653" s="39"/>
      <c r="T653" s="39" t="s">
        <v>336</v>
      </c>
      <c r="U653" s="39" t="s">
        <v>337</v>
      </c>
      <c r="V653"/>
      <c r="W653"/>
      <c r="X653"/>
      <c r="Y653"/>
      <c r="Z653"/>
      <c r="AA653"/>
      <c r="AB653"/>
      <c r="AC653"/>
      <c r="AD653" s="442"/>
      <c r="AE653" s="442"/>
    </row>
    <row r="654" spans="1:31" ht="17.25" x14ac:dyDescent="0.3">
      <c r="A654"/>
      <c r="B654" s="39" t="s">
        <v>165</v>
      </c>
      <c r="C654" t="str">
        <f ca="1">IFERROR(VLOOKUP(B654,MO_Matriz,2,0),"")</f>
        <v>Sondador</v>
      </c>
      <c r="D654"/>
      <c r="E654"/>
      <c r="F654" s="39" t="str">
        <f ca="1">IFERROR(VLOOKUP(B654,MO_Matriz,3,0),"")</f>
        <v>T</v>
      </c>
      <c r="G654"/>
      <c r="H654">
        <f>$C$648</f>
        <v>1</v>
      </c>
      <c r="I654"/>
      <c r="J654">
        <v>1</v>
      </c>
      <c r="K654"/>
      <c r="L654">
        <f>[1]Listas!$B$6</f>
        <v>7.333333333333333</v>
      </c>
      <c r="M654"/>
      <c r="N654">
        <f>M648</f>
        <v>1.25</v>
      </c>
      <c r="O654"/>
      <c r="P654">
        <f t="shared" ref="P654:P655" si="18">H654*J654*L654*N654</f>
        <v>9.1666666666666661</v>
      </c>
      <c r="Q654"/>
      <c r="R654">
        <f t="shared" ref="R654:R655" si="19">P654/220</f>
        <v>4.1666666666666664E-2</v>
      </c>
      <c r="S654"/>
      <c r="T654" s="446">
        <f ca="1">IFERROR(VLOOKUP(B654,MO_Matriz,5,0),"")</f>
        <v>5087.7700000000004</v>
      </c>
      <c r="U654" s="446">
        <f t="shared" ref="U654:U655" ca="1" si="20">R654*T654</f>
        <v>211.99041666666668</v>
      </c>
      <c r="V654"/>
      <c r="W654"/>
      <c r="X654"/>
      <c r="Y654"/>
      <c r="Z654"/>
      <c r="AA654"/>
      <c r="AB654"/>
      <c r="AC654"/>
      <c r="AD654" s="442"/>
      <c r="AE654" s="442"/>
    </row>
    <row r="655" spans="1:31" ht="17.25" x14ac:dyDescent="0.3">
      <c r="A655"/>
      <c r="B655" s="39" t="s">
        <v>59</v>
      </c>
      <c r="C655" t="str">
        <f ca="1">IFERROR(VLOOKUP(B655,MO_Matriz,2,0),"")</f>
        <v>Auxiliar</v>
      </c>
      <c r="D655"/>
      <c r="E655"/>
      <c r="F655" s="39" t="str">
        <f ca="1">IFERROR(VLOOKUP(B655,MO_Matriz,3,0),"")</f>
        <v>A</v>
      </c>
      <c r="G655"/>
      <c r="H655">
        <f>$C$648</f>
        <v>1</v>
      </c>
      <c r="I655"/>
      <c r="J655">
        <v>6</v>
      </c>
      <c r="K655"/>
      <c r="L655">
        <f>[1]Listas!$B$6</f>
        <v>7.333333333333333</v>
      </c>
      <c r="M655"/>
      <c r="N655">
        <f>F648</f>
        <v>0.25</v>
      </c>
      <c r="O655"/>
      <c r="P655">
        <f t="shared" si="18"/>
        <v>11</v>
      </c>
      <c r="Q655"/>
      <c r="R655">
        <f t="shared" si="19"/>
        <v>0.05</v>
      </c>
      <c r="S655"/>
      <c r="T655" s="446">
        <f ca="1">IFERROR(VLOOKUP(B655,MO_Matriz,5,0),"")</f>
        <v>4276.41</v>
      </c>
      <c r="U655" s="446">
        <f t="shared" ca="1" si="20"/>
        <v>213.82050000000001</v>
      </c>
      <c r="V655"/>
      <c r="W655"/>
      <c r="X655"/>
      <c r="Y655"/>
      <c r="Z655"/>
      <c r="AA655"/>
      <c r="AB655"/>
      <c r="AC655"/>
      <c r="AD655" s="442"/>
      <c r="AE655" s="442"/>
    </row>
    <row r="656" spans="1:31" ht="17.25" x14ac:dyDescent="0.3">
      <c r="A656"/>
      <c r="B656"/>
      <c r="C656"/>
      <c r="D656"/>
      <c r="E656"/>
      <c r="F656"/>
      <c r="G656"/>
      <c r="H656"/>
      <c r="I656"/>
      <c r="J656"/>
      <c r="K656"/>
      <c r="L656"/>
      <c r="M656"/>
      <c r="N656"/>
      <c r="O656"/>
      <c r="P656"/>
      <c r="Q656"/>
      <c r="R656"/>
      <c r="S656"/>
      <c r="T656" s="447" t="s">
        <v>329</v>
      </c>
      <c r="U656" s="448">
        <f ca="1">SUM(U654:U655)</f>
        <v>425.81091666666669</v>
      </c>
      <c r="V656"/>
      <c r="W656"/>
      <c r="X656"/>
      <c r="Y656"/>
      <c r="Z656"/>
      <c r="AA656"/>
      <c r="AB656"/>
      <c r="AC656"/>
      <c r="AD656" s="442"/>
      <c r="AE656" s="442"/>
    </row>
    <row r="657" spans="1:31" ht="17.25" x14ac:dyDescent="0.3">
      <c r="A657" s="39" t="s">
        <v>339</v>
      </c>
      <c r="B657" t="s">
        <v>340</v>
      </c>
      <c r="C657"/>
      <c r="D657"/>
      <c r="E657"/>
      <c r="F657"/>
      <c r="G657"/>
      <c r="H657"/>
      <c r="I657"/>
      <c r="J657"/>
      <c r="K657"/>
      <c r="L657"/>
      <c r="M657"/>
      <c r="N657"/>
      <c r="O657"/>
      <c r="P657"/>
      <c r="Q657"/>
      <c r="R657"/>
      <c r="S657"/>
      <c r="T657"/>
      <c r="U657"/>
      <c r="V657"/>
      <c r="W657"/>
      <c r="X657"/>
      <c r="Y657"/>
      <c r="Z657"/>
      <c r="AA657"/>
      <c r="AB657"/>
      <c r="AC657"/>
      <c r="AD657" s="442"/>
      <c r="AE657" s="442"/>
    </row>
    <row r="658" spans="1:31" ht="17.25" x14ac:dyDescent="0.3">
      <c r="A658"/>
      <c r="B658" s="39" t="s">
        <v>360</v>
      </c>
      <c r="C658" t="s">
        <v>15</v>
      </c>
      <c r="D658"/>
      <c r="E658"/>
      <c r="F658" s="39" t="s">
        <v>31</v>
      </c>
      <c r="G658" s="39" t="s">
        <v>224</v>
      </c>
      <c r="H658" s="39" t="s">
        <v>361</v>
      </c>
      <c r="I658" s="39" t="s">
        <v>328</v>
      </c>
      <c r="J658" s="449" t="s">
        <v>362</v>
      </c>
      <c r="K658"/>
      <c r="L658"/>
      <c r="M658"/>
      <c r="N658"/>
      <c r="O658"/>
      <c r="P658"/>
      <c r="Q658"/>
      <c r="R658"/>
      <c r="S658"/>
      <c r="T658"/>
      <c r="U658"/>
      <c r="V658"/>
      <c r="W658"/>
      <c r="X658"/>
      <c r="Y658"/>
      <c r="Z658"/>
      <c r="AA658"/>
      <c r="AB658"/>
      <c r="AC658"/>
      <c r="AD658" s="442"/>
      <c r="AE658" s="442"/>
    </row>
    <row r="659" spans="1:31" ht="17.25" x14ac:dyDescent="0.3">
      <c r="A659"/>
      <c r="B659" s="39"/>
      <c r="C659"/>
      <c r="D659"/>
      <c r="E659"/>
      <c r="F659" s="39" t="s">
        <v>363</v>
      </c>
      <c r="G659" s="39" t="s">
        <v>330</v>
      </c>
      <c r="H659" s="39" t="s">
        <v>364</v>
      </c>
      <c r="I659" s="39" t="s">
        <v>332</v>
      </c>
      <c r="J659" s="449" t="s">
        <v>365</v>
      </c>
      <c r="K659"/>
      <c r="L659"/>
      <c r="M659"/>
      <c r="N659"/>
      <c r="O659"/>
      <c r="P659"/>
      <c r="Q659"/>
      <c r="R659"/>
      <c r="S659"/>
      <c r="T659"/>
      <c r="U659"/>
      <c r="V659"/>
      <c r="W659"/>
      <c r="X659"/>
      <c r="Y659"/>
      <c r="Z659"/>
      <c r="AA659"/>
      <c r="AB659"/>
      <c r="AC659"/>
      <c r="AD659" s="442"/>
      <c r="AE659" s="442"/>
    </row>
    <row r="660" spans="1:31" ht="17.25" x14ac:dyDescent="0.3">
      <c r="A660"/>
      <c r="B660" s="39" t="s">
        <v>194</v>
      </c>
      <c r="C660" t="str">
        <f ca="1">IFERROR(VLOOKUP(B660,Veiculo_Equip_Matriz,2,0),"")</f>
        <v>Veículo tipo van furgão com capacidade de 1,38 t - 100 kW (com motorista)</v>
      </c>
      <c r="D660"/>
      <c r="E660"/>
      <c r="F660">
        <v>1</v>
      </c>
      <c r="G660">
        <f>M649</f>
        <v>1.2916666666666667</v>
      </c>
      <c r="H660">
        <f>G660/30</f>
        <v>4.3055555555555555E-2</v>
      </c>
      <c r="I660" s="446">
        <f ca="1">IFERROR(VLOOKUP(B660,Veiculo_Equip_Matriz,10,0),"")</f>
        <v>10762.441800000001</v>
      </c>
      <c r="J660" s="448">
        <f ca="1">F660*H660*I660</f>
        <v>463.38291083333337</v>
      </c>
      <c r="K660"/>
      <c r="L660"/>
      <c r="M660"/>
      <c r="N660"/>
      <c r="O660"/>
      <c r="P660"/>
      <c r="Q660"/>
      <c r="R660"/>
      <c r="S660"/>
      <c r="T660"/>
      <c r="U660"/>
      <c r="V660"/>
      <c r="W660"/>
      <c r="X660"/>
      <c r="Y660"/>
      <c r="Z660"/>
      <c r="AA660"/>
      <c r="AB660"/>
      <c r="AC660"/>
      <c r="AD660" s="442"/>
      <c r="AE660" s="442"/>
    </row>
    <row r="661" spans="1:31" ht="17.25" x14ac:dyDescent="0.3">
      <c r="A661"/>
      <c r="B661"/>
      <c r="C661"/>
      <c r="D661"/>
      <c r="E661"/>
      <c r="F661"/>
      <c r="G661"/>
      <c r="H661"/>
      <c r="I661"/>
      <c r="J661"/>
      <c r="K661"/>
      <c r="L661"/>
      <c r="M661"/>
      <c r="N661"/>
      <c r="O661"/>
      <c r="P661"/>
      <c r="Q661"/>
      <c r="R661"/>
      <c r="S661"/>
      <c r="T661"/>
      <c r="U661"/>
      <c r="V661"/>
      <c r="W661"/>
      <c r="X661"/>
      <c r="Y661"/>
      <c r="Z661"/>
      <c r="AA661"/>
      <c r="AB661"/>
      <c r="AC661"/>
      <c r="AD661" s="442"/>
      <c r="AE661" s="442"/>
    </row>
    <row r="662" spans="1:31" ht="17.25" x14ac:dyDescent="0.3">
      <c r="A662" s="39" t="s">
        <v>348</v>
      </c>
      <c r="B662" t="s">
        <v>349</v>
      </c>
      <c r="C662"/>
      <c r="D662"/>
      <c r="E662"/>
      <c r="F662"/>
      <c r="G662"/>
      <c r="H662"/>
      <c r="I662"/>
      <c r="J662"/>
      <c r="K662"/>
      <c r="L662"/>
      <c r="M662"/>
      <c r="N662"/>
      <c r="O662"/>
      <c r="P662"/>
      <c r="Q662"/>
      <c r="R662"/>
      <c r="S662"/>
      <c r="T662"/>
      <c r="U662"/>
      <c r="V662"/>
      <c r="W662"/>
      <c r="X662"/>
      <c r="Y662"/>
      <c r="Z662"/>
      <c r="AA662"/>
      <c r="AB662"/>
      <c r="AC662"/>
      <c r="AD662" s="442"/>
      <c r="AE662" s="442"/>
    </row>
    <row r="663" spans="1:31" ht="17.25" x14ac:dyDescent="0.3">
      <c r="A663" s="39" t="s">
        <v>451</v>
      </c>
      <c r="B663" t="s">
        <v>452</v>
      </c>
      <c r="C663"/>
      <c r="D663"/>
      <c r="E663"/>
      <c r="F663"/>
      <c r="G663"/>
      <c r="H663"/>
      <c r="I663"/>
      <c r="J663"/>
      <c r="K663"/>
      <c r="L663"/>
      <c r="M663"/>
      <c r="N663"/>
      <c r="O663"/>
      <c r="P663"/>
      <c r="Q663"/>
      <c r="R663"/>
      <c r="S663"/>
      <c r="T663"/>
      <c r="U663"/>
      <c r="V663"/>
      <c r="W663"/>
      <c r="X663"/>
      <c r="Y663"/>
      <c r="Z663"/>
      <c r="AA663"/>
      <c r="AB663"/>
      <c r="AC663"/>
      <c r="AD663" s="442"/>
      <c r="AE663" s="442"/>
    </row>
    <row r="664" spans="1:31" ht="17.25" x14ac:dyDescent="0.3">
      <c r="A664"/>
      <c r="B664" s="39" t="s">
        <v>360</v>
      </c>
      <c r="C664" t="s">
        <v>15</v>
      </c>
      <c r="D664"/>
      <c r="E664"/>
      <c r="F664" s="39" t="s">
        <v>321</v>
      </c>
      <c r="G664" s="39"/>
      <c r="H664" s="39" t="s">
        <v>453</v>
      </c>
      <c r="I664" s="39"/>
      <c r="J664" s="39" t="s">
        <v>454</v>
      </c>
      <c r="K664"/>
      <c r="L664"/>
      <c r="M664"/>
      <c r="N664"/>
      <c r="O664"/>
      <c r="P664"/>
      <c r="Q664"/>
      <c r="R664"/>
      <c r="S664"/>
      <c r="T664"/>
      <c r="U664"/>
      <c r="V664"/>
      <c r="W664"/>
      <c r="X664"/>
      <c r="Y664"/>
      <c r="Z664"/>
      <c r="AA664"/>
      <c r="AB664"/>
      <c r="AC664"/>
      <c r="AD664" s="442"/>
      <c r="AE664" s="442"/>
    </row>
    <row r="665" spans="1:31" ht="17.25" x14ac:dyDescent="0.3">
      <c r="A665"/>
      <c r="B665" s="39" t="s">
        <v>165</v>
      </c>
      <c r="C665" t="str">
        <f ca="1">IFERROR(VLOOKUP(B665,MO_Matriz,2,0),"")</f>
        <v>Sondador</v>
      </c>
      <c r="D665"/>
      <c r="E665"/>
      <c r="F665" s="39" t="str">
        <f ca="1">IFERROR(VLOOKUP(B665,MO_Matriz,3,0),"")</f>
        <v>T</v>
      </c>
      <c r="G665"/>
      <c r="H665" t="s">
        <v>455</v>
      </c>
      <c r="I665"/>
      <c r="J665">
        <f>H654*J654</f>
        <v>1</v>
      </c>
      <c r="K665"/>
      <c r="L665"/>
      <c r="M665"/>
      <c r="N665"/>
      <c r="O665"/>
      <c r="P665"/>
      <c r="Q665"/>
      <c r="R665"/>
      <c r="S665"/>
      <c r="T665"/>
      <c r="U665"/>
      <c r="V665"/>
      <c r="W665"/>
      <c r="X665"/>
      <c r="Y665"/>
      <c r="Z665"/>
      <c r="AA665"/>
      <c r="AB665"/>
      <c r="AC665"/>
      <c r="AD665" s="442"/>
      <c r="AE665" s="442"/>
    </row>
    <row r="666" spans="1:31" ht="17.25" x14ac:dyDescent="0.3">
      <c r="A666"/>
      <c r="B666" s="39" t="s">
        <v>59</v>
      </c>
      <c r="C666" t="str">
        <f ca="1">IFERROR(VLOOKUP(B666,MO_Matriz,2,0),"")</f>
        <v>Auxiliar</v>
      </c>
      <c r="D666"/>
      <c r="E666"/>
      <c r="F666" s="39" t="str">
        <f ca="1">IFERROR(VLOOKUP(B666,MO_Matriz,3,0),"")</f>
        <v>A</v>
      </c>
      <c r="G666"/>
      <c r="H666" t="s">
        <v>455</v>
      </c>
      <c r="I666"/>
      <c r="J666">
        <v>0</v>
      </c>
      <c r="K666"/>
      <c r="L666"/>
      <c r="M666"/>
      <c r="N666"/>
      <c r="O666"/>
      <c r="P666"/>
      <c r="Q666"/>
      <c r="R666"/>
      <c r="S666"/>
      <c r="T666"/>
      <c r="U666"/>
      <c r="V666"/>
      <c r="W666"/>
      <c r="X666"/>
      <c r="Y666"/>
      <c r="Z666"/>
      <c r="AA666"/>
      <c r="AB666"/>
      <c r="AC666"/>
      <c r="AD666" s="442"/>
      <c r="AE666" s="442"/>
    </row>
    <row r="667" spans="1:31" ht="17.25" x14ac:dyDescent="0.3">
      <c r="A667"/>
      <c r="B667" s="39" t="s">
        <v>259</v>
      </c>
      <c r="C667" t="s">
        <v>1236</v>
      </c>
      <c r="D667"/>
      <c r="E667"/>
      <c r="F667" s="39" t="str">
        <f ca="1">IFERROR(VLOOKUP(B667,MO_Matriz,3,0),"")</f>
        <v/>
      </c>
      <c r="G667"/>
      <c r="H667" t="s">
        <v>455</v>
      </c>
      <c r="I667"/>
      <c r="J667">
        <v>0</v>
      </c>
      <c r="K667"/>
      <c r="L667"/>
      <c r="M667"/>
      <c r="N667"/>
      <c r="O667"/>
      <c r="P667"/>
      <c r="Q667"/>
      <c r="R667"/>
      <c r="S667"/>
      <c r="T667"/>
      <c r="U667"/>
      <c r="V667"/>
      <c r="W667"/>
      <c r="X667"/>
      <c r="Y667"/>
      <c r="Z667"/>
      <c r="AA667"/>
      <c r="AB667"/>
      <c r="AC667"/>
      <c r="AD667" s="442"/>
      <c r="AE667" s="442"/>
    </row>
    <row r="668" spans="1:31" ht="17.25" x14ac:dyDescent="0.3">
      <c r="A668"/>
      <c r="B668"/>
      <c r="C668"/>
      <c r="D668"/>
      <c r="E668"/>
      <c r="F668"/>
      <c r="G668"/>
      <c r="H668"/>
      <c r="I668" t="s">
        <v>329</v>
      </c>
      <c r="J668">
        <f>SUM(J665:J667)</f>
        <v>1</v>
      </c>
      <c r="K668"/>
      <c r="L668"/>
      <c r="M668"/>
      <c r="N668"/>
      <c r="O668"/>
      <c r="P668"/>
      <c r="Q668"/>
      <c r="R668"/>
      <c r="S668"/>
      <c r="T668"/>
      <c r="U668"/>
      <c r="V668"/>
      <c r="W668"/>
      <c r="X668"/>
      <c r="Y668"/>
      <c r="Z668"/>
      <c r="AA668"/>
      <c r="AB668"/>
      <c r="AC668"/>
      <c r="AD668" s="442"/>
      <c r="AE668" s="442"/>
    </row>
    <row r="669" spans="1:31" ht="17.25" x14ac:dyDescent="0.3">
      <c r="A669"/>
      <c r="B669"/>
      <c r="C669"/>
      <c r="D669"/>
      <c r="E669"/>
      <c r="F669"/>
      <c r="G669"/>
      <c r="H669"/>
      <c r="I669"/>
      <c r="J669"/>
      <c r="K669"/>
      <c r="L669"/>
      <c r="M669"/>
      <c r="N669"/>
      <c r="O669"/>
      <c r="P669"/>
      <c r="Q669"/>
      <c r="R669"/>
      <c r="S669"/>
      <c r="T669"/>
      <c r="U669"/>
      <c r="V669"/>
      <c r="W669"/>
      <c r="X669"/>
      <c r="Y669"/>
      <c r="Z669"/>
      <c r="AA669"/>
      <c r="AB669"/>
      <c r="AC669"/>
      <c r="AD669" s="442"/>
      <c r="AE669" s="442"/>
    </row>
    <row r="670" spans="1:31" ht="17.25" x14ac:dyDescent="0.3">
      <c r="A670" s="39" t="s">
        <v>456</v>
      </c>
      <c r="B670" t="s">
        <v>457</v>
      </c>
      <c r="C670"/>
      <c r="D670"/>
      <c r="E670"/>
      <c r="F670"/>
      <c r="G670"/>
      <c r="H670"/>
      <c r="I670"/>
      <c r="J670"/>
      <c r="K670"/>
      <c r="L670"/>
      <c r="M670"/>
      <c r="N670"/>
      <c r="O670"/>
      <c r="P670"/>
      <c r="Q670"/>
      <c r="R670"/>
      <c r="S670"/>
      <c r="T670"/>
      <c r="U670"/>
      <c r="V670"/>
      <c r="W670"/>
      <c r="X670"/>
      <c r="Y670"/>
      <c r="Z670"/>
      <c r="AA670"/>
      <c r="AB670"/>
      <c r="AC670"/>
      <c r="AD670" s="442"/>
      <c r="AE670" s="442"/>
    </row>
    <row r="671" spans="1:31" ht="17.25" x14ac:dyDescent="0.3">
      <c r="A671" s="39"/>
      <c r="B671" t="s">
        <v>458</v>
      </c>
      <c r="C671"/>
      <c r="D671"/>
      <c r="E671"/>
      <c r="F671"/>
      <c r="G671"/>
      <c r="H671"/>
      <c r="I671"/>
      <c r="J671"/>
      <c r="K671"/>
      <c r="L671"/>
      <c r="M671"/>
      <c r="N671"/>
      <c r="O671"/>
      <c r="P671"/>
      <c r="Q671"/>
      <c r="R671"/>
      <c r="S671"/>
      <c r="T671"/>
      <c r="U671"/>
      <c r="V671"/>
      <c r="W671"/>
      <c r="X671"/>
      <c r="Y671"/>
      <c r="Z671"/>
      <c r="AA671"/>
      <c r="AB671"/>
      <c r="AC671"/>
      <c r="AD671" s="442"/>
      <c r="AE671" s="442"/>
    </row>
    <row r="672" spans="1:31" ht="17.25" x14ac:dyDescent="0.3">
      <c r="A672"/>
      <c r="B672"/>
      <c r="C672"/>
      <c r="D672"/>
      <c r="E672"/>
      <c r="F672"/>
      <c r="G672"/>
      <c r="H672"/>
      <c r="I672"/>
      <c r="J672"/>
      <c r="K672"/>
      <c r="L672"/>
      <c r="M672"/>
      <c r="N672"/>
      <c r="O672"/>
      <c r="P672"/>
      <c r="Q672"/>
      <c r="R672"/>
      <c r="S672"/>
      <c r="T672"/>
      <c r="U672"/>
      <c r="V672"/>
      <c r="W672"/>
      <c r="X672"/>
      <c r="Y672"/>
      <c r="Z672"/>
      <c r="AA672"/>
      <c r="AB672"/>
      <c r="AC672"/>
      <c r="AD672" s="442"/>
      <c r="AE672" s="442"/>
    </row>
    <row r="673" spans="1:31" ht="17.25" x14ac:dyDescent="0.3">
      <c r="A673"/>
      <c r="B673" s="39" t="s">
        <v>360</v>
      </c>
      <c r="C673" t="s">
        <v>15</v>
      </c>
      <c r="D673"/>
      <c r="E673"/>
      <c r="F673" s="39" t="s">
        <v>321</v>
      </c>
      <c r="G673" s="39"/>
      <c r="H673" s="39" t="s">
        <v>453</v>
      </c>
      <c r="I673" s="39"/>
      <c r="J673" s="39" t="s">
        <v>454</v>
      </c>
      <c r="K673"/>
      <c r="L673"/>
      <c r="M673"/>
      <c r="N673"/>
      <c r="O673"/>
      <c r="P673"/>
      <c r="Q673"/>
      <c r="R673"/>
      <c r="S673"/>
      <c r="T673"/>
      <c r="U673"/>
      <c r="V673"/>
      <c r="W673"/>
      <c r="X673"/>
      <c r="Y673"/>
      <c r="Z673"/>
      <c r="AA673"/>
      <c r="AB673"/>
      <c r="AC673"/>
      <c r="AD673" s="442"/>
      <c r="AE673" s="442"/>
    </row>
    <row r="674" spans="1:31" ht="17.25" x14ac:dyDescent="0.3">
      <c r="A674"/>
      <c r="B674" s="39" t="s">
        <v>165</v>
      </c>
      <c r="C674" t="str">
        <f ca="1">IFERROR(VLOOKUP(B674,MO_Matriz,2,0),"")</f>
        <v>Sondador</v>
      </c>
      <c r="D674"/>
      <c r="E674"/>
      <c r="F674" s="39" t="str">
        <f ca="1">IFERROR(VLOOKUP(B674,MO_Matriz,3,0),"")</f>
        <v>T</v>
      </c>
      <c r="G674"/>
      <c r="H674" t="s">
        <v>455</v>
      </c>
      <c r="I674"/>
      <c r="J674">
        <f>H654*J654</f>
        <v>1</v>
      </c>
      <c r="K674"/>
      <c r="L674"/>
      <c r="M674"/>
      <c r="N674"/>
      <c r="O674"/>
      <c r="P674"/>
      <c r="Q674"/>
      <c r="R674"/>
      <c r="S674"/>
      <c r="T674"/>
      <c r="U674"/>
      <c r="V674"/>
      <c r="W674"/>
      <c r="X674"/>
      <c r="Y674"/>
      <c r="Z674"/>
      <c r="AA674"/>
      <c r="AB674"/>
      <c r="AC674"/>
      <c r="AD674" s="442"/>
      <c r="AE674" s="442"/>
    </row>
    <row r="675" spans="1:31" ht="17.25" x14ac:dyDescent="0.3">
      <c r="A675"/>
      <c r="B675" s="39" t="s">
        <v>59</v>
      </c>
      <c r="C675" t="str">
        <f ca="1">IFERROR(VLOOKUP(B675,MO_Matriz,2,0),"")</f>
        <v>Auxiliar</v>
      </c>
      <c r="D675"/>
      <c r="E675"/>
      <c r="F675" s="39" t="str">
        <f ca="1">IFERROR(VLOOKUP(B675,MO_Matriz,3,0),"")</f>
        <v>A</v>
      </c>
      <c r="G675"/>
      <c r="H675" t="s">
        <v>1229</v>
      </c>
      <c r="I675"/>
      <c r="J675">
        <v>0</v>
      </c>
      <c r="K675"/>
      <c r="L675"/>
      <c r="M675"/>
      <c r="N675"/>
      <c r="O675"/>
      <c r="P675"/>
      <c r="Q675"/>
      <c r="R675"/>
      <c r="S675"/>
      <c r="T675"/>
      <c r="U675"/>
      <c r="V675"/>
      <c r="W675"/>
      <c r="X675"/>
      <c r="Y675"/>
      <c r="Z675"/>
      <c r="AA675"/>
      <c r="AB675"/>
      <c r="AC675"/>
      <c r="AD675" s="442"/>
      <c r="AE675" s="442"/>
    </row>
    <row r="676" spans="1:31" ht="17.25" x14ac:dyDescent="0.3">
      <c r="A676"/>
      <c r="B676" s="39" t="s">
        <v>259</v>
      </c>
      <c r="C676" t="s">
        <v>1236</v>
      </c>
      <c r="D676"/>
      <c r="E676"/>
      <c r="F676" s="39" t="str">
        <f ca="1">IFERROR(VLOOKUP(B676,MO_Matriz,3,0),"")</f>
        <v/>
      </c>
      <c r="G676"/>
      <c r="H676" t="s">
        <v>455</v>
      </c>
      <c r="I676"/>
      <c r="J676">
        <f>F660</f>
        <v>1</v>
      </c>
      <c r="K676"/>
      <c r="L676"/>
      <c r="M676"/>
      <c r="N676"/>
      <c r="O676"/>
      <c r="P676"/>
      <c r="Q676"/>
      <c r="R676"/>
      <c r="S676"/>
      <c r="T676"/>
      <c r="U676"/>
      <c r="V676"/>
      <c r="W676"/>
      <c r="X676"/>
      <c r="Y676"/>
      <c r="Z676"/>
      <c r="AA676"/>
      <c r="AB676"/>
      <c r="AC676"/>
      <c r="AD676" s="442"/>
      <c r="AE676" s="442"/>
    </row>
    <row r="677" spans="1:31" ht="17.25" x14ac:dyDescent="0.3">
      <c r="A677"/>
      <c r="B677"/>
      <c r="C677"/>
      <c r="D677"/>
      <c r="E677"/>
      <c r="F677"/>
      <c r="G677"/>
      <c r="H677"/>
      <c r="I677" t="s">
        <v>329</v>
      </c>
      <c r="J677">
        <f>SUM(J674:J676)</f>
        <v>2</v>
      </c>
      <c r="K677"/>
      <c r="L677"/>
      <c r="M677"/>
      <c r="N677"/>
      <c r="O677"/>
      <c r="P677"/>
      <c r="Q677"/>
      <c r="R677"/>
      <c r="S677"/>
      <c r="T677"/>
      <c r="U677"/>
      <c r="V677"/>
      <c r="W677"/>
      <c r="X677"/>
      <c r="Y677"/>
      <c r="Z677"/>
      <c r="AA677"/>
      <c r="AB677"/>
      <c r="AC677"/>
      <c r="AD677" s="442"/>
      <c r="AE677" s="442"/>
    </row>
    <row r="678" spans="1:31" ht="17.25" x14ac:dyDescent="0.3">
      <c r="A678"/>
      <c r="B678"/>
      <c r="C678"/>
      <c r="D678"/>
      <c r="E678"/>
      <c r="F678"/>
      <c r="G678"/>
      <c r="H678"/>
      <c r="I678"/>
      <c r="J678"/>
      <c r="K678"/>
      <c r="L678"/>
      <c r="M678"/>
      <c r="N678"/>
      <c r="O678"/>
      <c r="P678"/>
      <c r="Q678"/>
      <c r="R678"/>
      <c r="S678"/>
      <c r="T678"/>
      <c r="U678"/>
      <c r="V678"/>
      <c r="W678"/>
      <c r="X678"/>
      <c r="Y678"/>
      <c r="Z678"/>
      <c r="AA678"/>
      <c r="AB678"/>
      <c r="AC678"/>
      <c r="AD678" s="442"/>
      <c r="AE678" s="442"/>
    </row>
    <row r="679" spans="1:31" ht="17.25" x14ac:dyDescent="0.3">
      <c r="A679" s="39" t="s">
        <v>350</v>
      </c>
      <c r="B679" t="s">
        <v>351</v>
      </c>
      <c r="C679"/>
      <c r="D679"/>
      <c r="E679"/>
      <c r="F679"/>
      <c r="G679"/>
      <c r="H679"/>
      <c r="I679"/>
      <c r="J679"/>
      <c r="K679"/>
      <c r="L679"/>
      <c r="M679"/>
      <c r="N679"/>
      <c r="O679"/>
      <c r="P679"/>
      <c r="Q679"/>
      <c r="R679"/>
      <c r="S679"/>
      <c r="T679"/>
      <c r="U679"/>
      <c r="V679"/>
      <c r="W679"/>
      <c r="X679"/>
      <c r="Y679"/>
      <c r="Z679"/>
      <c r="AA679"/>
      <c r="AB679"/>
      <c r="AC679"/>
      <c r="AD679" s="442"/>
      <c r="AE679" s="442"/>
    </row>
    <row r="680" spans="1:31" ht="17.25" x14ac:dyDescent="0.3">
      <c r="A680"/>
      <c r="B680" s="39" t="s">
        <v>360</v>
      </c>
      <c r="C680" t="s">
        <v>15</v>
      </c>
      <c r="D680"/>
      <c r="E680"/>
      <c r="F680"/>
      <c r="G680"/>
      <c r="H680"/>
      <c r="I680" s="39" t="s">
        <v>31</v>
      </c>
      <c r="J680" s="39" t="s">
        <v>778</v>
      </c>
      <c r="K680" s="39" t="s">
        <v>202</v>
      </c>
      <c r="L680" s="39" t="s">
        <v>224</v>
      </c>
      <c r="M680" s="39" t="s">
        <v>361</v>
      </c>
      <c r="N680" s="462" t="s">
        <v>362</v>
      </c>
      <c r="O680"/>
      <c r="P680"/>
      <c r="Q680"/>
      <c r="R680"/>
      <c r="S680"/>
      <c r="T680"/>
      <c r="U680"/>
      <c r="V680"/>
      <c r="W680"/>
      <c r="X680"/>
      <c r="Y680"/>
      <c r="Z680"/>
      <c r="AA680"/>
      <c r="AB680"/>
      <c r="AC680"/>
      <c r="AD680" s="442"/>
      <c r="AE680" s="442"/>
    </row>
    <row r="681" spans="1:31" ht="17.25" x14ac:dyDescent="0.3">
      <c r="A681"/>
      <c r="B681" s="39"/>
      <c r="C681"/>
      <c r="D681"/>
      <c r="E681"/>
      <c r="F681"/>
      <c r="G681"/>
      <c r="H681"/>
      <c r="I681"/>
      <c r="J681" s="39" t="s">
        <v>363</v>
      </c>
      <c r="K681" s="39" t="s">
        <v>330</v>
      </c>
      <c r="L681" s="39" t="s">
        <v>331</v>
      </c>
      <c r="M681" s="39" t="s">
        <v>682</v>
      </c>
      <c r="N681" s="462"/>
      <c r="O681"/>
      <c r="P681"/>
      <c r="Q681"/>
      <c r="R681"/>
      <c r="S681"/>
      <c r="T681"/>
      <c r="U681"/>
      <c r="V681"/>
      <c r="W681"/>
      <c r="X681"/>
      <c r="Y681"/>
      <c r="Z681"/>
      <c r="AA681"/>
      <c r="AB681"/>
      <c r="AC681"/>
      <c r="AD681" s="442"/>
      <c r="AE681" s="442"/>
    </row>
    <row r="682" spans="1:31" ht="17.25" x14ac:dyDescent="0.3">
      <c r="A682"/>
      <c r="B682" s="39" t="s">
        <v>1055</v>
      </c>
      <c r="C682" t="str">
        <f>Sudecap!C8</f>
        <v>Mobilização de equipamentos de sondagem a trado (NBR 9603:2015) DN 20CM</v>
      </c>
      <c r="D682"/>
      <c r="E682"/>
      <c r="F682"/>
      <c r="G682"/>
      <c r="H682"/>
      <c r="I682" s="39" t="s">
        <v>411</v>
      </c>
      <c r="J682" s="446">
        <f>Sudecap!E9</f>
        <v>75</v>
      </c>
      <c r="K682" s="444">
        <f>G643</f>
        <v>2</v>
      </c>
      <c r="L682" s="463">
        <v>0</v>
      </c>
      <c r="M682" s="463">
        <f>L682/30</f>
        <v>0</v>
      </c>
      <c r="N682" s="464">
        <f>J682*K682</f>
        <v>150</v>
      </c>
      <c r="O682"/>
      <c r="P682"/>
      <c r="Q682"/>
      <c r="R682"/>
      <c r="S682"/>
      <c r="T682"/>
      <c r="U682"/>
      <c r="V682"/>
      <c r="W682"/>
      <c r="X682"/>
      <c r="Y682"/>
      <c r="Z682"/>
      <c r="AA682"/>
      <c r="AB682"/>
      <c r="AC682"/>
      <c r="AD682" s="442"/>
      <c r="AE682" s="442"/>
    </row>
    <row r="683" spans="1:31" ht="17.25" x14ac:dyDescent="0.3">
      <c r="A683"/>
      <c r="B683" s="39" t="s">
        <v>875</v>
      </c>
      <c r="C683" t="str">
        <f ca="1">IFERROR(VLOOKUP(B683,Veiculo_Equip_Matriz,2,0),"")</f>
        <v>Cone de sinalização em polietileno - H = 75 cm e base quadrada de 40 x 40 cm</v>
      </c>
      <c r="D683"/>
      <c r="E683"/>
      <c r="F683"/>
      <c r="G683"/>
      <c r="H683"/>
      <c r="I683" s="39" t="s">
        <v>831</v>
      </c>
      <c r="J683" s="446">
        <f ca="1">IFERROR(VLOOKUP(B683,Veiculo_Equip_Matriz,10,0),"")</f>
        <v>93.399500000000003</v>
      </c>
      <c r="K683">
        <v>6</v>
      </c>
      <c r="L683">
        <f>M649</f>
        <v>1.2916666666666667</v>
      </c>
      <c r="M683">
        <f>L683/30</f>
        <v>4.3055555555555555E-2</v>
      </c>
      <c r="N683" s="464">
        <f ca="1">K683*M683*J683</f>
        <v>24.128204166666666</v>
      </c>
      <c r="O683"/>
      <c r="P683"/>
      <c r="Q683"/>
      <c r="R683"/>
      <c r="S683"/>
      <c r="T683"/>
      <c r="U683"/>
      <c r="V683"/>
      <c r="W683"/>
      <c r="X683"/>
      <c r="Y683"/>
      <c r="Z683"/>
      <c r="AA683"/>
      <c r="AB683"/>
      <c r="AC683"/>
      <c r="AD683" s="442"/>
      <c r="AE683" s="442"/>
    </row>
    <row r="684" spans="1:31" ht="17.25" x14ac:dyDescent="0.3">
      <c r="A684"/>
      <c r="B684" s="39"/>
      <c r="C684"/>
      <c r="D684"/>
      <c r="E684"/>
      <c r="F684"/>
      <c r="G684"/>
      <c r="H684"/>
      <c r="I684" s="39"/>
      <c r="J684" s="446"/>
      <c r="K684"/>
      <c r="L684"/>
      <c r="M684" s="449" t="s">
        <v>329</v>
      </c>
      <c r="N684" s="448">
        <f ca="1">SUM(N682:N683)</f>
        <v>174.12820416666668</v>
      </c>
      <c r="O684"/>
      <c r="P684"/>
      <c r="Q684"/>
      <c r="R684"/>
      <c r="S684"/>
      <c r="T684"/>
      <c r="U684"/>
      <c r="V684"/>
      <c r="W684"/>
      <c r="X684"/>
      <c r="Y684"/>
      <c r="Z684"/>
      <c r="AA684"/>
      <c r="AB684"/>
      <c r="AC684"/>
      <c r="AD684" s="442"/>
      <c r="AE684" s="442"/>
    </row>
    <row r="685" spans="1:31" ht="17.25" x14ac:dyDescent="0.3">
      <c r="A685"/>
      <c r="B685"/>
      <c r="C685"/>
      <c r="D685"/>
      <c r="E685"/>
      <c r="F685"/>
      <c r="G685"/>
      <c r="H685"/>
      <c r="I685"/>
      <c r="J685"/>
      <c r="K685"/>
      <c r="L685"/>
      <c r="M685"/>
      <c r="N685"/>
      <c r="O685"/>
      <c r="P685"/>
      <c r="Q685"/>
      <c r="R685"/>
      <c r="S685"/>
      <c r="T685"/>
      <c r="U685"/>
      <c r="V685"/>
      <c r="W685"/>
      <c r="X685"/>
      <c r="Y685"/>
      <c r="Z685"/>
      <c r="AA685"/>
      <c r="AB685"/>
      <c r="AC685"/>
      <c r="AD685" s="442"/>
      <c r="AE685" s="442"/>
    </row>
    <row r="686" spans="1:31" ht="17.25" x14ac:dyDescent="0.3">
      <c r="A686" s="39" t="s">
        <v>197</v>
      </c>
      <c r="B686" t="s">
        <v>352</v>
      </c>
      <c r="C686"/>
      <c r="D686"/>
      <c r="E686"/>
      <c r="F686"/>
      <c r="G686"/>
      <c r="H686"/>
      <c r="I686"/>
      <c r="J686"/>
      <c r="K686"/>
      <c r="L686"/>
      <c r="M686"/>
      <c r="N686"/>
      <c r="O686"/>
      <c r="P686"/>
      <c r="Q686"/>
      <c r="R686"/>
      <c r="S686"/>
      <c r="T686"/>
      <c r="U686"/>
      <c r="V686"/>
      <c r="W686"/>
      <c r="X686"/>
      <c r="Y686"/>
      <c r="Z686"/>
      <c r="AA686"/>
      <c r="AB686"/>
      <c r="AC686"/>
      <c r="AD686" s="442"/>
      <c r="AE686" s="442"/>
    </row>
    <row r="687" spans="1:31" ht="17.25" x14ac:dyDescent="0.3">
      <c r="A687" s="39" t="s">
        <v>450</v>
      </c>
      <c r="B687" t="s">
        <v>433</v>
      </c>
      <c r="C687"/>
      <c r="D687"/>
      <c r="E687"/>
      <c r="F687"/>
      <c r="G687"/>
      <c r="H687"/>
      <c r="I687"/>
      <c r="J687"/>
      <c r="K687"/>
      <c r="L687"/>
      <c r="M687"/>
      <c r="N687"/>
      <c r="O687"/>
      <c r="P687"/>
      <c r="Q687"/>
      <c r="R687"/>
      <c r="S687"/>
      <c r="T687"/>
      <c r="U687"/>
      <c r="V687"/>
      <c r="W687"/>
      <c r="X687"/>
      <c r="Y687"/>
      <c r="Z687"/>
      <c r="AA687"/>
      <c r="AB687"/>
      <c r="AC687"/>
      <c r="AD687" s="442"/>
      <c r="AE687" s="442"/>
    </row>
    <row r="688" spans="1:31" ht="17.25" x14ac:dyDescent="0.3">
      <c r="A688"/>
      <c r="B688" t="str">
        <f>Listas!$N$1</f>
        <v>Decreto Estadual 16.536/2024</v>
      </c>
      <c r="C688"/>
      <c r="D688"/>
      <c r="E688"/>
      <c r="F688"/>
      <c r="G688"/>
      <c r="H688"/>
      <c r="I688"/>
      <c r="J688"/>
      <c r="K688"/>
      <c r="L688"/>
      <c r="M688"/>
      <c r="N688"/>
      <c r="O688"/>
      <c r="P688"/>
      <c r="Q688"/>
      <c r="R688"/>
      <c r="S688"/>
      <c r="T688"/>
      <c r="U688"/>
      <c r="V688"/>
      <c r="W688"/>
      <c r="X688"/>
      <c r="Y688"/>
      <c r="Z688"/>
      <c r="AA688"/>
      <c r="AB688"/>
      <c r="AC688"/>
      <c r="AD688" s="442"/>
      <c r="AE688" s="442"/>
    </row>
    <row r="689" spans="1:31" ht="17.25" x14ac:dyDescent="0.3">
      <c r="A689"/>
      <c r="B689" t="s">
        <v>15</v>
      </c>
      <c r="C689"/>
      <c r="D689"/>
      <c r="E689" t="s">
        <v>357</v>
      </c>
      <c r="F689" t="s">
        <v>202</v>
      </c>
      <c r="G689"/>
      <c r="H689"/>
      <c r="I689"/>
      <c r="J689"/>
      <c r="K689"/>
      <c r="L689"/>
      <c r="M689"/>
      <c r="N689"/>
      <c r="O689"/>
      <c r="P689"/>
      <c r="Q689"/>
      <c r="R689"/>
      <c r="S689"/>
      <c r="T689"/>
      <c r="U689"/>
      <c r="V689"/>
      <c r="W689"/>
      <c r="X689"/>
      <c r="Y689"/>
      <c r="Z689"/>
      <c r="AA689"/>
      <c r="AB689"/>
      <c r="AC689"/>
      <c r="AD689" s="442"/>
      <c r="AE689" s="442"/>
    </row>
    <row r="690" spans="1:31" ht="17.25" x14ac:dyDescent="0.3">
      <c r="A690"/>
      <c r="B690" t="s">
        <v>248</v>
      </c>
      <c r="C690"/>
      <c r="D690"/>
      <c r="E690" s="444">
        <f>Listas!$P$3</f>
        <v>250</v>
      </c>
      <c r="F690"/>
      <c r="G690"/>
      <c r="H690"/>
      <c r="I690"/>
      <c r="J690"/>
      <c r="K690"/>
      <c r="L690"/>
      <c r="M690"/>
      <c r="N690"/>
      <c r="O690"/>
      <c r="P690"/>
      <c r="Q690"/>
      <c r="R690"/>
      <c r="S690"/>
      <c r="T690"/>
      <c r="U690"/>
      <c r="V690"/>
      <c r="W690"/>
      <c r="X690"/>
      <c r="Y690"/>
      <c r="Z690"/>
      <c r="AA690"/>
      <c r="AB690"/>
      <c r="AC690"/>
      <c r="AD690" s="442"/>
      <c r="AE690" s="442"/>
    </row>
    <row r="691" spans="1:31" ht="17.25" x14ac:dyDescent="0.3">
      <c r="A691"/>
      <c r="B691" t="s">
        <v>252</v>
      </c>
      <c r="C691"/>
      <c r="D691"/>
      <c r="E691" s="444">
        <f>E690/2</f>
        <v>125</v>
      </c>
      <c r="F691">
        <f>ROUNDUP(H654*J654*N654,0)</f>
        <v>2</v>
      </c>
      <c r="G691"/>
      <c r="H691"/>
      <c r="I691"/>
      <c r="J691"/>
      <c r="K691"/>
      <c r="L691"/>
      <c r="M691"/>
      <c r="N691"/>
      <c r="O691"/>
      <c r="P691"/>
      <c r="Q691"/>
      <c r="R691"/>
      <c r="S691"/>
      <c r="T691"/>
      <c r="U691"/>
      <c r="V691"/>
      <c r="W691"/>
      <c r="X691"/>
      <c r="Y691"/>
      <c r="Z691"/>
      <c r="AA691"/>
      <c r="AB691"/>
      <c r="AC691"/>
      <c r="AD691" s="442"/>
      <c r="AE691" s="442"/>
    </row>
    <row r="692" spans="1:31" ht="17.25" x14ac:dyDescent="0.3">
      <c r="A692"/>
      <c r="B692" t="s">
        <v>255</v>
      </c>
      <c r="C692"/>
      <c r="D692"/>
      <c r="E692" s="444">
        <f>E691</f>
        <v>125</v>
      </c>
      <c r="F692">
        <v>0</v>
      </c>
      <c r="G692"/>
      <c r="H692"/>
      <c r="I692"/>
      <c r="J692"/>
      <c r="K692"/>
      <c r="L692"/>
      <c r="M692"/>
      <c r="N692"/>
      <c r="O692"/>
      <c r="P692"/>
      <c r="Q692"/>
      <c r="R692"/>
      <c r="S692"/>
      <c r="T692"/>
      <c r="U692"/>
      <c r="V692"/>
      <c r="W692"/>
      <c r="X692"/>
      <c r="Y692"/>
      <c r="Z692"/>
      <c r="AA692"/>
      <c r="AB692"/>
      <c r="AC692"/>
      <c r="AD692" s="442"/>
      <c r="AE692" s="442"/>
    </row>
    <row r="693" spans="1:31" ht="17.25" x14ac:dyDescent="0.3">
      <c r="A693"/>
      <c r="B693"/>
      <c r="C693"/>
      <c r="D693"/>
      <c r="E693"/>
      <c r="F693"/>
      <c r="G693"/>
      <c r="H693"/>
      <c r="I693"/>
      <c r="J693"/>
      <c r="K693"/>
      <c r="L693"/>
      <c r="M693"/>
      <c r="N693"/>
      <c r="O693"/>
      <c r="P693"/>
      <c r="Q693"/>
      <c r="R693"/>
      <c r="S693"/>
      <c r="T693"/>
      <c r="U693"/>
      <c r="V693"/>
      <c r="W693"/>
      <c r="X693"/>
      <c r="Y693"/>
      <c r="Z693"/>
      <c r="AA693"/>
      <c r="AB693"/>
      <c r="AC693"/>
      <c r="AD693" s="442"/>
      <c r="AE693" s="442"/>
    </row>
    <row r="694" spans="1:31" ht="17.25" x14ac:dyDescent="0.3">
      <c r="A694"/>
      <c r="B694" s="39" t="s">
        <v>360</v>
      </c>
      <c r="C694" s="450" t="s">
        <v>15</v>
      </c>
      <c r="D694" s="39"/>
      <c r="E694" s="39"/>
      <c r="F694" s="39" t="s">
        <v>321</v>
      </c>
      <c r="G694" s="39"/>
      <c r="H694" s="39" t="s">
        <v>434</v>
      </c>
      <c r="I694" s="39"/>
      <c r="J694" s="39" t="s">
        <v>435</v>
      </c>
      <c r="K694" s="449" t="s">
        <v>329</v>
      </c>
      <c r="L694"/>
      <c r="M694"/>
      <c r="N694"/>
      <c r="O694"/>
      <c r="P694"/>
      <c r="Q694"/>
      <c r="R694"/>
      <c r="S694"/>
      <c r="T694"/>
      <c r="U694"/>
      <c r="V694"/>
      <c r="W694"/>
      <c r="X694"/>
      <c r="Y694"/>
      <c r="Z694"/>
      <c r="AA694"/>
      <c r="AB694"/>
      <c r="AC694"/>
      <c r="AD694" s="442"/>
      <c r="AE694" s="442"/>
    </row>
    <row r="695" spans="1:31" ht="17.25" x14ac:dyDescent="0.3">
      <c r="A695"/>
      <c r="B695" s="39"/>
      <c r="C695" s="39"/>
      <c r="D695" s="39"/>
      <c r="E695" s="39"/>
      <c r="F695" s="39"/>
      <c r="G695" s="39"/>
      <c r="H695" s="39" t="s">
        <v>363</v>
      </c>
      <c r="I695" s="39"/>
      <c r="J695" s="39" t="s">
        <v>330</v>
      </c>
      <c r="K695" s="449" t="s">
        <v>436</v>
      </c>
      <c r="L695"/>
      <c r="M695"/>
      <c r="N695"/>
      <c r="O695"/>
      <c r="P695"/>
      <c r="Q695"/>
      <c r="R695"/>
      <c r="S695"/>
      <c r="T695"/>
      <c r="U695"/>
      <c r="V695"/>
      <c r="W695"/>
      <c r="X695"/>
      <c r="Y695"/>
      <c r="Z695"/>
      <c r="AA695"/>
      <c r="AB695"/>
      <c r="AC695"/>
      <c r="AD695" s="442"/>
      <c r="AE695" s="442"/>
    </row>
    <row r="696" spans="1:31" ht="17.25" x14ac:dyDescent="0.3">
      <c r="A696"/>
      <c r="B696" s="39" t="s">
        <v>165</v>
      </c>
      <c r="C696" t="str">
        <f ca="1">IFERROR(VLOOKUP(B696,MO_Matriz,2,0),"")</f>
        <v>Sondador</v>
      </c>
      <c r="D696"/>
      <c r="E696"/>
      <c r="F696" s="39" t="str">
        <f ca="1">IFERROR(VLOOKUP(B696,MO_Matriz,3,0),"")</f>
        <v>T</v>
      </c>
      <c r="G696"/>
      <c r="H696" s="446">
        <f>E691*F691</f>
        <v>250</v>
      </c>
      <c r="I696" s="446"/>
      <c r="J696" s="446">
        <f>E692*F692</f>
        <v>0</v>
      </c>
      <c r="K696" s="448">
        <f>H696+J696</f>
        <v>250</v>
      </c>
      <c r="L696"/>
      <c r="M696"/>
      <c r="N696"/>
      <c r="O696"/>
      <c r="P696"/>
      <c r="Q696"/>
      <c r="R696"/>
      <c r="S696"/>
      <c r="T696"/>
      <c r="U696"/>
      <c r="V696"/>
      <c r="W696"/>
      <c r="X696"/>
      <c r="Y696"/>
      <c r="Z696"/>
      <c r="AA696"/>
      <c r="AB696"/>
      <c r="AC696"/>
      <c r="AD696" s="442"/>
      <c r="AE696" s="442"/>
    </row>
    <row r="697" spans="1:31" ht="17.25" x14ac:dyDescent="0.3">
      <c r="A697"/>
      <c r="B697"/>
      <c r="C697"/>
      <c r="D697"/>
      <c r="E697"/>
      <c r="F697"/>
      <c r="G697"/>
      <c r="H697"/>
      <c r="I697"/>
      <c r="J697"/>
      <c r="K697"/>
      <c r="L697"/>
      <c r="M697"/>
      <c r="N697"/>
      <c r="O697"/>
      <c r="P697"/>
      <c r="Q697"/>
      <c r="R697"/>
      <c r="S697"/>
      <c r="T697"/>
      <c r="U697"/>
      <c r="V697"/>
      <c r="W697"/>
      <c r="X697"/>
      <c r="Y697"/>
      <c r="Z697"/>
      <c r="AA697"/>
      <c r="AB697"/>
      <c r="AC697"/>
      <c r="AD697" s="442"/>
      <c r="AE697" s="442"/>
    </row>
    <row r="698" spans="1:31" ht="17.25" x14ac:dyDescent="0.3">
      <c r="A698" s="39" t="s">
        <v>459</v>
      </c>
      <c r="B698" t="s">
        <v>437</v>
      </c>
      <c r="C698"/>
      <c r="D698"/>
      <c r="E698"/>
      <c r="F698"/>
      <c r="G698"/>
      <c r="H698"/>
      <c r="I698"/>
      <c r="J698"/>
      <c r="K698"/>
      <c r="L698"/>
      <c r="M698"/>
      <c r="N698"/>
      <c r="O698"/>
      <c r="P698"/>
      <c r="Q698"/>
      <c r="R698"/>
      <c r="S698"/>
      <c r="T698"/>
      <c r="U698"/>
      <c r="V698"/>
      <c r="W698"/>
      <c r="X698"/>
      <c r="Y698"/>
      <c r="Z698"/>
      <c r="AA698"/>
      <c r="AB698"/>
      <c r="AC698"/>
      <c r="AD698" s="442"/>
      <c r="AE698" s="442"/>
    </row>
    <row r="699" spans="1:31" ht="17.25" x14ac:dyDescent="0.3">
      <c r="A699"/>
      <c r="B699" t="s">
        <v>438</v>
      </c>
      <c r="C699"/>
      <c r="D699"/>
      <c r="E699"/>
      <c r="F699"/>
      <c r="G699"/>
      <c r="H699"/>
      <c r="I699"/>
      <c r="J699"/>
      <c r="K699"/>
      <c r="L699"/>
      <c r="M699"/>
      <c r="N699"/>
      <c r="O699"/>
      <c r="P699"/>
      <c r="Q699"/>
      <c r="R699"/>
      <c r="S699"/>
      <c r="T699"/>
      <c r="U699"/>
      <c r="V699"/>
      <c r="W699"/>
      <c r="X699"/>
      <c r="Y699"/>
      <c r="Z699"/>
      <c r="AA699"/>
      <c r="AB699"/>
      <c r="AC699"/>
      <c r="AD699" s="442"/>
      <c r="AE699" s="442"/>
    </row>
    <row r="700" spans="1:31" ht="17.25" x14ac:dyDescent="0.3">
      <c r="A700"/>
      <c r="B700"/>
      <c r="C700"/>
      <c r="D700"/>
      <c r="E700"/>
      <c r="F700"/>
      <c r="G700"/>
      <c r="H700"/>
      <c r="I700"/>
      <c r="J700"/>
      <c r="K700"/>
      <c r="L700"/>
      <c r="M700"/>
      <c r="N700"/>
      <c r="O700"/>
      <c r="P700"/>
      <c r="Q700"/>
      <c r="R700"/>
      <c r="S700"/>
      <c r="T700"/>
      <c r="U700"/>
      <c r="V700"/>
      <c r="W700"/>
      <c r="X700"/>
      <c r="Y700"/>
      <c r="Z700"/>
      <c r="AA700"/>
      <c r="AB700"/>
      <c r="AC700"/>
      <c r="AD700" s="442"/>
      <c r="AE700" s="442"/>
    </row>
    <row r="701" spans="1:31" ht="17.25" x14ac:dyDescent="0.3">
      <c r="A701" s="39" t="s">
        <v>353</v>
      </c>
      <c r="B701" t="s">
        <v>354</v>
      </c>
      <c r="C701"/>
      <c r="D701"/>
      <c r="E701"/>
      <c r="F701"/>
      <c r="G701"/>
      <c r="H701"/>
      <c r="I701"/>
      <c r="J701"/>
      <c r="K701"/>
      <c r="L701"/>
      <c r="M701"/>
      <c r="N701"/>
      <c r="O701"/>
      <c r="P701"/>
      <c r="Q701"/>
      <c r="R701"/>
      <c r="S701"/>
      <c r="T701"/>
      <c r="U701"/>
      <c r="V701"/>
      <c r="W701"/>
      <c r="X701"/>
      <c r="Y701"/>
      <c r="Z701"/>
      <c r="AA701"/>
      <c r="AB701"/>
      <c r="AC701"/>
      <c r="AD701" s="442"/>
      <c r="AE701" s="442"/>
    </row>
    <row r="702" spans="1:31" ht="17.25" x14ac:dyDescent="0.3">
      <c r="A702" s="39" t="s">
        <v>385</v>
      </c>
      <c r="B702" t="s">
        <v>317</v>
      </c>
      <c r="C702"/>
      <c r="D702"/>
      <c r="E702"/>
      <c r="F702"/>
      <c r="G702"/>
      <c r="H702"/>
      <c r="I702"/>
      <c r="J702"/>
      <c r="K702"/>
      <c r="L702"/>
      <c r="M702"/>
      <c r="N702"/>
      <c r="O702"/>
      <c r="P702"/>
      <c r="Q702"/>
      <c r="R702"/>
      <c r="S702"/>
      <c r="T702"/>
      <c r="U702"/>
      <c r="V702"/>
      <c r="W702"/>
      <c r="X702"/>
      <c r="Y702"/>
      <c r="Z702"/>
      <c r="AA702"/>
      <c r="AB702"/>
      <c r="AC702"/>
      <c r="AD702" s="442"/>
      <c r="AE702" s="442"/>
    </row>
    <row r="703" spans="1:31" ht="17.25" x14ac:dyDescent="0.3">
      <c r="A703"/>
      <c r="B703" t="s">
        <v>505</v>
      </c>
      <c r="C703"/>
      <c r="D703"/>
      <c r="E703"/>
      <c r="F703"/>
      <c r="G703"/>
      <c r="H703"/>
      <c r="I703"/>
      <c r="J703"/>
      <c r="K703"/>
      <c r="L703"/>
      <c r="M703"/>
      <c r="N703"/>
      <c r="O703"/>
      <c r="P703"/>
      <c r="Q703"/>
      <c r="R703"/>
      <c r="S703"/>
      <c r="T703"/>
      <c r="U703"/>
      <c r="V703"/>
      <c r="W703"/>
      <c r="X703"/>
      <c r="Y703"/>
      <c r="Z703"/>
      <c r="AA703"/>
      <c r="AB703"/>
      <c r="AC703"/>
      <c r="AD703" s="442"/>
      <c r="AE703" s="442"/>
    </row>
    <row r="704" spans="1:31" ht="17.25" x14ac:dyDescent="0.3">
      <c r="A704"/>
      <c r="B704"/>
      <c r="C704"/>
      <c r="D704"/>
      <c r="E704"/>
      <c r="F704"/>
      <c r="G704"/>
      <c r="H704"/>
      <c r="I704"/>
      <c r="J704"/>
      <c r="K704"/>
      <c r="L704"/>
      <c r="M704"/>
      <c r="N704"/>
      <c r="O704"/>
      <c r="P704"/>
      <c r="Q704"/>
      <c r="R704"/>
      <c r="S704"/>
      <c r="T704"/>
      <c r="U704"/>
      <c r="V704"/>
      <c r="W704"/>
      <c r="X704"/>
      <c r="Y704"/>
      <c r="Z704"/>
      <c r="AA704"/>
      <c r="AB704"/>
      <c r="AC704"/>
      <c r="AD704" s="442"/>
      <c r="AE704" s="442"/>
    </row>
    <row r="705" spans="1:31" ht="17.25" x14ac:dyDescent="0.3">
      <c r="A705" s="39" t="s">
        <v>386</v>
      </c>
      <c r="B705" t="s">
        <v>366</v>
      </c>
      <c r="C705"/>
      <c r="D705"/>
      <c r="E705"/>
      <c r="F705"/>
      <c r="G705"/>
      <c r="H705"/>
      <c r="I705"/>
      <c r="J705"/>
      <c r="K705"/>
      <c r="L705"/>
      <c r="M705"/>
      <c r="N705"/>
      <c r="O705"/>
      <c r="P705"/>
      <c r="Q705"/>
      <c r="R705"/>
      <c r="S705"/>
      <c r="T705"/>
      <c r="U705"/>
      <c r="V705"/>
      <c r="W705"/>
      <c r="X705"/>
      <c r="Y705"/>
      <c r="Z705"/>
      <c r="AA705"/>
      <c r="AB705"/>
      <c r="AC705"/>
      <c r="AD705" s="442"/>
      <c r="AE705" s="442"/>
    </row>
    <row r="706" spans="1:31" ht="17.25" x14ac:dyDescent="0.3">
      <c r="A706" s="39"/>
      <c r="B706" t="s">
        <v>1233</v>
      </c>
      <c r="C706"/>
      <c r="D706"/>
      <c r="E706"/>
      <c r="F706"/>
      <c r="G706"/>
      <c r="H706"/>
      <c r="I706"/>
      <c r="J706"/>
      <c r="K706"/>
      <c r="L706"/>
      <c r="M706"/>
      <c r="N706"/>
      <c r="O706"/>
      <c r="P706"/>
      <c r="Q706"/>
      <c r="R706"/>
      <c r="S706"/>
      <c r="T706"/>
      <c r="U706"/>
      <c r="V706"/>
      <c r="W706"/>
      <c r="X706"/>
      <c r="Y706"/>
      <c r="Z706"/>
      <c r="AA706"/>
      <c r="AB706"/>
      <c r="AC706"/>
      <c r="AD706" s="442"/>
      <c r="AE706" s="442"/>
    </row>
    <row r="707" spans="1:31" ht="17.25" x14ac:dyDescent="0.3">
      <c r="A707" s="39"/>
      <c r="B707"/>
      <c r="C707"/>
      <c r="D707"/>
      <c r="E707"/>
      <c r="F707"/>
      <c r="G707"/>
      <c r="H707"/>
      <c r="I707"/>
      <c r="J707"/>
      <c r="K707"/>
      <c r="L707"/>
      <c r="M707"/>
      <c r="N707"/>
      <c r="O707"/>
      <c r="P707"/>
      <c r="Q707"/>
      <c r="R707"/>
      <c r="S707"/>
      <c r="T707"/>
      <c r="U707"/>
      <c r="V707"/>
      <c r="W707"/>
      <c r="X707"/>
      <c r="Y707"/>
      <c r="Z707"/>
      <c r="AA707"/>
      <c r="AB707"/>
      <c r="AC707"/>
      <c r="AD707" s="442"/>
      <c r="AE707" s="442"/>
    </row>
    <row r="708" spans="1:31" ht="17.25" x14ac:dyDescent="0.3">
      <c r="A708"/>
      <c r="B708" t="s">
        <v>367</v>
      </c>
      <c r="C708"/>
      <c r="D708" t="s">
        <v>237</v>
      </c>
      <c r="E708"/>
      <c r="F708"/>
      <c r="G708" s="39" t="s">
        <v>387</v>
      </c>
      <c r="H708"/>
      <c r="I708" s="39" t="s">
        <v>13</v>
      </c>
      <c r="J708" t="s">
        <v>414</v>
      </c>
      <c r="K708"/>
      <c r="L708"/>
      <c r="M708"/>
      <c r="N708"/>
      <c r="O708"/>
      <c r="P708"/>
      <c r="Q708"/>
      <c r="R708"/>
      <c r="S708"/>
      <c r="T708"/>
      <c r="U708"/>
      <c r="V708"/>
      <c r="W708"/>
      <c r="X708"/>
      <c r="Y708"/>
      <c r="Z708"/>
      <c r="AA708"/>
      <c r="AB708"/>
      <c r="AC708"/>
      <c r="AD708" s="442"/>
      <c r="AE708" s="442"/>
    </row>
    <row r="709" spans="1:31" ht="17.25" x14ac:dyDescent="0.3">
      <c r="A709"/>
      <c r="B709" t="s">
        <v>245</v>
      </c>
      <c r="C709"/>
      <c r="D709" t="s">
        <v>245</v>
      </c>
      <c r="E709"/>
      <c r="F709"/>
      <c r="G709" s="451">
        <f>[1]Listas!$J$3</f>
        <v>60</v>
      </c>
      <c r="H709"/>
      <c r="I709" s="444">
        <f>Listas!L3</f>
        <v>305</v>
      </c>
      <c r="J709" s="452">
        <f>I709/$I$712</f>
        <v>1</v>
      </c>
      <c r="K709"/>
      <c r="L709"/>
      <c r="M709"/>
      <c r="N709"/>
      <c r="O709"/>
      <c r="P709"/>
      <c r="Q709" s="453"/>
      <c r="R709"/>
      <c r="S709"/>
      <c r="T709"/>
      <c r="U709"/>
      <c r="V709"/>
      <c r="W709"/>
      <c r="X709"/>
      <c r="Y709"/>
      <c r="Z709"/>
      <c r="AA709"/>
      <c r="AB709"/>
      <c r="AC709"/>
      <c r="AD709" s="442"/>
      <c r="AE709" s="442"/>
    </row>
    <row r="710" spans="1:31" ht="17.25" x14ac:dyDescent="0.3">
      <c r="A710"/>
      <c r="B710"/>
      <c r="C710"/>
      <c r="D710" t="s">
        <v>251</v>
      </c>
      <c r="E710"/>
      <c r="F710"/>
      <c r="G710" s="451">
        <f>[1]Listas!$J$4</f>
        <v>50</v>
      </c>
      <c r="H710"/>
      <c r="I710" s="444">
        <f>[1]Listas!$L$4</f>
        <v>0</v>
      </c>
      <c r="J710" s="452">
        <f t="shared" ref="J710:J712" si="21">I710/$I$712</f>
        <v>0</v>
      </c>
      <c r="K710"/>
      <c r="L710"/>
      <c r="M710"/>
      <c r="N710"/>
      <c r="O710"/>
      <c r="P710"/>
      <c r="Q710" s="453"/>
      <c r="R710"/>
      <c r="S710"/>
      <c r="T710"/>
      <c r="U710"/>
      <c r="V710"/>
      <c r="W710"/>
      <c r="X710"/>
      <c r="Y710"/>
      <c r="Z710"/>
      <c r="AA710"/>
      <c r="AB710"/>
      <c r="AC710"/>
      <c r="AD710" s="442"/>
      <c r="AE710" s="442"/>
    </row>
    <row r="711" spans="1:31" ht="17.25" x14ac:dyDescent="0.3">
      <c r="A711"/>
      <c r="B711"/>
      <c r="C711"/>
      <c r="D711" t="s">
        <v>254</v>
      </c>
      <c r="E711"/>
      <c r="F711"/>
      <c r="G711" s="451">
        <f>[1]Listas!$J$5</f>
        <v>40</v>
      </c>
      <c r="H711"/>
      <c r="I711" s="444">
        <f>[1]Listas!$L$5</f>
        <v>0</v>
      </c>
      <c r="J711" s="452">
        <f t="shared" si="21"/>
        <v>0</v>
      </c>
      <c r="K711"/>
      <c r="L711"/>
      <c r="M711"/>
      <c r="N711"/>
      <c r="O711"/>
      <c r="P711"/>
      <c r="Q711" s="39"/>
      <c r="R711" s="454"/>
      <c r="S711"/>
      <c r="T711"/>
      <c r="U711"/>
      <c r="V711"/>
      <c r="W711"/>
      <c r="X711"/>
      <c r="Y711"/>
      <c r="Z711"/>
      <c r="AA711"/>
      <c r="AB711"/>
      <c r="AC711"/>
      <c r="AD711" s="442"/>
      <c r="AE711" s="442"/>
    </row>
    <row r="712" spans="1:31" ht="17.25" x14ac:dyDescent="0.3">
      <c r="A712"/>
      <c r="B712"/>
      <c r="C712"/>
      <c r="D712"/>
      <c r="E712"/>
      <c r="F712"/>
      <c r="G712" s="451"/>
      <c r="H712" t="s">
        <v>329</v>
      </c>
      <c r="I712" s="444">
        <f>SUM(I709:I711)</f>
        <v>305</v>
      </c>
      <c r="J712" s="452">
        <f t="shared" si="21"/>
        <v>1</v>
      </c>
      <c r="K712"/>
      <c r="L712"/>
      <c r="M712"/>
      <c r="N712"/>
      <c r="O712"/>
      <c r="P712"/>
      <c r="Q712" s="453"/>
      <c r="R712" s="446"/>
      <c r="S712"/>
      <c r="T712"/>
      <c r="U712"/>
      <c r="V712"/>
      <c r="W712"/>
      <c r="X712"/>
      <c r="Y712"/>
      <c r="Z712"/>
      <c r="AA712"/>
      <c r="AB712"/>
      <c r="AC712"/>
      <c r="AD712" s="442"/>
      <c r="AE712" s="442"/>
    </row>
    <row r="713" spans="1:31" ht="17.25" x14ac:dyDescent="0.3">
      <c r="A713"/>
      <c r="B713"/>
      <c r="C713"/>
      <c r="D713"/>
      <c r="E713"/>
      <c r="F713"/>
      <c r="G713"/>
      <c r="H713"/>
      <c r="I713"/>
      <c r="J713"/>
      <c r="K713"/>
      <c r="L713"/>
      <c r="M713"/>
      <c r="N713"/>
      <c r="O713"/>
      <c r="P713"/>
      <c r="Q713" s="453"/>
      <c r="R713" s="446"/>
      <c r="S713"/>
      <c r="T713"/>
      <c r="U713"/>
      <c r="V713"/>
      <c r="W713"/>
      <c r="X713"/>
      <c r="Y713"/>
      <c r="Z713"/>
      <c r="AA713"/>
      <c r="AB713"/>
      <c r="AC713"/>
      <c r="AD713" s="442"/>
      <c r="AE713" s="442"/>
    </row>
    <row r="714" spans="1:31" ht="17.25" x14ac:dyDescent="0.3">
      <c r="A714"/>
      <c r="B714" t="str">
        <f>Listas!$N$1</f>
        <v>Decreto Estadual 16.536/2024</v>
      </c>
      <c r="C714"/>
      <c r="D714"/>
      <c r="E714"/>
      <c r="F714"/>
      <c r="G714"/>
      <c r="H714"/>
      <c r="I714"/>
      <c r="J714"/>
      <c r="K714"/>
      <c r="L714"/>
      <c r="M714"/>
      <c r="N714"/>
      <c r="O714"/>
      <c r="P714"/>
      <c r="Q714"/>
      <c r="R714"/>
      <c r="S714"/>
      <c r="T714"/>
      <c r="U714"/>
      <c r="V714"/>
      <c r="W714"/>
      <c r="X714"/>
      <c r="Y714"/>
      <c r="Z714"/>
      <c r="AA714"/>
      <c r="AB714"/>
      <c r="AC714"/>
      <c r="AD714" s="442"/>
      <c r="AE714" s="442"/>
    </row>
    <row r="715" spans="1:31" ht="17.25" x14ac:dyDescent="0.3">
      <c r="A715"/>
      <c r="B715" t="s">
        <v>15</v>
      </c>
      <c r="C715"/>
      <c r="D715"/>
      <c r="E715" t="s">
        <v>357</v>
      </c>
      <c r="F715" t="s">
        <v>202</v>
      </c>
      <c r="G715"/>
      <c r="H715"/>
      <c r="I715"/>
      <c r="J715"/>
      <c r="K715"/>
      <c r="L715"/>
      <c r="M715"/>
      <c r="N715"/>
      <c r="O715"/>
      <c r="P715"/>
      <c r="Q715"/>
      <c r="R715"/>
      <c r="S715"/>
      <c r="T715"/>
      <c r="U715"/>
      <c r="V715"/>
      <c r="W715"/>
      <c r="X715"/>
      <c r="Y715"/>
      <c r="Z715"/>
      <c r="AA715"/>
      <c r="AB715"/>
      <c r="AC715"/>
      <c r="AD715" s="442"/>
      <c r="AE715" s="442"/>
    </row>
    <row r="716" spans="1:31" ht="17.25" x14ac:dyDescent="0.3">
      <c r="A716"/>
      <c r="B716" t="s">
        <v>248</v>
      </c>
      <c r="C716"/>
      <c r="D716"/>
      <c r="E716" s="444">
        <f>Listas!$P$3</f>
        <v>250</v>
      </c>
      <c r="F716"/>
      <c r="G716"/>
      <c r="H716"/>
      <c r="I716"/>
      <c r="J716"/>
      <c r="K716"/>
      <c r="L716"/>
      <c r="M716"/>
      <c r="N716"/>
      <c r="O716"/>
      <c r="P716"/>
      <c r="Q716"/>
      <c r="R716"/>
      <c r="S716"/>
      <c r="T716"/>
      <c r="U716"/>
      <c r="V716"/>
      <c r="W716"/>
      <c r="X716"/>
      <c r="Y716"/>
      <c r="Z716"/>
      <c r="AA716"/>
      <c r="AB716"/>
      <c r="AC716"/>
      <c r="AD716" s="442"/>
      <c r="AE716" s="442"/>
    </row>
    <row r="717" spans="1:31" ht="17.25" x14ac:dyDescent="0.3">
      <c r="A717"/>
      <c r="B717" t="s">
        <v>252</v>
      </c>
      <c r="C717"/>
      <c r="D717"/>
      <c r="E717" s="444">
        <f>E716/2</f>
        <v>125</v>
      </c>
      <c r="F717">
        <v>1</v>
      </c>
      <c r="G717"/>
      <c r="H717"/>
      <c r="I717"/>
      <c r="J717"/>
      <c r="K717"/>
      <c r="L717"/>
      <c r="M717"/>
      <c r="N717"/>
      <c r="O717"/>
      <c r="P717"/>
      <c r="Q717"/>
      <c r="R717"/>
      <c r="S717"/>
      <c r="T717"/>
      <c r="U717"/>
      <c r="V717"/>
      <c r="W717"/>
      <c r="X717"/>
      <c r="Y717"/>
      <c r="Z717"/>
      <c r="AA717"/>
      <c r="AB717"/>
      <c r="AC717"/>
      <c r="AD717" s="442"/>
      <c r="AE717" s="442"/>
    </row>
    <row r="718" spans="1:31" ht="17.25" x14ac:dyDescent="0.3">
      <c r="A718"/>
      <c r="B718" t="s">
        <v>255</v>
      </c>
      <c r="C718"/>
      <c r="D718"/>
      <c r="E718" s="444">
        <f>E717</f>
        <v>125</v>
      </c>
      <c r="F718">
        <v>0</v>
      </c>
      <c r="G718"/>
      <c r="H718"/>
      <c r="I718"/>
      <c r="J718"/>
      <c r="K718"/>
      <c r="L718"/>
      <c r="M718"/>
      <c r="N718"/>
      <c r="O718"/>
      <c r="P718"/>
      <c r="Q718"/>
      <c r="R718"/>
      <c r="S718"/>
      <c r="T718"/>
      <c r="U718"/>
      <c r="V718"/>
      <c r="W718"/>
      <c r="X718"/>
      <c r="Y718"/>
      <c r="Z718"/>
      <c r="AA718"/>
      <c r="AB718"/>
      <c r="AC718"/>
      <c r="AD718" s="442"/>
      <c r="AE718" s="442"/>
    </row>
    <row r="719" spans="1:31" ht="17.25" x14ac:dyDescent="0.3">
      <c r="A719"/>
      <c r="B719"/>
      <c r="C719"/>
      <c r="D719"/>
      <c r="E719"/>
      <c r="F719"/>
      <c r="G719"/>
      <c r="H719"/>
      <c r="I719"/>
      <c r="J719"/>
      <c r="K719"/>
      <c r="L719"/>
      <c r="M719"/>
      <c r="N719"/>
      <c r="O719"/>
      <c r="P719"/>
      <c r="Q719"/>
      <c r="R719"/>
      <c r="S719"/>
      <c r="T719"/>
      <c r="U719"/>
      <c r="V719"/>
      <c r="W719"/>
      <c r="X719"/>
      <c r="Y719"/>
      <c r="Z719"/>
      <c r="AA719"/>
      <c r="AB719"/>
      <c r="AC719"/>
      <c r="AD719" s="442"/>
      <c r="AE719" s="442"/>
    </row>
    <row r="720" spans="1:31" ht="17.25" x14ac:dyDescent="0.3">
      <c r="A720"/>
      <c r="B720" s="39" t="s">
        <v>360</v>
      </c>
      <c r="C720" t="s">
        <v>15</v>
      </c>
      <c r="D720"/>
      <c r="E720"/>
      <c r="F720"/>
      <c r="G720" s="39" t="s">
        <v>202</v>
      </c>
      <c r="H720" s="39"/>
      <c r="I720" s="39" t="s">
        <v>401</v>
      </c>
      <c r="J720"/>
      <c r="K720" s="39" t="s">
        <v>402</v>
      </c>
      <c r="L720"/>
      <c r="M720"/>
      <c r="N720" s="39" t="s">
        <v>371</v>
      </c>
      <c r="O720" s="39"/>
      <c r="P720" s="39" t="s">
        <v>372</v>
      </c>
      <c r="Q720" s="39" t="s">
        <v>373</v>
      </c>
      <c r="R720" s="39" t="s">
        <v>236</v>
      </c>
      <c r="S720" s="39"/>
      <c r="T720" s="39" t="s">
        <v>183</v>
      </c>
      <c r="U720" s="39"/>
      <c r="V720" s="39" t="s">
        <v>374</v>
      </c>
      <c r="W720"/>
      <c r="X720" s="39" t="s">
        <v>375</v>
      </c>
      <c r="Y720" s="39"/>
      <c r="Z720" s="39" t="s">
        <v>376</v>
      </c>
      <c r="AA720"/>
      <c r="AB720" s="39" t="s">
        <v>377</v>
      </c>
      <c r="AC720" s="39" t="s">
        <v>388</v>
      </c>
      <c r="AD720" s="442"/>
      <c r="AE720" s="449" t="s">
        <v>362</v>
      </c>
    </row>
    <row r="721" spans="1:31" ht="17.25" x14ac:dyDescent="0.3">
      <c r="A721"/>
      <c r="B721"/>
      <c r="C721"/>
      <c r="D721"/>
      <c r="E721"/>
      <c r="F721"/>
      <c r="G721" s="39" t="s">
        <v>363</v>
      </c>
      <c r="H721" s="39"/>
      <c r="I721" s="39" t="s">
        <v>330</v>
      </c>
      <c r="J721"/>
      <c r="K721" s="39" t="s">
        <v>331</v>
      </c>
      <c r="L721"/>
      <c r="M721"/>
      <c r="N721" s="39" t="s">
        <v>403</v>
      </c>
      <c r="O721" s="39"/>
      <c r="P721" s="39" t="s">
        <v>372</v>
      </c>
      <c r="Q721" s="39" t="s">
        <v>333</v>
      </c>
      <c r="R721" s="39"/>
      <c r="S721" s="39"/>
      <c r="T721" s="39" t="s">
        <v>378</v>
      </c>
      <c r="U721" s="39"/>
      <c r="V721" s="39" t="s">
        <v>407</v>
      </c>
      <c r="W721"/>
      <c r="X721" s="39" t="s">
        <v>389</v>
      </c>
      <c r="Y721" s="39"/>
      <c r="Z721" s="39" t="s">
        <v>413</v>
      </c>
      <c r="AA721"/>
      <c r="AB721" s="39" t="s">
        <v>410</v>
      </c>
      <c r="AC721" s="39" t="s">
        <v>411</v>
      </c>
      <c r="AD721" s="442"/>
      <c r="AE721" s="449" t="s">
        <v>412</v>
      </c>
    </row>
    <row r="722" spans="1:31" ht="17.25" x14ac:dyDescent="0.3">
      <c r="A722"/>
      <c r="B722" s="39" t="s">
        <v>194</v>
      </c>
      <c r="C722" t="str">
        <f ca="1">IFERROR(VLOOKUP(B722,Veiculo_Equip_Matriz,2,0),"")</f>
        <v>Veículo tipo van furgão com capacidade de 1,38 t - 100 kW (com motorista)</v>
      </c>
      <c r="D722"/>
      <c r="E722"/>
      <c r="F722"/>
      <c r="G722">
        <f>F660</f>
        <v>1</v>
      </c>
      <c r="H722"/>
      <c r="I722" s="444">
        <f>I712</f>
        <v>305</v>
      </c>
      <c r="J722"/>
      <c r="K722">
        <f>G709*J709+G710*J710+G711*J711</f>
        <v>60</v>
      </c>
      <c r="L722"/>
      <c r="M722"/>
      <c r="N722">
        <f>I722/K722</f>
        <v>5.083333333333333</v>
      </c>
      <c r="O722"/>
      <c r="P722">
        <v>1</v>
      </c>
      <c r="Q722">
        <v>1</v>
      </c>
      <c r="R722" s="39" t="str">
        <f>B722</f>
        <v>E8887</v>
      </c>
      <c r="S722"/>
      <c r="T722">
        <f ca="1">IFERROR(VLOOKUP(R722,Veiculo_Equip_Matriz,4,0),"")</f>
        <v>83.96</v>
      </c>
      <c r="U722"/>
      <c r="V722" s="446">
        <f ca="1">G722*N722*P722*Q722*T722</f>
        <v>426.79666666666662</v>
      </c>
      <c r="W722"/>
      <c r="X722">
        <f>((INT(N722/4))*30)/60</f>
        <v>0.5</v>
      </c>
      <c r="Y722"/>
      <c r="Z722">
        <f>N722+X722</f>
        <v>5.583333333333333</v>
      </c>
      <c r="AA722"/>
      <c r="AB722" s="446">
        <f>E717*F717+E718*F718</f>
        <v>125</v>
      </c>
      <c r="AC722" s="446">
        <f>R713*G722</f>
        <v>0</v>
      </c>
      <c r="AD722" s="442"/>
      <c r="AE722" s="448">
        <f ca="1">V722+AB722+AC722</f>
        <v>551.79666666666662</v>
      </c>
    </row>
    <row r="723" spans="1:31" ht="17.25" x14ac:dyDescent="0.3">
      <c r="A723"/>
      <c r="B723"/>
      <c r="C723"/>
      <c r="D723"/>
      <c r="E723"/>
      <c r="F723"/>
      <c r="G723"/>
      <c r="H723"/>
      <c r="I723"/>
      <c r="J723"/>
      <c r="K723"/>
      <c r="L723"/>
      <c r="M723"/>
      <c r="N723"/>
      <c r="O723"/>
      <c r="P723"/>
      <c r="Q723"/>
      <c r="R723"/>
      <c r="S723"/>
      <c r="T723"/>
      <c r="U723"/>
      <c r="V723"/>
      <c r="W723"/>
      <c r="X723"/>
      <c r="Y723"/>
      <c r="Z723"/>
      <c r="AA723"/>
      <c r="AB723"/>
      <c r="AC723"/>
      <c r="AD723" s="442"/>
      <c r="AE723" s="442"/>
    </row>
    <row r="724" spans="1:31" ht="17.25" x14ac:dyDescent="0.3">
      <c r="A724" s="39" t="s">
        <v>355</v>
      </c>
      <c r="B724" t="s">
        <v>356</v>
      </c>
      <c r="C724"/>
      <c r="D724"/>
      <c r="E724"/>
      <c r="F724"/>
      <c r="G724"/>
      <c r="H724"/>
      <c r="I724"/>
      <c r="J724"/>
      <c r="K724"/>
      <c r="L724"/>
      <c r="M724"/>
      <c r="N724"/>
      <c r="O724"/>
      <c r="P724"/>
      <c r="Q724"/>
      <c r="R724"/>
      <c r="S724"/>
      <c r="T724"/>
      <c r="U724"/>
      <c r="V724"/>
      <c r="W724"/>
      <c r="X724"/>
      <c r="Y724"/>
      <c r="Z724"/>
      <c r="AA724"/>
      <c r="AB724"/>
      <c r="AC724"/>
      <c r="AD724" s="442"/>
      <c r="AE724" s="442"/>
    </row>
    <row r="725" spans="1:31" ht="17.25" x14ac:dyDescent="0.3">
      <c r="A725"/>
      <c r="B725" t="s">
        <v>15</v>
      </c>
      <c r="C725"/>
      <c r="D725"/>
      <c r="E725"/>
      <c r="F725" t="s">
        <v>357</v>
      </c>
      <c r="G725"/>
      <c r="H725"/>
      <c r="I725"/>
      <c r="J725"/>
      <c r="K725"/>
      <c r="L725"/>
      <c r="M725"/>
      <c r="N725"/>
      <c r="O725"/>
      <c r="P725"/>
      <c r="Q725"/>
      <c r="R725"/>
      <c r="S725"/>
      <c r="T725"/>
      <c r="U725"/>
      <c r="V725"/>
      <c r="W725"/>
      <c r="X725"/>
      <c r="Y725"/>
      <c r="Z725"/>
      <c r="AA725"/>
      <c r="AB725"/>
      <c r="AC725"/>
      <c r="AD725" s="442"/>
      <c r="AE725" s="442"/>
    </row>
    <row r="726" spans="1:31" ht="17.25" x14ac:dyDescent="0.3">
      <c r="A726"/>
      <c r="B726" t="s">
        <v>317</v>
      </c>
      <c r="C726"/>
      <c r="D726"/>
      <c r="E726"/>
      <c r="F726" s="446">
        <f ca="1">U656</f>
        <v>425.81091666666669</v>
      </c>
      <c r="G726"/>
      <c r="H726"/>
      <c r="I726"/>
      <c r="J726"/>
      <c r="K726"/>
      <c r="L726"/>
      <c r="M726"/>
      <c r="N726"/>
      <c r="O726"/>
      <c r="P726"/>
      <c r="Q726"/>
      <c r="R726"/>
      <c r="S726"/>
      <c r="T726"/>
      <c r="U726"/>
      <c r="V726"/>
      <c r="W726"/>
      <c r="X726"/>
      <c r="Y726"/>
      <c r="Z726"/>
      <c r="AA726"/>
      <c r="AB726"/>
      <c r="AC726"/>
      <c r="AD726" s="442"/>
      <c r="AE726" s="442"/>
    </row>
    <row r="727" spans="1:31" ht="17.25" x14ac:dyDescent="0.3">
      <c r="A727"/>
      <c r="B727" t="s">
        <v>276</v>
      </c>
      <c r="C727"/>
      <c r="D727"/>
      <c r="E727"/>
      <c r="F727" s="446">
        <f ca="1">J660</f>
        <v>463.38291083333337</v>
      </c>
      <c r="G727"/>
      <c r="H727"/>
      <c r="I727"/>
      <c r="J727"/>
      <c r="K727"/>
      <c r="L727"/>
      <c r="M727"/>
      <c r="N727"/>
      <c r="O727"/>
      <c r="P727"/>
      <c r="Q727"/>
      <c r="R727"/>
      <c r="S727"/>
      <c r="T727"/>
      <c r="U727"/>
      <c r="V727"/>
      <c r="W727"/>
      <c r="X727"/>
      <c r="Y727"/>
      <c r="Z727"/>
      <c r="AA727"/>
      <c r="AB727"/>
      <c r="AC727"/>
      <c r="AD727" s="442"/>
      <c r="AE727" s="442"/>
    </row>
    <row r="728" spans="1:31" ht="17.25" x14ac:dyDescent="0.3">
      <c r="A728"/>
      <c r="B728" t="s">
        <v>342</v>
      </c>
      <c r="C728"/>
      <c r="D728"/>
      <c r="E728"/>
      <c r="F728" s="446">
        <v>0</v>
      </c>
      <c r="G728"/>
      <c r="H728"/>
      <c r="I728"/>
      <c r="J728"/>
      <c r="K728"/>
      <c r="L728"/>
      <c r="M728"/>
      <c r="N728"/>
      <c r="O728"/>
      <c r="P728"/>
      <c r="Q728"/>
      <c r="R728"/>
      <c r="S728"/>
      <c r="T728"/>
      <c r="U728"/>
      <c r="V728"/>
      <c r="W728"/>
      <c r="X728"/>
      <c r="Y728"/>
      <c r="Z728"/>
      <c r="AA728"/>
      <c r="AB728"/>
      <c r="AC728"/>
      <c r="AD728" s="442"/>
      <c r="AE728" s="442"/>
    </row>
    <row r="729" spans="1:31" ht="17.25" x14ac:dyDescent="0.3">
      <c r="A729"/>
      <c r="B729" t="s">
        <v>343</v>
      </c>
      <c r="C729"/>
      <c r="D729"/>
      <c r="E729"/>
      <c r="F729" s="446">
        <f ca="1">N684</f>
        <v>174.12820416666668</v>
      </c>
      <c r="G729"/>
      <c r="H729"/>
      <c r="I729"/>
      <c r="J729"/>
      <c r="K729"/>
      <c r="L729"/>
      <c r="M729"/>
      <c r="N729"/>
      <c r="O729"/>
      <c r="P729"/>
      <c r="Q729"/>
      <c r="R729"/>
      <c r="S729"/>
      <c r="T729"/>
      <c r="U729"/>
      <c r="V729"/>
      <c r="W729"/>
      <c r="X729"/>
      <c r="Y729"/>
      <c r="Z729"/>
      <c r="AA729"/>
      <c r="AB729"/>
      <c r="AC729"/>
      <c r="AD729" s="442"/>
      <c r="AE729" s="442"/>
    </row>
    <row r="730" spans="1:31" ht="17.25" x14ac:dyDescent="0.3">
      <c r="A730"/>
      <c r="B730" t="s">
        <v>345</v>
      </c>
      <c r="C730"/>
      <c r="D730"/>
      <c r="E730"/>
      <c r="F730" s="446">
        <f>K696</f>
        <v>250</v>
      </c>
      <c r="G730"/>
      <c r="H730"/>
      <c r="I730"/>
      <c r="J730"/>
      <c r="K730"/>
      <c r="L730"/>
      <c r="M730"/>
      <c r="N730"/>
      <c r="O730"/>
      <c r="P730"/>
      <c r="Q730"/>
      <c r="R730"/>
      <c r="S730"/>
      <c r="T730"/>
      <c r="U730"/>
      <c r="V730"/>
      <c r="W730"/>
      <c r="X730"/>
      <c r="Y730"/>
      <c r="Z730"/>
      <c r="AA730"/>
      <c r="AB730"/>
      <c r="AC730"/>
      <c r="AD730" s="442"/>
      <c r="AE730" s="442"/>
    </row>
    <row r="731" spans="1:31" ht="17.25" x14ac:dyDescent="0.3">
      <c r="A731"/>
      <c r="B731" t="s">
        <v>516</v>
      </c>
      <c r="C731"/>
      <c r="D731"/>
      <c r="E731"/>
      <c r="F731" s="446">
        <f ca="1">2*AE722</f>
        <v>1103.5933333333332</v>
      </c>
      <c r="G731"/>
      <c r="H731"/>
      <c r="I731"/>
      <c r="J731"/>
      <c r="K731"/>
      <c r="L731"/>
      <c r="M731"/>
      <c r="N731"/>
      <c r="O731"/>
      <c r="P731"/>
      <c r="Q731"/>
      <c r="R731"/>
      <c r="S731"/>
      <c r="T731"/>
      <c r="U731"/>
      <c r="V731"/>
      <c r="W731"/>
      <c r="X731"/>
      <c r="Y731"/>
      <c r="Z731"/>
      <c r="AA731"/>
      <c r="AB731"/>
      <c r="AC731"/>
      <c r="AD731" s="442"/>
      <c r="AE731" s="442"/>
    </row>
    <row r="732" spans="1:31" ht="17.25" x14ac:dyDescent="0.3">
      <c r="A732"/>
      <c r="B732"/>
      <c r="C732"/>
      <c r="D732"/>
      <c r="E732" s="447" t="s">
        <v>329</v>
      </c>
      <c r="F732" s="448">
        <f ca="1">SUM(F726:F731)</f>
        <v>2416.9153649999998</v>
      </c>
      <c r="G732"/>
      <c r="H732"/>
      <c r="I732"/>
      <c r="J732"/>
      <c r="K732"/>
      <c r="L732"/>
      <c r="M732"/>
      <c r="N732"/>
      <c r="O732"/>
      <c r="P732"/>
      <c r="Q732"/>
      <c r="R732"/>
      <c r="S732"/>
      <c r="T732"/>
      <c r="U732"/>
      <c r="V732"/>
      <c r="W732"/>
      <c r="X732"/>
      <c r="Y732"/>
      <c r="Z732"/>
      <c r="AA732"/>
      <c r="AB732"/>
      <c r="AC732"/>
      <c r="AD732" s="442"/>
      <c r="AE732" s="442"/>
    </row>
    <row r="733" spans="1:31" ht="17.25" x14ac:dyDescent="0.3">
      <c r="A733"/>
      <c r="B733"/>
      <c r="C733"/>
      <c r="D733"/>
      <c r="E733"/>
      <c r="F733"/>
      <c r="G733"/>
      <c r="H733"/>
      <c r="I733"/>
      <c r="J733"/>
      <c r="K733"/>
      <c r="L733"/>
      <c r="M733"/>
      <c r="N733"/>
      <c r="O733"/>
      <c r="P733"/>
      <c r="Q733"/>
      <c r="R733"/>
      <c r="S733"/>
      <c r="T733"/>
      <c r="U733"/>
      <c r="V733"/>
      <c r="W733"/>
      <c r="X733"/>
      <c r="Y733"/>
      <c r="Z733"/>
      <c r="AA733"/>
      <c r="AB733"/>
      <c r="AC733"/>
      <c r="AD733" s="442"/>
      <c r="AE733" s="442"/>
    </row>
    <row r="734" spans="1:31" ht="17.25" x14ac:dyDescent="0.3">
      <c r="A734" s="263" t="s">
        <v>1267</v>
      </c>
      <c r="B734" s="263" t="s">
        <v>1257</v>
      </c>
      <c r="C734" s="263"/>
      <c r="D734" s="263"/>
      <c r="E734" s="263"/>
      <c r="F734" s="263"/>
      <c r="G734"/>
      <c r="H734"/>
      <c r="I734"/>
      <c r="J734"/>
      <c r="K734"/>
      <c r="L734"/>
      <c r="M734"/>
      <c r="N734"/>
      <c r="O734"/>
      <c r="P734"/>
      <c r="Q734"/>
      <c r="R734"/>
      <c r="S734"/>
      <c r="T734"/>
      <c r="U734"/>
      <c r="V734"/>
      <c r="W734"/>
      <c r="X734"/>
      <c r="Y734"/>
      <c r="Z734"/>
      <c r="AA734"/>
      <c r="AB734"/>
      <c r="AC734"/>
      <c r="AD734" s="442"/>
      <c r="AE734" s="442"/>
    </row>
    <row r="735" spans="1:31" ht="17.25" x14ac:dyDescent="0.3">
      <c r="A735" s="39" t="s">
        <v>61</v>
      </c>
      <c r="B735" t="s">
        <v>338</v>
      </c>
      <c r="C735"/>
      <c r="D735"/>
      <c r="E735"/>
      <c r="F735"/>
      <c r="G735"/>
      <c r="H735"/>
      <c r="I735"/>
      <c r="J735"/>
      <c r="K735"/>
      <c r="L735"/>
      <c r="M735"/>
      <c r="N735"/>
      <c r="O735"/>
      <c r="P735"/>
      <c r="Q735"/>
      <c r="R735"/>
      <c r="S735"/>
      <c r="T735"/>
      <c r="U735"/>
      <c r="V735"/>
      <c r="W735"/>
      <c r="X735"/>
      <c r="Y735"/>
      <c r="Z735"/>
      <c r="AA735"/>
      <c r="AB735"/>
      <c r="AC735"/>
      <c r="AD735" s="442"/>
      <c r="AE735" s="442"/>
    </row>
    <row r="736" spans="1:31" ht="17.25" x14ac:dyDescent="0.3">
      <c r="A736"/>
      <c r="B736" t="s">
        <v>504</v>
      </c>
      <c r="C736"/>
      <c r="D736"/>
      <c r="E736"/>
      <c r="F736"/>
      <c r="G736"/>
      <c r="H736"/>
      <c r="I736"/>
      <c r="J736"/>
      <c r="K736"/>
      <c r="L736"/>
      <c r="M736"/>
      <c r="N736"/>
      <c r="O736"/>
      <c r="P736"/>
      <c r="Q736"/>
      <c r="R736"/>
      <c r="S736"/>
      <c r="T736"/>
      <c r="U736"/>
      <c r="V736"/>
      <c r="W736"/>
      <c r="X736"/>
      <c r="Y736"/>
      <c r="Z736"/>
      <c r="AA736"/>
      <c r="AB736"/>
      <c r="AC736"/>
      <c r="AD736" s="442"/>
      <c r="AE736" s="442"/>
    </row>
    <row r="737" spans="1:31" ht="17.25" x14ac:dyDescent="0.3">
      <c r="A737"/>
      <c r="B737"/>
      <c r="C737"/>
      <c r="D737"/>
      <c r="E737"/>
      <c r="F737"/>
      <c r="G737"/>
      <c r="H737"/>
      <c r="I737"/>
      <c r="J737"/>
      <c r="K737"/>
      <c r="L737"/>
      <c r="M737"/>
      <c r="N737"/>
      <c r="O737"/>
      <c r="P737"/>
      <c r="Q737"/>
      <c r="R737"/>
      <c r="S737"/>
      <c r="T737"/>
      <c r="U737"/>
      <c r="V737"/>
      <c r="W737"/>
      <c r="X737"/>
      <c r="Y737"/>
      <c r="Z737"/>
      <c r="AA737"/>
      <c r="AB737"/>
      <c r="AC737"/>
      <c r="AD737" s="442"/>
      <c r="AE737" s="442"/>
    </row>
    <row r="738" spans="1:31" ht="17.25" x14ac:dyDescent="0.3">
      <c r="A738"/>
      <c r="B738">
        <v>1</v>
      </c>
      <c r="C738" t="s">
        <v>491</v>
      </c>
      <c r="D738" t="s">
        <v>489</v>
      </c>
      <c r="E738">
        <v>2</v>
      </c>
      <c r="F738" t="s">
        <v>411</v>
      </c>
      <c r="G738"/>
      <c r="H738"/>
      <c r="I738"/>
      <c r="J738"/>
      <c r="K738"/>
      <c r="L738"/>
      <c r="M738"/>
      <c r="N738"/>
      <c r="O738"/>
      <c r="P738"/>
      <c r="Q738"/>
      <c r="R738"/>
      <c r="S738"/>
      <c r="T738"/>
      <c r="U738"/>
      <c r="V738"/>
      <c r="W738"/>
      <c r="X738"/>
      <c r="Y738"/>
      <c r="Z738"/>
      <c r="AA738"/>
      <c r="AB738"/>
      <c r="AC738"/>
      <c r="AD738" s="442"/>
      <c r="AE738" s="442"/>
    </row>
    <row r="739" spans="1:31" ht="17.25" x14ac:dyDescent="0.3">
      <c r="A739"/>
      <c r="B739">
        <v>1</v>
      </c>
      <c r="C739" t="s">
        <v>492</v>
      </c>
      <c r="D739"/>
      <c r="E739" t="s">
        <v>493</v>
      </c>
      <c r="F739">
        <v>1</v>
      </c>
      <c r="G739" t="s">
        <v>200</v>
      </c>
      <c r="H739"/>
      <c r="I739"/>
      <c r="J739"/>
      <c r="K739"/>
      <c r="L739"/>
      <c r="M739"/>
      <c r="N739"/>
      <c r="O739"/>
      <c r="P739"/>
      <c r="Q739"/>
      <c r="R739"/>
      <c r="S739"/>
      <c r="T739"/>
      <c r="U739"/>
      <c r="V739"/>
      <c r="W739"/>
      <c r="X739"/>
      <c r="Y739"/>
      <c r="Z739"/>
      <c r="AA739"/>
      <c r="AB739"/>
      <c r="AC739"/>
      <c r="AD739" s="442"/>
      <c r="AE739" s="442"/>
    </row>
    <row r="740" spans="1:31" ht="17.25" x14ac:dyDescent="0.3">
      <c r="A740"/>
      <c r="B740"/>
      <c r="C740"/>
      <c r="D740"/>
      <c r="E740"/>
      <c r="F740"/>
      <c r="G740"/>
      <c r="H740"/>
      <c r="I740"/>
      <c r="J740"/>
      <c r="K740"/>
      <c r="L740"/>
      <c r="M740"/>
      <c r="N740"/>
      <c r="O740"/>
      <c r="P740"/>
      <c r="Q740"/>
      <c r="R740"/>
      <c r="S740"/>
      <c r="T740"/>
      <c r="U740"/>
      <c r="V740"/>
      <c r="W740"/>
      <c r="X740"/>
      <c r="Y740"/>
      <c r="Z740"/>
      <c r="AA740"/>
      <c r="AB740"/>
      <c r="AC740"/>
      <c r="AD740" s="442"/>
      <c r="AE740" s="442"/>
    </row>
    <row r="741" spans="1:31" ht="17.25" x14ac:dyDescent="0.3">
      <c r="A741"/>
      <c r="B741" t="s">
        <v>15</v>
      </c>
      <c r="C741"/>
      <c r="D741"/>
      <c r="E741" s="39" t="s">
        <v>199</v>
      </c>
      <c r="F741" s="39" t="s">
        <v>494</v>
      </c>
      <c r="G741" s="39"/>
      <c r="H741" s="39" t="s">
        <v>325</v>
      </c>
      <c r="I741" s="39"/>
      <c r="J741" s="39" t="s">
        <v>381</v>
      </c>
      <c r="K741" s="39"/>
      <c r="L741"/>
      <c r="M741"/>
      <c r="N741"/>
      <c r="O741"/>
      <c r="P741"/>
      <c r="Q741"/>
      <c r="R741"/>
      <c r="S741"/>
      <c r="T741"/>
      <c r="U741"/>
      <c r="V741"/>
      <c r="W741"/>
      <c r="X741"/>
      <c r="Y741"/>
      <c r="Z741"/>
      <c r="AA741"/>
      <c r="AB741"/>
      <c r="AC741"/>
      <c r="AD741" s="442"/>
      <c r="AE741" s="442"/>
    </row>
    <row r="742" spans="1:31" ht="17.25" x14ac:dyDescent="0.3">
      <c r="A742"/>
      <c r="B742" t="s">
        <v>1258</v>
      </c>
      <c r="C742"/>
      <c r="D742"/>
      <c r="E742" s="444">
        <f>L640</f>
        <v>2</v>
      </c>
      <c r="F742">
        <f>ROUND(E742/$E$738,0)</f>
        <v>1</v>
      </c>
      <c r="G742"/>
      <c r="H742">
        <f>F742/$F$742</f>
        <v>1</v>
      </c>
      <c r="I742" s="444"/>
      <c r="J742">
        <f>H742*[1]Listas!$E$5</f>
        <v>1.1666666666666667</v>
      </c>
      <c r="K742" s="444"/>
      <c r="L742" s="39"/>
      <c r="M742"/>
      <c r="N742"/>
      <c r="O742"/>
      <c r="P742"/>
      <c r="Q742"/>
      <c r="R742"/>
      <c r="S742"/>
      <c r="T742"/>
      <c r="U742"/>
      <c r="V742"/>
      <c r="W742"/>
      <c r="X742"/>
      <c r="Y742"/>
      <c r="Z742"/>
      <c r="AA742"/>
      <c r="AB742"/>
      <c r="AC742"/>
      <c r="AD742" s="442"/>
      <c r="AE742" s="442"/>
    </row>
    <row r="743" spans="1:31" ht="17.25" x14ac:dyDescent="0.3">
      <c r="A743"/>
      <c r="B743"/>
      <c r="C743"/>
      <c r="D743"/>
      <c r="E743"/>
      <c r="F743"/>
      <c r="G743"/>
      <c r="H743"/>
      <c r="I743"/>
      <c r="J743"/>
      <c r="K743"/>
      <c r="L743"/>
      <c r="M743"/>
      <c r="N743"/>
      <c r="O743"/>
      <c r="P743"/>
      <c r="Q743"/>
      <c r="R743"/>
      <c r="S743"/>
      <c r="T743"/>
      <c r="U743"/>
      <c r="V743"/>
      <c r="W743"/>
      <c r="X743"/>
      <c r="Y743"/>
      <c r="Z743"/>
      <c r="AA743"/>
      <c r="AB743"/>
      <c r="AC743"/>
      <c r="AD743" s="442"/>
      <c r="AE743" s="442"/>
    </row>
    <row r="744" spans="1:31" ht="17.25" x14ac:dyDescent="0.3">
      <c r="A744"/>
      <c r="B744" t="s">
        <v>474</v>
      </c>
      <c r="C744">
        <v>2</v>
      </c>
      <c r="D744" t="s">
        <v>475</v>
      </c>
      <c r="E744" s="39" t="s">
        <v>201</v>
      </c>
      <c r="F744">
        <f>H742/C744</f>
        <v>0.5</v>
      </c>
      <c r="G744" t="s">
        <v>472</v>
      </c>
      <c r="H744"/>
      <c r="I744" s="39"/>
      <c r="J744"/>
      <c r="K744"/>
      <c r="L744"/>
      <c r="M744"/>
      <c r="N744"/>
      <c r="O744"/>
      <c r="P744"/>
      <c r="Q744"/>
      <c r="R744"/>
      <c r="S744"/>
      <c r="T744"/>
      <c r="U744"/>
      <c r="V744"/>
      <c r="W744"/>
      <c r="X744"/>
      <c r="Y744"/>
      <c r="Z744"/>
      <c r="AA744"/>
      <c r="AB744"/>
      <c r="AC744"/>
      <c r="AD744" s="442"/>
      <c r="AE744" s="442"/>
    </row>
    <row r="745" spans="1:31" ht="17.25" x14ac:dyDescent="0.3">
      <c r="A745"/>
      <c r="B745"/>
      <c r="C745"/>
      <c r="D745"/>
      <c r="E745"/>
      <c r="F745">
        <f>J742/C744</f>
        <v>0.58333333333333337</v>
      </c>
      <c r="G745" t="s">
        <v>473</v>
      </c>
      <c r="H745"/>
      <c r="I745"/>
      <c r="J745"/>
      <c r="K745"/>
      <c r="L745"/>
      <c r="M745"/>
      <c r="N745"/>
      <c r="O745"/>
      <c r="P745"/>
      <c r="Q745"/>
      <c r="R745"/>
      <c r="S745"/>
      <c r="T745"/>
      <c r="U745"/>
      <c r="V745"/>
      <c r="W745"/>
      <c r="X745"/>
      <c r="Y745"/>
      <c r="Z745"/>
      <c r="AA745"/>
      <c r="AB745"/>
      <c r="AC745"/>
      <c r="AD745" s="442"/>
      <c r="AE745" s="442"/>
    </row>
    <row r="746" spans="1:31" ht="17.25" x14ac:dyDescent="0.3">
      <c r="A746"/>
      <c r="B746"/>
      <c r="C746"/>
      <c r="D746"/>
      <c r="E746"/>
      <c r="F746"/>
      <c r="G746"/>
      <c r="H746"/>
      <c r="I746"/>
      <c r="J746"/>
      <c r="K746"/>
      <c r="L746"/>
      <c r="M746"/>
      <c r="N746"/>
      <c r="O746"/>
      <c r="P746"/>
      <c r="Q746"/>
      <c r="R746"/>
      <c r="S746"/>
      <c r="T746"/>
      <c r="U746"/>
      <c r="V746"/>
      <c r="W746"/>
      <c r="X746"/>
      <c r="Y746"/>
      <c r="Z746"/>
      <c r="AA746"/>
      <c r="AB746"/>
      <c r="AC746"/>
      <c r="AD746" s="442"/>
      <c r="AE746" s="442"/>
    </row>
    <row r="747" spans="1:31" ht="17.25" x14ac:dyDescent="0.3">
      <c r="A747"/>
      <c r="B747" s="39" t="s">
        <v>360</v>
      </c>
      <c r="C747" t="s">
        <v>15</v>
      </c>
      <c r="D747"/>
      <c r="E747"/>
      <c r="F747" s="39" t="s">
        <v>321</v>
      </c>
      <c r="G747" s="39"/>
      <c r="H747" s="39" t="s">
        <v>322</v>
      </c>
      <c r="I747" s="39"/>
      <c r="J747" s="39" t="s">
        <v>323</v>
      </c>
      <c r="K747" s="39"/>
      <c r="L747" s="39" t="s">
        <v>324</v>
      </c>
      <c r="M747" s="39"/>
      <c r="N747" s="39" t="s">
        <v>325</v>
      </c>
      <c r="O747" s="39"/>
      <c r="P747" s="39" t="s">
        <v>326</v>
      </c>
      <c r="Q747" s="39"/>
      <c r="R747" s="39" t="s">
        <v>327</v>
      </c>
      <c r="S747" s="39"/>
      <c r="T747" s="39" t="s">
        <v>328</v>
      </c>
      <c r="U747" s="39" t="s">
        <v>329</v>
      </c>
      <c r="V747"/>
      <c r="W747"/>
      <c r="X747"/>
      <c r="Y747"/>
      <c r="Z747"/>
      <c r="AA747"/>
      <c r="AB747"/>
      <c r="AC747"/>
      <c r="AD747" s="442"/>
      <c r="AE747" s="442"/>
    </row>
    <row r="748" spans="1:31" ht="17.25" x14ac:dyDescent="0.3">
      <c r="A748"/>
      <c r="B748" s="39"/>
      <c r="C748"/>
      <c r="D748"/>
      <c r="E748"/>
      <c r="F748" s="39"/>
      <c r="G748" s="39"/>
      <c r="H748" s="39" t="s">
        <v>330</v>
      </c>
      <c r="I748" s="39"/>
      <c r="J748" s="39" t="s">
        <v>331</v>
      </c>
      <c r="K748" s="39"/>
      <c r="L748" s="39" t="s">
        <v>332</v>
      </c>
      <c r="M748" s="39"/>
      <c r="N748" s="39" t="s">
        <v>333</v>
      </c>
      <c r="O748" s="39"/>
      <c r="P748" s="39" t="s">
        <v>334</v>
      </c>
      <c r="Q748" s="39"/>
      <c r="R748" s="39" t="s">
        <v>335</v>
      </c>
      <c r="S748" s="39"/>
      <c r="T748" s="39" t="s">
        <v>336</v>
      </c>
      <c r="U748" s="39" t="s">
        <v>337</v>
      </c>
      <c r="V748"/>
      <c r="W748"/>
      <c r="X748"/>
      <c r="Y748"/>
      <c r="Z748"/>
      <c r="AA748"/>
      <c r="AB748"/>
      <c r="AC748"/>
      <c r="AD748" s="442"/>
      <c r="AE748" s="442"/>
    </row>
    <row r="749" spans="1:31" ht="17.25" x14ac:dyDescent="0.3">
      <c r="A749"/>
      <c r="B749" s="39" t="s">
        <v>136</v>
      </c>
      <c r="C749" t="str">
        <f ca="1">IFERROR(VLOOKUP(B749,MO_Matriz,2,0),"")</f>
        <v>Laboratorista</v>
      </c>
      <c r="D749"/>
      <c r="E749"/>
      <c r="F749" s="39" t="str">
        <f ca="1">IFERROR(VLOOKUP(B749,MO_Matriz,3,0),"")</f>
        <v>T</v>
      </c>
      <c r="G749"/>
      <c r="H749">
        <f>$C$744</f>
        <v>2</v>
      </c>
      <c r="I749"/>
      <c r="J749">
        <v>1</v>
      </c>
      <c r="K749"/>
      <c r="L749">
        <f>[1]Listas!$B$6</f>
        <v>7.333333333333333</v>
      </c>
      <c r="M749"/>
      <c r="N749">
        <f>F744</f>
        <v>0.5</v>
      </c>
      <c r="O749"/>
      <c r="P749">
        <f t="shared" ref="P749:P751" si="22">H749*J749*L749*N749</f>
        <v>7.333333333333333</v>
      </c>
      <c r="Q749"/>
      <c r="R749">
        <f t="shared" ref="R749:R751" si="23">P749/220</f>
        <v>3.3333333333333333E-2</v>
      </c>
      <c r="S749"/>
      <c r="T749" s="446">
        <f ca="1">IFERROR(VLOOKUP(B749,MO_Matriz,5,0),"")</f>
        <v>5615.95</v>
      </c>
      <c r="U749" s="446">
        <f t="shared" ref="U749:U751" ca="1" si="24">R749*T749</f>
        <v>187.19833333333332</v>
      </c>
      <c r="V749"/>
      <c r="W749"/>
      <c r="X749"/>
      <c r="Y749"/>
      <c r="Z749"/>
      <c r="AA749"/>
      <c r="AB749"/>
      <c r="AC749"/>
      <c r="AD749" s="442"/>
      <c r="AE749" s="442"/>
    </row>
    <row r="750" spans="1:31" ht="17.25" x14ac:dyDescent="0.3">
      <c r="A750"/>
      <c r="B750" s="39" t="s">
        <v>64</v>
      </c>
      <c r="C750" t="str">
        <f ca="1">IFERROR(VLOOKUP(B750,MO_Matriz,2,0),"")</f>
        <v>Auxiliar de laboratório</v>
      </c>
      <c r="D750"/>
      <c r="E750"/>
      <c r="F750" s="39" t="str">
        <f ca="1">IFERROR(VLOOKUP(B750,MO_Matriz,3,0),"")</f>
        <v>A</v>
      </c>
      <c r="G750"/>
      <c r="H750">
        <f>$C$744</f>
        <v>2</v>
      </c>
      <c r="I750"/>
      <c r="J750">
        <v>1</v>
      </c>
      <c r="K750"/>
      <c r="L750">
        <f>[1]Listas!$B$6</f>
        <v>7.333333333333333</v>
      </c>
      <c r="M750"/>
      <c r="N750">
        <f>F744</f>
        <v>0.5</v>
      </c>
      <c r="O750"/>
      <c r="P750">
        <f t="shared" si="22"/>
        <v>7.333333333333333</v>
      </c>
      <c r="Q750"/>
      <c r="R750">
        <f t="shared" si="23"/>
        <v>3.3333333333333333E-2</v>
      </c>
      <c r="S750"/>
      <c r="T750" s="446">
        <f ca="1">IFERROR(VLOOKUP(B750,MO_Matriz,5,0),"")</f>
        <v>4554.09</v>
      </c>
      <c r="U750" s="446">
        <f t="shared" ca="1" si="24"/>
        <v>151.803</v>
      </c>
      <c r="V750"/>
      <c r="W750"/>
      <c r="X750"/>
      <c r="Y750"/>
      <c r="Z750"/>
      <c r="AA750"/>
      <c r="AB750"/>
      <c r="AC750"/>
      <c r="AD750" s="442"/>
      <c r="AE750" s="442"/>
    </row>
    <row r="751" spans="1:31" ht="17.25" x14ac:dyDescent="0.3">
      <c r="A751"/>
      <c r="B751" s="39" t="s">
        <v>59</v>
      </c>
      <c r="C751" t="str">
        <f ca="1">IFERROR(VLOOKUP(B751,MO_Matriz,2,0),"")</f>
        <v>Auxiliar</v>
      </c>
      <c r="D751"/>
      <c r="E751"/>
      <c r="F751" s="39" t="str">
        <f ca="1">IFERROR(VLOOKUP(B751,MO_Matriz,3,0),"")</f>
        <v>A</v>
      </c>
      <c r="G751"/>
      <c r="H751">
        <f>$C$744</f>
        <v>2</v>
      </c>
      <c r="I751"/>
      <c r="J751">
        <v>2</v>
      </c>
      <c r="K751"/>
      <c r="L751">
        <f>[1]Listas!$B$6</f>
        <v>7.333333333333333</v>
      </c>
      <c r="M751"/>
      <c r="N751">
        <f>F744</f>
        <v>0.5</v>
      </c>
      <c r="O751"/>
      <c r="P751">
        <f t="shared" si="22"/>
        <v>14.666666666666666</v>
      </c>
      <c r="Q751"/>
      <c r="R751">
        <f t="shared" si="23"/>
        <v>6.6666666666666666E-2</v>
      </c>
      <c r="S751"/>
      <c r="T751" s="446">
        <f ca="1">IFERROR(VLOOKUP(B751,MO_Matriz,5,0),"")</f>
        <v>4276.41</v>
      </c>
      <c r="U751" s="446">
        <f t="shared" ca="1" si="24"/>
        <v>285.09399999999999</v>
      </c>
      <c r="V751"/>
      <c r="W751"/>
      <c r="X751"/>
      <c r="Y751"/>
      <c r="Z751"/>
      <c r="AA751"/>
      <c r="AB751"/>
      <c r="AC751"/>
      <c r="AD751" s="442"/>
      <c r="AE751" s="442"/>
    </row>
    <row r="752" spans="1:31" ht="17.25" x14ac:dyDescent="0.3">
      <c r="A752"/>
      <c r="B752"/>
      <c r="C752"/>
      <c r="D752"/>
      <c r="E752"/>
      <c r="F752"/>
      <c r="G752"/>
      <c r="H752"/>
      <c r="I752"/>
      <c r="J752"/>
      <c r="K752"/>
      <c r="L752"/>
      <c r="M752"/>
      <c r="N752"/>
      <c r="O752"/>
      <c r="P752"/>
      <c r="Q752"/>
      <c r="R752"/>
      <c r="S752"/>
      <c r="T752" s="447" t="s">
        <v>329</v>
      </c>
      <c r="U752" s="448">
        <f ca="1">SUM(U749:U751)</f>
        <v>624.09533333333331</v>
      </c>
      <c r="V752"/>
      <c r="W752"/>
      <c r="X752"/>
      <c r="Y752"/>
      <c r="Z752"/>
      <c r="AA752"/>
      <c r="AB752"/>
      <c r="AC752"/>
      <c r="AD752" s="442"/>
      <c r="AE752" s="442"/>
    </row>
    <row r="753" spans="1:31" ht="17.25" x14ac:dyDescent="0.3">
      <c r="A753"/>
      <c r="B753"/>
      <c r="C753"/>
      <c r="D753"/>
      <c r="E753"/>
      <c r="F753"/>
      <c r="G753"/>
      <c r="H753"/>
      <c r="I753"/>
      <c r="J753"/>
      <c r="K753"/>
      <c r="L753"/>
      <c r="M753"/>
      <c r="N753"/>
      <c r="O753"/>
      <c r="P753"/>
      <c r="Q753"/>
      <c r="R753"/>
      <c r="S753"/>
      <c r="T753"/>
      <c r="U753"/>
      <c r="V753"/>
      <c r="W753"/>
      <c r="X753"/>
      <c r="Y753"/>
      <c r="Z753"/>
      <c r="AA753"/>
      <c r="AB753"/>
      <c r="AC753"/>
      <c r="AD753" s="442"/>
      <c r="AE753" s="442"/>
    </row>
    <row r="754" spans="1:31" ht="17.25" x14ac:dyDescent="0.3">
      <c r="A754" s="462" t="s">
        <v>339</v>
      </c>
      <c r="B754" t="s">
        <v>340</v>
      </c>
      <c r="C754"/>
      <c r="D754"/>
      <c r="E754"/>
      <c r="F754"/>
      <c r="G754"/>
      <c r="H754"/>
      <c r="I754"/>
      <c r="J754"/>
      <c r="K754"/>
      <c r="L754"/>
      <c r="M754"/>
      <c r="N754"/>
      <c r="O754"/>
      <c r="P754"/>
      <c r="Q754"/>
      <c r="R754"/>
      <c r="S754"/>
      <c r="T754"/>
      <c r="U754"/>
      <c r="V754"/>
      <c r="W754"/>
      <c r="X754"/>
      <c r="Y754"/>
      <c r="Z754"/>
      <c r="AA754"/>
      <c r="AB754"/>
      <c r="AC754"/>
      <c r="AD754" s="442"/>
      <c r="AE754" s="442"/>
    </row>
    <row r="755" spans="1:31" ht="17.25" x14ac:dyDescent="0.3">
      <c r="A755"/>
      <c r="B755" t="s">
        <v>341</v>
      </c>
      <c r="C755"/>
      <c r="D755"/>
      <c r="E755"/>
      <c r="F755"/>
      <c r="G755"/>
      <c r="H755"/>
      <c r="I755"/>
      <c r="J755"/>
      <c r="K755"/>
      <c r="L755"/>
      <c r="M755"/>
      <c r="N755"/>
      <c r="O755"/>
      <c r="P755"/>
      <c r="Q755"/>
      <c r="R755"/>
      <c r="S755"/>
      <c r="T755"/>
      <c r="U755"/>
      <c r="V755"/>
      <c r="W755"/>
      <c r="X755"/>
      <c r="Y755"/>
      <c r="Z755"/>
      <c r="AA755"/>
      <c r="AB755"/>
      <c r="AC755"/>
      <c r="AD755" s="442"/>
      <c r="AE755" s="442"/>
    </row>
    <row r="756" spans="1:31" ht="17.25" x14ac:dyDescent="0.3">
      <c r="A756"/>
      <c r="B756"/>
      <c r="C756"/>
      <c r="D756"/>
      <c r="E756"/>
      <c r="F756"/>
      <c r="G756"/>
      <c r="H756"/>
      <c r="I756"/>
      <c r="J756"/>
      <c r="K756"/>
      <c r="L756"/>
      <c r="M756"/>
      <c r="N756"/>
      <c r="O756"/>
      <c r="P756"/>
      <c r="Q756"/>
      <c r="R756"/>
      <c r="S756"/>
      <c r="T756"/>
      <c r="U756"/>
      <c r="V756"/>
      <c r="W756"/>
      <c r="X756"/>
      <c r="Y756"/>
      <c r="Z756"/>
      <c r="AA756"/>
      <c r="AB756"/>
      <c r="AC756"/>
      <c r="AD756" s="442"/>
      <c r="AE756" s="442"/>
    </row>
    <row r="757" spans="1:31" ht="17.25" x14ac:dyDescent="0.3">
      <c r="A757" s="39" t="s">
        <v>348</v>
      </c>
      <c r="B757" t="s">
        <v>349</v>
      </c>
      <c r="C757"/>
      <c r="D757"/>
      <c r="E757"/>
      <c r="F757"/>
      <c r="G757"/>
      <c r="H757"/>
      <c r="I757"/>
      <c r="J757"/>
      <c r="K757"/>
      <c r="L757"/>
      <c r="M757"/>
      <c r="N757"/>
      <c r="O757"/>
      <c r="P757"/>
      <c r="Q757"/>
      <c r="R757"/>
      <c r="S757"/>
      <c r="T757"/>
      <c r="U757"/>
      <c r="V757"/>
      <c r="W757"/>
      <c r="X757"/>
      <c r="Y757"/>
      <c r="Z757"/>
      <c r="AA757"/>
      <c r="AB757"/>
      <c r="AC757"/>
      <c r="AD757" s="442"/>
      <c r="AE757" s="442"/>
    </row>
    <row r="758" spans="1:31" ht="17.25" x14ac:dyDescent="0.3">
      <c r="A758" s="39" t="s">
        <v>451</v>
      </c>
      <c r="B758" t="s">
        <v>452</v>
      </c>
      <c r="C758"/>
      <c r="D758"/>
      <c r="E758"/>
      <c r="F758"/>
      <c r="G758"/>
      <c r="H758"/>
      <c r="I758"/>
      <c r="J758"/>
      <c r="K758"/>
      <c r="L758"/>
      <c r="M758"/>
      <c r="N758"/>
      <c r="O758"/>
      <c r="P758"/>
      <c r="Q758"/>
      <c r="R758"/>
      <c r="S758"/>
      <c r="T758"/>
      <c r="U758"/>
      <c r="V758"/>
      <c r="W758"/>
      <c r="X758"/>
      <c r="Y758"/>
      <c r="Z758"/>
      <c r="AA758"/>
      <c r="AB758"/>
      <c r="AC758"/>
      <c r="AD758" s="442"/>
      <c r="AE758" s="442"/>
    </row>
    <row r="759" spans="1:31" ht="17.25" x14ac:dyDescent="0.3">
      <c r="A759"/>
      <c r="B759" s="39" t="s">
        <v>360</v>
      </c>
      <c r="C759" t="s">
        <v>15</v>
      </c>
      <c r="D759"/>
      <c r="E759"/>
      <c r="F759" s="39" t="s">
        <v>321</v>
      </c>
      <c r="G759" s="39"/>
      <c r="H759" s="39" t="s">
        <v>453</v>
      </c>
      <c r="I759" s="39"/>
      <c r="J759" s="39" t="s">
        <v>454</v>
      </c>
      <c r="K759"/>
      <c r="L759"/>
      <c r="M759"/>
      <c r="N759"/>
      <c r="O759"/>
      <c r="P759"/>
      <c r="Q759"/>
      <c r="R759"/>
      <c r="S759"/>
      <c r="T759"/>
      <c r="U759"/>
      <c r="V759"/>
      <c r="W759"/>
      <c r="X759"/>
      <c r="Y759"/>
      <c r="Z759"/>
      <c r="AA759"/>
      <c r="AB759"/>
      <c r="AC759"/>
      <c r="AD759" s="442"/>
      <c r="AE759" s="442"/>
    </row>
    <row r="760" spans="1:31" ht="17.25" x14ac:dyDescent="0.3">
      <c r="A760"/>
      <c r="B760" s="39" t="s">
        <v>136</v>
      </c>
      <c r="C760" t="str">
        <f ca="1">IFERROR(VLOOKUP(B760,MO_Matriz,2,0),"")</f>
        <v>Laboratorista</v>
      </c>
      <c r="D760"/>
      <c r="E760"/>
      <c r="F760" s="39" t="str">
        <f ca="1">IFERROR(VLOOKUP(B760,MO_Matriz,3,0),"")</f>
        <v>T</v>
      </c>
      <c r="G760"/>
      <c r="H760" t="s">
        <v>455</v>
      </c>
      <c r="I760"/>
      <c r="J760">
        <f>H749*J749</f>
        <v>2</v>
      </c>
      <c r="K760"/>
      <c r="L760"/>
      <c r="M760"/>
      <c r="N760"/>
      <c r="O760"/>
      <c r="P760"/>
      <c r="Q760"/>
      <c r="R760"/>
      <c r="S760"/>
      <c r="T760"/>
      <c r="U760"/>
      <c r="V760"/>
      <c r="W760"/>
      <c r="X760"/>
      <c r="Y760"/>
      <c r="Z760"/>
      <c r="AA760"/>
      <c r="AB760"/>
      <c r="AC760"/>
      <c r="AD760" s="442"/>
      <c r="AE760" s="442"/>
    </row>
    <row r="761" spans="1:31" ht="17.25" x14ac:dyDescent="0.3">
      <c r="A761"/>
      <c r="B761" s="39" t="s">
        <v>64</v>
      </c>
      <c r="C761" t="str">
        <f ca="1">IFERROR(VLOOKUP(B761,MO_Matriz,2,0),"")</f>
        <v>Auxiliar de laboratório</v>
      </c>
      <c r="D761"/>
      <c r="E761"/>
      <c r="F761" s="39" t="str">
        <f ca="1">IFERROR(VLOOKUP(B761,MO_Matriz,3,0),"")</f>
        <v>A</v>
      </c>
      <c r="G761"/>
      <c r="H761" t="s">
        <v>455</v>
      </c>
      <c r="I761"/>
      <c r="J761">
        <f>H750*J750</f>
        <v>2</v>
      </c>
      <c r="K761"/>
      <c r="L761"/>
      <c r="M761"/>
      <c r="N761"/>
      <c r="O761"/>
      <c r="P761"/>
      <c r="Q761"/>
      <c r="R761"/>
      <c r="S761"/>
      <c r="T761"/>
      <c r="U761"/>
      <c r="V761"/>
      <c r="W761"/>
      <c r="X761"/>
      <c r="Y761"/>
      <c r="Z761"/>
      <c r="AA761"/>
      <c r="AB761"/>
      <c r="AC761"/>
      <c r="AD761" s="442"/>
      <c r="AE761" s="442"/>
    </row>
    <row r="762" spans="1:31" ht="17.25" x14ac:dyDescent="0.3">
      <c r="A762"/>
      <c r="B762" s="39" t="s">
        <v>59</v>
      </c>
      <c r="C762" t="str">
        <f ca="1">IFERROR(VLOOKUP(B762,MO_Matriz,2,0),"")</f>
        <v>Auxiliar</v>
      </c>
      <c r="D762"/>
      <c r="E762"/>
      <c r="F762" s="39" t="str">
        <f ca="1">IFERROR(VLOOKUP(B762,MO_Matriz,3,0),"")</f>
        <v>A</v>
      </c>
      <c r="G762"/>
      <c r="H762" t="s">
        <v>455</v>
      </c>
      <c r="I762"/>
      <c r="J762">
        <f>H751*J751</f>
        <v>4</v>
      </c>
      <c r="K762"/>
      <c r="L762"/>
      <c r="M762"/>
      <c r="N762"/>
      <c r="O762"/>
      <c r="P762"/>
      <c r="Q762"/>
      <c r="R762"/>
      <c r="S762"/>
      <c r="T762"/>
      <c r="U762"/>
      <c r="V762"/>
      <c r="W762"/>
      <c r="X762"/>
      <c r="Y762"/>
      <c r="Z762"/>
      <c r="AA762"/>
      <c r="AB762"/>
      <c r="AC762"/>
      <c r="AD762" s="442"/>
      <c r="AE762" s="442"/>
    </row>
    <row r="763" spans="1:31" ht="17.25" x14ac:dyDescent="0.3">
      <c r="A763"/>
      <c r="B763"/>
      <c r="C763"/>
      <c r="D763"/>
      <c r="E763"/>
      <c r="F763"/>
      <c r="G763"/>
      <c r="H763"/>
      <c r="I763" t="s">
        <v>329</v>
      </c>
      <c r="J763">
        <f>SUM(J760:J762)</f>
        <v>8</v>
      </c>
      <c r="K763"/>
      <c r="L763"/>
      <c r="M763"/>
      <c r="N763"/>
      <c r="O763"/>
      <c r="P763"/>
      <c r="Q763"/>
      <c r="R763"/>
      <c r="S763"/>
      <c r="T763"/>
      <c r="U763"/>
      <c r="V763"/>
      <c r="W763"/>
      <c r="X763"/>
      <c r="Y763"/>
      <c r="Z763"/>
      <c r="AA763"/>
      <c r="AB763"/>
      <c r="AC763"/>
      <c r="AD763" s="442"/>
      <c r="AE763" s="442"/>
    </row>
    <row r="764" spans="1:31" ht="17.25" x14ac:dyDescent="0.3">
      <c r="A764"/>
      <c r="B764"/>
      <c r="C764"/>
      <c r="D764"/>
      <c r="E764"/>
      <c r="F764"/>
      <c r="G764"/>
      <c r="H764"/>
      <c r="I764"/>
      <c r="J764"/>
      <c r="K764"/>
      <c r="L764"/>
      <c r="M764"/>
      <c r="N764"/>
      <c r="O764"/>
      <c r="P764"/>
      <c r="Q764"/>
      <c r="R764"/>
      <c r="S764"/>
      <c r="T764"/>
      <c r="U764"/>
      <c r="V764"/>
      <c r="W764"/>
      <c r="X764"/>
      <c r="Y764"/>
      <c r="Z764"/>
      <c r="AA764"/>
      <c r="AB764"/>
      <c r="AC764"/>
      <c r="AD764" s="442"/>
      <c r="AE764" s="442"/>
    </row>
    <row r="765" spans="1:31" ht="17.25" x14ac:dyDescent="0.3">
      <c r="A765" s="39" t="s">
        <v>456</v>
      </c>
      <c r="B765" t="s">
        <v>457</v>
      </c>
      <c r="C765"/>
      <c r="D765"/>
      <c r="E765"/>
      <c r="F765"/>
      <c r="G765"/>
      <c r="H765"/>
      <c r="I765"/>
      <c r="J765"/>
      <c r="K765"/>
      <c r="L765"/>
      <c r="M765"/>
      <c r="N765"/>
      <c r="O765"/>
      <c r="P765"/>
      <c r="Q765"/>
      <c r="R765"/>
      <c r="S765"/>
      <c r="T765"/>
      <c r="U765"/>
      <c r="V765"/>
      <c r="W765"/>
      <c r="X765"/>
      <c r="Y765"/>
      <c r="Z765"/>
      <c r="AA765"/>
      <c r="AB765"/>
      <c r="AC765"/>
      <c r="AD765" s="442"/>
      <c r="AE765" s="442"/>
    </row>
    <row r="766" spans="1:31" ht="17.25" x14ac:dyDescent="0.3">
      <c r="A766" s="39"/>
      <c r="B766" t="s">
        <v>458</v>
      </c>
      <c r="C766"/>
      <c r="D766"/>
      <c r="E766"/>
      <c r="F766"/>
      <c r="G766"/>
      <c r="H766"/>
      <c r="I766"/>
      <c r="J766"/>
      <c r="K766"/>
      <c r="L766"/>
      <c r="M766"/>
      <c r="N766"/>
      <c r="O766"/>
      <c r="P766"/>
      <c r="Q766"/>
      <c r="R766"/>
      <c r="S766"/>
      <c r="T766"/>
      <c r="U766"/>
      <c r="V766"/>
      <c r="W766"/>
      <c r="X766"/>
      <c r="Y766"/>
      <c r="Z766"/>
      <c r="AA766"/>
      <c r="AB766"/>
      <c r="AC766"/>
      <c r="AD766" s="442"/>
      <c r="AE766" s="442"/>
    </row>
    <row r="767" spans="1:31" ht="17.25" x14ac:dyDescent="0.3">
      <c r="A767"/>
      <c r="B767"/>
      <c r="C767"/>
      <c r="D767"/>
      <c r="E767"/>
      <c r="F767"/>
      <c r="G767"/>
      <c r="H767"/>
      <c r="I767"/>
      <c r="J767"/>
      <c r="K767"/>
      <c r="L767"/>
      <c r="M767"/>
      <c r="N767"/>
      <c r="O767"/>
      <c r="P767"/>
      <c r="Q767"/>
      <c r="R767"/>
      <c r="S767"/>
      <c r="T767"/>
      <c r="U767"/>
      <c r="V767"/>
      <c r="W767"/>
      <c r="X767"/>
      <c r="Y767"/>
      <c r="Z767"/>
      <c r="AA767"/>
      <c r="AB767"/>
      <c r="AC767"/>
      <c r="AD767" s="442"/>
      <c r="AE767" s="442"/>
    </row>
    <row r="768" spans="1:31" ht="17.25" x14ac:dyDescent="0.3">
      <c r="A768"/>
      <c r="B768" s="39" t="s">
        <v>360</v>
      </c>
      <c r="C768" t="s">
        <v>15</v>
      </c>
      <c r="D768"/>
      <c r="E768"/>
      <c r="F768" s="39" t="s">
        <v>321</v>
      </c>
      <c r="G768" s="39"/>
      <c r="H768" s="39" t="s">
        <v>453</v>
      </c>
      <c r="I768" s="39"/>
      <c r="J768" s="39" t="s">
        <v>454</v>
      </c>
      <c r="K768"/>
      <c r="L768"/>
      <c r="M768"/>
      <c r="N768"/>
      <c r="O768"/>
      <c r="P768"/>
      <c r="Q768"/>
      <c r="R768"/>
      <c r="S768"/>
      <c r="T768"/>
      <c r="U768"/>
      <c r="V768"/>
      <c r="W768"/>
      <c r="X768"/>
      <c r="Y768"/>
      <c r="Z768"/>
      <c r="AA768"/>
      <c r="AB768"/>
      <c r="AC768"/>
      <c r="AD768" s="442"/>
      <c r="AE768" s="442"/>
    </row>
    <row r="769" spans="1:31" ht="17.25" x14ac:dyDescent="0.3">
      <c r="A769"/>
      <c r="B769" s="39" t="s">
        <v>136</v>
      </c>
      <c r="C769" t="str">
        <f ca="1">IFERROR(VLOOKUP(B769,MO_Matriz,2,0),"")</f>
        <v>Laboratorista</v>
      </c>
      <c r="D769"/>
      <c r="E769"/>
      <c r="F769" s="39" t="str">
        <f ca="1">IFERROR(VLOOKUP(B769,MO_Matriz,3,0),"")</f>
        <v>T</v>
      </c>
      <c r="G769"/>
      <c r="H769" t="s">
        <v>455</v>
      </c>
      <c r="I769"/>
      <c r="J769">
        <f>H749*J749</f>
        <v>2</v>
      </c>
      <c r="K769"/>
      <c r="L769"/>
      <c r="M769"/>
      <c r="N769"/>
      <c r="O769"/>
      <c r="P769"/>
      <c r="Q769"/>
      <c r="R769"/>
      <c r="S769"/>
      <c r="T769"/>
      <c r="U769"/>
      <c r="V769"/>
      <c r="W769"/>
      <c r="X769"/>
      <c r="Y769"/>
      <c r="Z769"/>
      <c r="AA769"/>
      <c r="AB769"/>
      <c r="AC769"/>
      <c r="AD769" s="442"/>
      <c r="AE769" s="442"/>
    </row>
    <row r="770" spans="1:31" ht="17.25" x14ac:dyDescent="0.3">
      <c r="A770"/>
      <c r="B770" s="39" t="s">
        <v>64</v>
      </c>
      <c r="C770" t="str">
        <f ca="1">IFERROR(VLOOKUP(B770,MO_Matriz,2,0),"")</f>
        <v>Auxiliar de laboratório</v>
      </c>
      <c r="D770"/>
      <c r="E770"/>
      <c r="F770" s="39" t="str">
        <f ca="1">IFERROR(VLOOKUP(B770,MO_Matriz,3,0),"")</f>
        <v>A</v>
      </c>
      <c r="G770"/>
      <c r="H770" t="s">
        <v>1229</v>
      </c>
      <c r="I770"/>
      <c r="J770">
        <v>0</v>
      </c>
      <c r="K770"/>
      <c r="L770"/>
      <c r="M770"/>
      <c r="N770"/>
      <c r="O770"/>
      <c r="P770"/>
      <c r="Q770"/>
      <c r="R770"/>
      <c r="S770"/>
      <c r="T770"/>
      <c r="U770"/>
      <c r="V770"/>
      <c r="W770"/>
      <c r="X770"/>
      <c r="Y770"/>
      <c r="Z770"/>
      <c r="AA770"/>
      <c r="AB770"/>
      <c r="AC770"/>
      <c r="AD770" s="442"/>
      <c r="AE770" s="442"/>
    </row>
    <row r="771" spans="1:31" ht="17.25" x14ac:dyDescent="0.3">
      <c r="A771"/>
      <c r="B771" s="39" t="s">
        <v>59</v>
      </c>
      <c r="C771" t="str">
        <f ca="1">IFERROR(VLOOKUP(B771,MO_Matriz,2,0),"")</f>
        <v>Auxiliar</v>
      </c>
      <c r="D771"/>
      <c r="E771"/>
      <c r="F771" s="39" t="str">
        <f ca="1">IFERROR(VLOOKUP(B771,MO_Matriz,3,0),"")</f>
        <v>A</v>
      </c>
      <c r="G771"/>
      <c r="H771" t="s">
        <v>1229</v>
      </c>
      <c r="I771"/>
      <c r="J771">
        <v>0</v>
      </c>
      <c r="K771"/>
      <c r="L771"/>
      <c r="M771"/>
      <c r="N771"/>
      <c r="O771"/>
      <c r="P771"/>
      <c r="Q771"/>
      <c r="R771"/>
      <c r="S771"/>
      <c r="T771"/>
      <c r="U771"/>
      <c r="V771"/>
      <c r="W771"/>
      <c r="X771"/>
      <c r="Y771"/>
      <c r="Z771"/>
      <c r="AA771"/>
      <c r="AB771"/>
      <c r="AC771"/>
      <c r="AD771" s="442"/>
      <c r="AE771" s="442"/>
    </row>
    <row r="772" spans="1:31" ht="17.25" x14ac:dyDescent="0.3">
      <c r="A772"/>
      <c r="B772"/>
      <c r="C772"/>
      <c r="D772"/>
      <c r="E772"/>
      <c r="F772"/>
      <c r="G772"/>
      <c r="H772"/>
      <c r="I772" t="s">
        <v>329</v>
      </c>
      <c r="J772">
        <f>SUM(J769:J771)</f>
        <v>2</v>
      </c>
      <c r="K772"/>
      <c r="L772"/>
      <c r="M772"/>
      <c r="N772"/>
      <c r="O772"/>
      <c r="P772"/>
      <c r="Q772"/>
      <c r="R772"/>
      <c r="S772"/>
      <c r="T772"/>
      <c r="U772"/>
      <c r="V772"/>
      <c r="W772"/>
      <c r="X772"/>
      <c r="Y772"/>
      <c r="Z772"/>
      <c r="AA772"/>
      <c r="AB772"/>
      <c r="AC772"/>
      <c r="AD772" s="442"/>
      <c r="AE772" s="442"/>
    </row>
    <row r="773" spans="1:31" ht="17.25" x14ac:dyDescent="0.3">
      <c r="A773"/>
      <c r="B773"/>
      <c r="C773"/>
      <c r="D773"/>
      <c r="E773"/>
      <c r="F773"/>
      <c r="G773"/>
      <c r="H773"/>
      <c r="I773"/>
      <c r="J773"/>
      <c r="K773"/>
      <c r="L773"/>
      <c r="M773"/>
      <c r="N773"/>
      <c r="O773"/>
      <c r="P773"/>
      <c r="Q773"/>
      <c r="R773"/>
      <c r="S773"/>
      <c r="T773"/>
      <c r="U773"/>
      <c r="V773"/>
      <c r="W773"/>
      <c r="X773"/>
      <c r="Y773"/>
      <c r="Z773"/>
      <c r="AA773"/>
      <c r="AB773"/>
      <c r="AC773"/>
      <c r="AD773" s="442"/>
      <c r="AE773" s="442"/>
    </row>
    <row r="774" spans="1:31" ht="17.25" x14ac:dyDescent="0.3">
      <c r="A774" s="39" t="s">
        <v>350</v>
      </c>
      <c r="B774" t="s">
        <v>351</v>
      </c>
      <c r="C774"/>
      <c r="D774"/>
      <c r="E774"/>
      <c r="F774"/>
      <c r="G774"/>
      <c r="H774"/>
      <c r="I774"/>
      <c r="J774"/>
      <c r="K774"/>
      <c r="L774"/>
      <c r="M774"/>
      <c r="N774"/>
      <c r="O774"/>
      <c r="P774"/>
      <c r="Q774"/>
      <c r="R774"/>
      <c r="S774"/>
      <c r="T774"/>
      <c r="U774"/>
      <c r="V774"/>
      <c r="W774"/>
      <c r="X774"/>
      <c r="Y774"/>
      <c r="Z774"/>
      <c r="AA774"/>
      <c r="AB774"/>
      <c r="AC774"/>
      <c r="AD774" s="442"/>
      <c r="AE774" s="442"/>
    </row>
    <row r="775" spans="1:31" ht="17.25" x14ac:dyDescent="0.3">
      <c r="A775"/>
      <c r="B775" s="39" t="s">
        <v>320</v>
      </c>
      <c r="C775" t="s">
        <v>15</v>
      </c>
      <c r="D775"/>
      <c r="E775" s="39" t="s">
        <v>31</v>
      </c>
      <c r="F775"/>
      <c r="G775" s="39" t="s">
        <v>478</v>
      </c>
      <c r="H775"/>
      <c r="I775" s="39" t="s">
        <v>202</v>
      </c>
      <c r="J775" s="39" t="s">
        <v>224</v>
      </c>
      <c r="K775" s="39" t="s">
        <v>361</v>
      </c>
      <c r="L775" s="462" t="s">
        <v>396</v>
      </c>
      <c r="M775"/>
      <c r="N775" s="39"/>
      <c r="O775"/>
      <c r="P775"/>
      <c r="Q775"/>
      <c r="R775"/>
      <c r="S775"/>
      <c r="T775"/>
      <c r="U775"/>
      <c r="V775"/>
      <c r="W775"/>
      <c r="X775"/>
      <c r="Y775"/>
      <c r="Z775"/>
      <c r="AA775"/>
      <c r="AB775"/>
      <c r="AC775"/>
      <c r="AD775" s="442"/>
      <c r="AE775" s="442"/>
    </row>
    <row r="776" spans="1:31" ht="17.25" x14ac:dyDescent="0.3">
      <c r="A776"/>
      <c r="B776" s="39"/>
      <c r="C776"/>
      <c r="D776"/>
      <c r="E776"/>
      <c r="F776"/>
      <c r="G776" s="39" t="s">
        <v>332</v>
      </c>
      <c r="H776"/>
      <c r="I776" s="39" t="s">
        <v>363</v>
      </c>
      <c r="J776" s="39" t="s">
        <v>330</v>
      </c>
      <c r="K776" s="39" t="s">
        <v>364</v>
      </c>
      <c r="L776" s="462" t="s">
        <v>365</v>
      </c>
      <c r="M776"/>
      <c r="N776" s="39"/>
      <c r="O776"/>
      <c r="P776"/>
      <c r="Q776"/>
      <c r="R776"/>
      <c r="S776"/>
      <c r="T776"/>
      <c r="U776"/>
      <c r="V776"/>
      <c r="W776"/>
      <c r="X776"/>
      <c r="Y776"/>
      <c r="Z776"/>
      <c r="AA776"/>
      <c r="AB776"/>
      <c r="AC776"/>
      <c r="AD776" s="442"/>
      <c r="AE776" s="442"/>
    </row>
    <row r="777" spans="1:31" ht="17.25" x14ac:dyDescent="0.3">
      <c r="A777"/>
      <c r="B777" s="39" t="s">
        <v>288</v>
      </c>
      <c r="C777" t="str">
        <f>VLOOKUP(B777,'[1]Rel DNIT consult custos + BDI'!$C$13:$G$22,2,0)</f>
        <v>Laboratório de asfalto</v>
      </c>
      <c r="D777"/>
      <c r="E777" s="39" t="s">
        <v>36</v>
      </c>
      <c r="F777"/>
      <c r="G777" s="446">
        <f>VLOOKUP(B777,'[1]Rel DNIT consult custos + BDI'!$C$13:$G$22,5,0)</f>
        <v>5592.36</v>
      </c>
      <c r="H777"/>
      <c r="I777">
        <f>C744/2</f>
        <v>1</v>
      </c>
      <c r="J777">
        <f>F745</f>
        <v>0.58333333333333337</v>
      </c>
      <c r="K777">
        <f>J777/30</f>
        <v>1.9444444444444445E-2</v>
      </c>
      <c r="L777" s="464">
        <f>G777*I777*K777</f>
        <v>108.74033333333333</v>
      </c>
      <c r="M777"/>
      <c r="N777"/>
      <c r="O777"/>
      <c r="P777"/>
      <c r="Q777"/>
      <c r="R777"/>
      <c r="S777"/>
      <c r="T777"/>
      <c r="U777"/>
      <c r="V777"/>
      <c r="W777"/>
      <c r="X777"/>
      <c r="Y777"/>
      <c r="Z777"/>
      <c r="AA777"/>
      <c r="AB777"/>
      <c r="AC777"/>
      <c r="AD777" s="442"/>
      <c r="AE777" s="442"/>
    </row>
    <row r="778" spans="1:31" ht="17.25" x14ac:dyDescent="0.3">
      <c r="A778"/>
      <c r="B778" s="39" t="s">
        <v>292</v>
      </c>
      <c r="C778" t="str">
        <f>VLOOKUP(B778,'[1]Rel DNIT consult custos + BDI'!$C$13:$G$22,2,0)</f>
        <v>Laboratório de solos</v>
      </c>
      <c r="D778"/>
      <c r="E778" s="39" t="s">
        <v>36</v>
      </c>
      <c r="F778"/>
      <c r="G778" s="446">
        <f>VLOOKUP(B778,'[1]Rel DNIT consult custos + BDI'!$C$13:$G$22,5,0)</f>
        <v>4126.54</v>
      </c>
      <c r="H778"/>
      <c r="I778">
        <f>I777</f>
        <v>1</v>
      </c>
      <c r="J778">
        <f>F745</f>
        <v>0.58333333333333337</v>
      </c>
      <c r="K778">
        <f>J778/30</f>
        <v>1.9444444444444445E-2</v>
      </c>
      <c r="L778" s="464">
        <f>G778*I778*K778</f>
        <v>80.238277777777782</v>
      </c>
      <c r="M778"/>
      <c r="N778"/>
      <c r="O778"/>
      <c r="P778"/>
      <c r="Q778"/>
      <c r="R778"/>
      <c r="S778"/>
      <c r="T778"/>
      <c r="U778"/>
      <c r="V778"/>
      <c r="W778"/>
      <c r="X778"/>
      <c r="Y778"/>
      <c r="Z778"/>
      <c r="AA778"/>
      <c r="AB778"/>
      <c r="AC778"/>
      <c r="AD778" s="442"/>
      <c r="AE778" s="442"/>
    </row>
    <row r="779" spans="1:31" ht="17.25" x14ac:dyDescent="0.3">
      <c r="A779"/>
      <c r="B779"/>
      <c r="C779"/>
      <c r="D779"/>
      <c r="E779"/>
      <c r="F779"/>
      <c r="G779"/>
      <c r="H779"/>
      <c r="I779"/>
      <c r="J779"/>
      <c r="K779" s="449" t="s">
        <v>329</v>
      </c>
      <c r="L779" s="448">
        <f>SUM(L777:L778)</f>
        <v>188.97861111111109</v>
      </c>
      <c r="M779"/>
      <c r="N779"/>
      <c r="O779"/>
      <c r="P779"/>
      <c r="Q779"/>
      <c r="R779"/>
      <c r="S779"/>
      <c r="T779"/>
      <c r="U779"/>
      <c r="V779"/>
      <c r="W779"/>
      <c r="X779"/>
      <c r="Y779"/>
      <c r="Z779"/>
      <c r="AA779"/>
      <c r="AB779"/>
      <c r="AC779"/>
      <c r="AD779" s="442"/>
      <c r="AE779" s="442"/>
    </row>
    <row r="780" spans="1:31" ht="17.25" x14ac:dyDescent="0.3">
      <c r="A780"/>
      <c r="B780"/>
      <c r="C780"/>
      <c r="D780"/>
      <c r="E780"/>
      <c r="F780"/>
      <c r="G780"/>
      <c r="H780"/>
      <c r="I780"/>
      <c r="J780"/>
      <c r="K780"/>
      <c r="L780"/>
      <c r="M780"/>
      <c r="N780"/>
      <c r="O780"/>
      <c r="P780"/>
      <c r="Q780"/>
      <c r="R780"/>
      <c r="S780"/>
      <c r="T780"/>
      <c r="U780"/>
      <c r="V780"/>
      <c r="W780"/>
      <c r="X780"/>
      <c r="Y780"/>
      <c r="Z780"/>
      <c r="AA780"/>
      <c r="AB780"/>
      <c r="AC780"/>
      <c r="AD780" s="442"/>
      <c r="AE780" s="442"/>
    </row>
    <row r="781" spans="1:31" ht="17.25" x14ac:dyDescent="0.3">
      <c r="A781" s="39" t="s">
        <v>197</v>
      </c>
      <c r="B781" t="s">
        <v>352</v>
      </c>
      <c r="C781"/>
      <c r="D781"/>
      <c r="E781"/>
      <c r="F781"/>
      <c r="G781"/>
      <c r="H781"/>
      <c r="I781"/>
      <c r="J781"/>
      <c r="K781"/>
      <c r="L781"/>
      <c r="M781"/>
      <c r="N781"/>
      <c r="O781"/>
      <c r="P781"/>
      <c r="Q781"/>
      <c r="R781"/>
      <c r="S781"/>
      <c r="T781"/>
      <c r="U781"/>
      <c r="V781"/>
      <c r="W781"/>
      <c r="X781"/>
      <c r="Y781"/>
      <c r="Z781"/>
      <c r="AA781"/>
      <c r="AB781"/>
      <c r="AC781"/>
      <c r="AD781" s="442"/>
      <c r="AE781" s="442"/>
    </row>
    <row r="782" spans="1:31" ht="17.25" x14ac:dyDescent="0.3">
      <c r="A782" s="39" t="s">
        <v>450</v>
      </c>
      <c r="B782" t="s">
        <v>433</v>
      </c>
      <c r="C782"/>
      <c r="D782"/>
      <c r="E782"/>
      <c r="F782"/>
      <c r="G782"/>
      <c r="H782"/>
      <c r="I782"/>
      <c r="J782"/>
      <c r="K782"/>
      <c r="L782"/>
      <c r="M782"/>
      <c r="N782"/>
      <c r="O782"/>
      <c r="P782"/>
      <c r="Q782"/>
      <c r="R782"/>
      <c r="S782"/>
      <c r="T782"/>
      <c r="U782"/>
      <c r="V782"/>
      <c r="W782"/>
      <c r="X782"/>
      <c r="Y782"/>
      <c r="Z782"/>
      <c r="AA782"/>
      <c r="AB782"/>
      <c r="AC782"/>
      <c r="AD782" s="442"/>
      <c r="AE782" s="442"/>
    </row>
    <row r="783" spans="1:31" ht="17.25" x14ac:dyDescent="0.3">
      <c r="A783"/>
      <c r="B783" t="str">
        <f>Listas!$N$1</f>
        <v>Decreto Estadual 16.536/2024</v>
      </c>
      <c r="C783"/>
      <c r="D783"/>
      <c r="E783"/>
      <c r="F783"/>
      <c r="G783"/>
      <c r="H783"/>
      <c r="I783"/>
      <c r="J783"/>
      <c r="K783"/>
      <c r="L783"/>
      <c r="M783"/>
      <c r="N783"/>
      <c r="O783"/>
      <c r="P783"/>
      <c r="Q783"/>
      <c r="R783"/>
      <c r="S783"/>
      <c r="T783"/>
      <c r="U783"/>
      <c r="V783"/>
      <c r="W783"/>
      <c r="X783"/>
      <c r="Y783"/>
      <c r="Z783"/>
      <c r="AA783"/>
      <c r="AB783"/>
      <c r="AC783"/>
      <c r="AD783" s="442"/>
      <c r="AE783" s="442"/>
    </row>
    <row r="784" spans="1:31" ht="17.25" x14ac:dyDescent="0.3">
      <c r="A784"/>
      <c r="B784" t="s">
        <v>15</v>
      </c>
      <c r="C784"/>
      <c r="D784"/>
      <c r="E784" t="s">
        <v>357</v>
      </c>
      <c r="F784" t="s">
        <v>202</v>
      </c>
      <c r="G784"/>
      <c r="H784"/>
      <c r="I784"/>
      <c r="J784"/>
      <c r="K784"/>
      <c r="L784"/>
      <c r="M784"/>
      <c r="N784"/>
      <c r="O784"/>
      <c r="P784"/>
      <c r="Q784"/>
      <c r="R784"/>
      <c r="S784"/>
      <c r="T784"/>
      <c r="U784"/>
      <c r="V784"/>
      <c r="W784"/>
      <c r="X784"/>
      <c r="Y784"/>
      <c r="Z784"/>
      <c r="AA784"/>
      <c r="AB784"/>
      <c r="AC784"/>
      <c r="AD784" s="442"/>
      <c r="AE784" s="442"/>
    </row>
    <row r="785" spans="1:31" ht="17.25" x14ac:dyDescent="0.3">
      <c r="A785"/>
      <c r="B785" t="s">
        <v>248</v>
      </c>
      <c r="C785"/>
      <c r="D785"/>
      <c r="E785" s="444">
        <f>Listas!$P$3</f>
        <v>250</v>
      </c>
      <c r="F785"/>
      <c r="G785"/>
      <c r="H785"/>
      <c r="I785"/>
      <c r="J785"/>
      <c r="K785"/>
      <c r="L785"/>
      <c r="M785"/>
      <c r="N785"/>
      <c r="O785"/>
      <c r="P785"/>
      <c r="Q785"/>
      <c r="R785"/>
      <c r="S785"/>
      <c r="T785"/>
      <c r="U785"/>
      <c r="V785"/>
      <c r="W785"/>
      <c r="X785"/>
      <c r="Y785"/>
      <c r="Z785"/>
      <c r="AA785"/>
      <c r="AB785"/>
      <c r="AC785"/>
      <c r="AD785" s="442"/>
      <c r="AE785" s="442"/>
    </row>
    <row r="786" spans="1:31" ht="17.25" x14ac:dyDescent="0.3">
      <c r="A786"/>
      <c r="B786" t="s">
        <v>252</v>
      </c>
      <c r="C786"/>
      <c r="D786"/>
      <c r="E786" s="444">
        <f>E785/2</f>
        <v>125</v>
      </c>
      <c r="F786">
        <f>ROUNDUP(H749*J749*N749,0)</f>
        <v>1</v>
      </c>
      <c r="G786"/>
      <c r="H786"/>
      <c r="I786"/>
      <c r="J786"/>
      <c r="K786"/>
      <c r="L786"/>
      <c r="M786"/>
      <c r="N786"/>
      <c r="O786"/>
      <c r="P786"/>
      <c r="Q786"/>
      <c r="R786"/>
      <c r="S786"/>
      <c r="T786"/>
      <c r="U786"/>
      <c r="V786"/>
      <c r="W786"/>
      <c r="X786"/>
      <c r="Y786"/>
      <c r="Z786"/>
      <c r="AA786"/>
      <c r="AB786"/>
      <c r="AC786"/>
      <c r="AD786" s="442"/>
      <c r="AE786" s="442"/>
    </row>
    <row r="787" spans="1:31" ht="17.25" x14ac:dyDescent="0.3">
      <c r="A787"/>
      <c r="B787" t="s">
        <v>255</v>
      </c>
      <c r="C787"/>
      <c r="D787"/>
      <c r="E787" s="444">
        <f>E786</f>
        <v>125</v>
      </c>
      <c r="F787">
        <v>0</v>
      </c>
      <c r="G787"/>
      <c r="H787"/>
      <c r="I787"/>
      <c r="J787"/>
      <c r="K787"/>
      <c r="L787"/>
      <c r="M787"/>
      <c r="N787"/>
      <c r="O787"/>
      <c r="P787"/>
      <c r="Q787"/>
      <c r="R787"/>
      <c r="S787"/>
      <c r="T787"/>
      <c r="U787"/>
      <c r="V787"/>
      <c r="W787"/>
      <c r="X787"/>
      <c r="Y787"/>
      <c r="Z787"/>
      <c r="AA787"/>
      <c r="AB787"/>
      <c r="AC787"/>
      <c r="AD787" s="442"/>
      <c r="AE787" s="442"/>
    </row>
    <row r="788" spans="1:31" ht="17.25" x14ac:dyDescent="0.3">
      <c r="A788"/>
      <c r="B788"/>
      <c r="C788"/>
      <c r="D788"/>
      <c r="E788"/>
      <c r="F788"/>
      <c r="G788"/>
      <c r="H788"/>
      <c r="I788"/>
      <c r="J788"/>
      <c r="K788"/>
      <c r="L788"/>
      <c r="M788"/>
      <c r="N788"/>
      <c r="O788"/>
      <c r="P788"/>
      <c r="Q788"/>
      <c r="R788"/>
      <c r="S788"/>
      <c r="T788"/>
      <c r="U788"/>
      <c r="V788"/>
      <c r="W788"/>
      <c r="X788"/>
      <c r="Y788"/>
      <c r="Z788"/>
      <c r="AA788"/>
      <c r="AB788"/>
      <c r="AC788"/>
      <c r="AD788" s="442"/>
      <c r="AE788" s="442"/>
    </row>
    <row r="789" spans="1:31" ht="17.25" x14ac:dyDescent="0.3">
      <c r="A789"/>
      <c r="B789" s="39" t="s">
        <v>360</v>
      </c>
      <c r="C789" s="450" t="s">
        <v>15</v>
      </c>
      <c r="D789" s="39"/>
      <c r="E789" s="39"/>
      <c r="F789" s="39" t="s">
        <v>321</v>
      </c>
      <c r="G789" s="39"/>
      <c r="H789" s="39" t="s">
        <v>434</v>
      </c>
      <c r="I789" s="39" t="s">
        <v>435</v>
      </c>
      <c r="J789" s="449" t="s">
        <v>329</v>
      </c>
      <c r="K789"/>
      <c r="L789"/>
      <c r="M789"/>
      <c r="N789"/>
      <c r="O789"/>
      <c r="P789"/>
      <c r="Q789"/>
      <c r="R789"/>
      <c r="S789"/>
      <c r="T789"/>
      <c r="U789"/>
      <c r="V789"/>
      <c r="W789"/>
      <c r="X789"/>
      <c r="Y789"/>
      <c r="Z789"/>
      <c r="AA789"/>
      <c r="AB789"/>
      <c r="AC789"/>
      <c r="AD789" s="442"/>
      <c r="AE789" s="442"/>
    </row>
    <row r="790" spans="1:31" ht="17.25" x14ac:dyDescent="0.3">
      <c r="A790"/>
      <c r="B790" s="39"/>
      <c r="C790" s="39"/>
      <c r="D790" s="39"/>
      <c r="E790" s="39"/>
      <c r="F790" s="39"/>
      <c r="G790" s="39"/>
      <c r="H790" s="39" t="s">
        <v>363</v>
      </c>
      <c r="I790" s="39" t="s">
        <v>330</v>
      </c>
      <c r="J790" s="449" t="s">
        <v>436</v>
      </c>
      <c r="K790"/>
      <c r="L790"/>
      <c r="M790"/>
      <c r="N790"/>
      <c r="O790"/>
      <c r="P790"/>
      <c r="Q790"/>
      <c r="R790"/>
      <c r="S790"/>
      <c r="T790"/>
      <c r="U790"/>
      <c r="V790"/>
      <c r="W790"/>
      <c r="X790"/>
      <c r="Y790"/>
      <c r="Z790"/>
      <c r="AA790"/>
      <c r="AB790"/>
      <c r="AC790"/>
      <c r="AD790" s="442"/>
      <c r="AE790" s="442"/>
    </row>
    <row r="791" spans="1:31" ht="17.25" x14ac:dyDescent="0.3">
      <c r="A791"/>
      <c r="B791" s="39" t="s">
        <v>136</v>
      </c>
      <c r="C791" t="str">
        <f ca="1">IFERROR(VLOOKUP(B791,MO_Matriz,2,0),"")</f>
        <v>Laboratorista</v>
      </c>
      <c r="D791"/>
      <c r="E791"/>
      <c r="F791" s="39" t="str">
        <f ca="1">IFERROR(VLOOKUP(B791,MO_Matriz,3,0),"")</f>
        <v>T</v>
      </c>
      <c r="G791"/>
      <c r="H791" s="446">
        <f>E786*F786</f>
        <v>125</v>
      </c>
      <c r="I791" s="446">
        <f>E787*F787</f>
        <v>0</v>
      </c>
      <c r="J791" s="448">
        <f>H791+I791</f>
        <v>125</v>
      </c>
      <c r="K791"/>
      <c r="L791"/>
      <c r="M791"/>
      <c r="N791"/>
      <c r="O791"/>
      <c r="P791"/>
      <c r="Q791"/>
      <c r="R791"/>
      <c r="S791"/>
      <c r="T791"/>
      <c r="U791"/>
      <c r="V791"/>
      <c r="W791"/>
      <c r="X791"/>
      <c r="Y791"/>
      <c r="Z791"/>
      <c r="AA791"/>
      <c r="AB791"/>
      <c r="AC791"/>
      <c r="AD791" s="442"/>
      <c r="AE791" s="442"/>
    </row>
    <row r="792" spans="1:31" ht="17.25" x14ac:dyDescent="0.3">
      <c r="A792"/>
      <c r="B792"/>
      <c r="C792"/>
      <c r="D792"/>
      <c r="E792"/>
      <c r="F792"/>
      <c r="G792"/>
      <c r="H792"/>
      <c r="I792"/>
      <c r="J792"/>
      <c r="K792"/>
      <c r="L792"/>
      <c r="M792"/>
      <c r="N792"/>
      <c r="O792"/>
      <c r="P792"/>
      <c r="Q792"/>
      <c r="R792"/>
      <c r="S792"/>
      <c r="T792"/>
      <c r="U792"/>
      <c r="V792"/>
      <c r="W792"/>
      <c r="X792"/>
      <c r="Y792"/>
      <c r="Z792"/>
      <c r="AA792"/>
      <c r="AB792"/>
      <c r="AC792"/>
      <c r="AD792" s="442"/>
      <c r="AE792" s="442"/>
    </row>
    <row r="793" spans="1:31" ht="17.25" x14ac:dyDescent="0.3">
      <c r="A793" s="39" t="s">
        <v>459</v>
      </c>
      <c r="B793" t="s">
        <v>437</v>
      </c>
      <c r="C793"/>
      <c r="D793"/>
      <c r="E793"/>
      <c r="F793"/>
      <c r="G793"/>
      <c r="H793"/>
      <c r="I793"/>
      <c r="J793"/>
      <c r="K793"/>
      <c r="L793"/>
      <c r="M793"/>
      <c r="N793"/>
      <c r="O793"/>
      <c r="P793"/>
      <c r="Q793"/>
      <c r="R793"/>
      <c r="S793"/>
      <c r="T793"/>
      <c r="U793"/>
      <c r="V793"/>
      <c r="W793"/>
      <c r="X793"/>
      <c r="Y793"/>
      <c r="Z793"/>
      <c r="AA793"/>
      <c r="AB793"/>
      <c r="AC793"/>
      <c r="AD793" s="442"/>
      <c r="AE793" s="442"/>
    </row>
    <row r="794" spans="1:31" ht="17.25" x14ac:dyDescent="0.3">
      <c r="A794"/>
      <c r="B794" t="s">
        <v>438</v>
      </c>
      <c r="C794"/>
      <c r="D794"/>
      <c r="E794"/>
      <c r="F794"/>
      <c r="G794"/>
      <c r="H794"/>
      <c r="I794"/>
      <c r="J794"/>
      <c r="K794"/>
      <c r="L794"/>
      <c r="M794"/>
      <c r="N794"/>
      <c r="O794"/>
      <c r="P794"/>
      <c r="Q794"/>
      <c r="R794"/>
      <c r="S794"/>
      <c r="T794"/>
      <c r="U794"/>
      <c r="V794"/>
      <c r="W794"/>
      <c r="X794"/>
      <c r="Y794"/>
      <c r="Z794"/>
      <c r="AA794"/>
      <c r="AB794"/>
      <c r="AC794"/>
      <c r="AD794" s="442"/>
      <c r="AE794" s="442"/>
    </row>
    <row r="795" spans="1:31" ht="17.25" x14ac:dyDescent="0.3">
      <c r="A795"/>
      <c r="B795"/>
      <c r="C795"/>
      <c r="D795"/>
      <c r="E795"/>
      <c r="F795"/>
      <c r="G795"/>
      <c r="H795"/>
      <c r="I795"/>
      <c r="J795"/>
      <c r="K795"/>
      <c r="L795"/>
      <c r="M795"/>
      <c r="N795"/>
      <c r="O795"/>
      <c r="P795"/>
      <c r="Q795"/>
      <c r="R795"/>
      <c r="S795"/>
      <c r="T795"/>
      <c r="U795"/>
      <c r="V795"/>
      <c r="W795"/>
      <c r="X795"/>
      <c r="Y795"/>
      <c r="Z795"/>
      <c r="AA795"/>
      <c r="AB795"/>
      <c r="AC795"/>
      <c r="AD795" s="442"/>
      <c r="AE795" s="442"/>
    </row>
    <row r="796" spans="1:31" ht="17.25" x14ac:dyDescent="0.3">
      <c r="A796" s="39" t="s">
        <v>353</v>
      </c>
      <c r="B796" t="s">
        <v>354</v>
      </c>
      <c r="C796"/>
      <c r="D796"/>
      <c r="E796"/>
      <c r="F796"/>
      <c r="G796"/>
      <c r="H796"/>
      <c r="I796"/>
      <c r="J796"/>
      <c r="K796"/>
      <c r="L796"/>
      <c r="M796"/>
      <c r="N796"/>
      <c r="O796"/>
      <c r="P796"/>
      <c r="Q796"/>
      <c r="R796"/>
      <c r="S796"/>
      <c r="T796"/>
      <c r="U796"/>
      <c r="V796"/>
      <c r="W796"/>
      <c r="X796"/>
      <c r="Y796"/>
      <c r="Z796"/>
      <c r="AA796"/>
      <c r="AB796"/>
      <c r="AC796"/>
      <c r="AD796" s="442"/>
      <c r="AE796" s="442"/>
    </row>
    <row r="797" spans="1:31" ht="17.25" x14ac:dyDescent="0.3">
      <c r="A797" s="39" t="s">
        <v>385</v>
      </c>
      <c r="B797" t="s">
        <v>317</v>
      </c>
      <c r="C797"/>
      <c r="D797"/>
      <c r="E797"/>
      <c r="F797"/>
      <c r="G797"/>
      <c r="H797"/>
      <c r="I797"/>
      <c r="J797"/>
      <c r="K797"/>
      <c r="L797"/>
      <c r="M797"/>
      <c r="N797"/>
      <c r="O797"/>
      <c r="P797"/>
      <c r="Q797"/>
      <c r="R797"/>
      <c r="S797"/>
      <c r="T797"/>
      <c r="U797"/>
      <c r="V797"/>
      <c r="W797"/>
      <c r="X797"/>
      <c r="Y797"/>
      <c r="Z797"/>
      <c r="AA797"/>
      <c r="AB797"/>
      <c r="AC797"/>
      <c r="AD797" s="442"/>
      <c r="AE797" s="442"/>
    </row>
    <row r="798" spans="1:31" ht="17.25" x14ac:dyDescent="0.3">
      <c r="A798"/>
      <c r="B798" t="str">
        <f>"Passagem de ônibus de Campo Grande para "&amp;[1]Listas!$D$12&amp;", em: "&amp;[1]Listas!$D$14</f>
        <v>Passagem de ônibus de Campo Grande para Paranaiba, em: nov-21</v>
      </c>
      <c r="C798"/>
      <c r="D798"/>
      <c r="E798"/>
      <c r="F798"/>
      <c r="G798"/>
      <c r="H798" s="446">
        <f>[1]Listas!$D$13</f>
        <v>46.7</v>
      </c>
      <c r="I798"/>
      <c r="J798"/>
      <c r="K798"/>
      <c r="L798"/>
      <c r="M798"/>
      <c r="N798"/>
      <c r="O798"/>
      <c r="P798"/>
      <c r="Q798"/>
      <c r="R798"/>
      <c r="S798"/>
      <c r="T798"/>
      <c r="U798"/>
      <c r="V798"/>
      <c r="W798"/>
      <c r="X798"/>
      <c r="Y798"/>
      <c r="Z798"/>
      <c r="AA798"/>
      <c r="AB798"/>
      <c r="AC798"/>
      <c r="AD798" s="442"/>
      <c r="AE798" s="442"/>
    </row>
    <row r="799" spans="1:31" ht="17.25" x14ac:dyDescent="0.3">
      <c r="A799"/>
      <c r="B799"/>
      <c r="C799"/>
      <c r="D799"/>
      <c r="E799"/>
      <c r="F799"/>
      <c r="G799"/>
      <c r="H799"/>
      <c r="I799"/>
      <c r="J799"/>
      <c r="K799"/>
      <c r="L799"/>
      <c r="M799"/>
      <c r="N799"/>
      <c r="O799"/>
      <c r="P799"/>
      <c r="Q799"/>
      <c r="R799"/>
      <c r="S799"/>
      <c r="T799"/>
      <c r="U799"/>
      <c r="V799"/>
      <c r="W799"/>
      <c r="X799"/>
      <c r="Y799"/>
      <c r="Z799"/>
      <c r="AA799"/>
      <c r="AB799"/>
      <c r="AC799"/>
      <c r="AD799" s="442"/>
      <c r="AE799" s="442"/>
    </row>
    <row r="800" spans="1:31" ht="17.25" x14ac:dyDescent="0.3">
      <c r="A800"/>
      <c r="B800" t="s">
        <v>15</v>
      </c>
      <c r="C800"/>
      <c r="D800"/>
      <c r="E800"/>
      <c r="F800" t="s">
        <v>368</v>
      </c>
      <c r="G800" t="s">
        <v>357</v>
      </c>
      <c r="H800"/>
      <c r="I800"/>
      <c r="J800"/>
      <c r="K800"/>
      <c r="L800"/>
      <c r="M800"/>
      <c r="N800"/>
      <c r="O800"/>
      <c r="P800"/>
      <c r="Q800"/>
      <c r="R800"/>
      <c r="S800"/>
      <c r="T800"/>
      <c r="U800"/>
      <c r="V800"/>
      <c r="W800"/>
      <c r="X800"/>
      <c r="Y800"/>
      <c r="Z800"/>
      <c r="AA800"/>
      <c r="AB800"/>
      <c r="AC800"/>
      <c r="AD800" s="442"/>
      <c r="AE800" s="442"/>
    </row>
    <row r="801" spans="1:31" ht="17.25" x14ac:dyDescent="0.3">
      <c r="A801"/>
      <c r="B801" t="s">
        <v>369</v>
      </c>
      <c r="C801"/>
      <c r="D801"/>
      <c r="E801"/>
      <c r="F801" s="453" t="str">
        <f>[1]Listas!$E$15</f>
        <v>out-21</v>
      </c>
      <c r="G801">
        <f>[1]Listas!$D$15</f>
        <v>255.76599999999999</v>
      </c>
      <c r="H801"/>
      <c r="I801"/>
      <c r="J801"/>
      <c r="K801"/>
      <c r="L801"/>
      <c r="M801"/>
      <c r="N801"/>
      <c r="O801"/>
      <c r="P801"/>
      <c r="Q801"/>
      <c r="R801"/>
      <c r="S801"/>
      <c r="T801"/>
      <c r="U801"/>
      <c r="V801"/>
      <c r="W801"/>
      <c r="X801"/>
      <c r="Y801"/>
      <c r="Z801"/>
      <c r="AA801"/>
      <c r="AB801"/>
      <c r="AC801"/>
      <c r="AD801" s="442"/>
      <c r="AE801" s="442"/>
    </row>
    <row r="802" spans="1:31" ht="17.25" x14ac:dyDescent="0.3">
      <c r="A802"/>
      <c r="B802" t="s">
        <v>369</v>
      </c>
      <c r="C802"/>
      <c r="D802"/>
      <c r="E802"/>
      <c r="F802" s="523">
        <f>Listas!$AI$2</f>
        <v>45748</v>
      </c>
      <c r="G802">
        <f>Listas!$AI$3</f>
        <v>303.67500000000001</v>
      </c>
      <c r="H802"/>
      <c r="I802"/>
      <c r="J802"/>
      <c r="K802"/>
      <c r="L802"/>
      <c r="M802"/>
      <c r="N802"/>
      <c r="O802"/>
      <c r="P802"/>
      <c r="Q802"/>
      <c r="R802"/>
      <c r="S802"/>
      <c r="T802"/>
      <c r="U802"/>
      <c r="V802"/>
      <c r="W802"/>
      <c r="X802"/>
      <c r="Y802"/>
      <c r="Z802"/>
      <c r="AA802"/>
      <c r="AB802"/>
      <c r="AC802"/>
      <c r="AD802" s="442"/>
      <c r="AE802" s="442"/>
    </row>
    <row r="803" spans="1:31" ht="17.25" x14ac:dyDescent="0.3">
      <c r="A803"/>
      <c r="B803" t="s">
        <v>370</v>
      </c>
      <c r="C803"/>
      <c r="D803"/>
      <c r="E803"/>
      <c r="F803" s="39" t="s">
        <v>259</v>
      </c>
      <c r="G803" s="454">
        <f>G801/G802</f>
        <v>0.84223594303120108</v>
      </c>
      <c r="H803"/>
      <c r="I803"/>
      <c r="J803"/>
      <c r="K803"/>
      <c r="L803"/>
      <c r="M803"/>
      <c r="N803"/>
      <c r="O803"/>
      <c r="P803"/>
      <c r="Q803"/>
      <c r="R803"/>
      <c r="S803"/>
      <c r="T803"/>
      <c r="U803"/>
      <c r="V803"/>
      <c r="W803"/>
      <c r="X803"/>
      <c r="Y803"/>
      <c r="Z803"/>
      <c r="AA803"/>
      <c r="AB803"/>
      <c r="AC803"/>
      <c r="AD803" s="442"/>
      <c r="AE803" s="442"/>
    </row>
    <row r="804" spans="1:31" ht="17.25" x14ac:dyDescent="0.3">
      <c r="A804"/>
      <c r="B804" t="s">
        <v>1259</v>
      </c>
      <c r="C804"/>
      <c r="D804"/>
      <c r="E804"/>
      <c r="F804" s="453" t="str">
        <f>[1]Listas!$D$14</f>
        <v>nov-21</v>
      </c>
      <c r="G804" s="446">
        <f>[1]Listas!$D$13</f>
        <v>46.7</v>
      </c>
      <c r="H804"/>
      <c r="I804"/>
      <c r="J804"/>
      <c r="K804"/>
      <c r="L804"/>
      <c r="M804"/>
      <c r="N804"/>
      <c r="O804"/>
      <c r="P804"/>
      <c r="Q804"/>
      <c r="R804"/>
      <c r="S804"/>
      <c r="T804"/>
      <c r="U804"/>
      <c r="V804"/>
      <c r="W804"/>
      <c r="X804"/>
      <c r="Y804"/>
      <c r="Z804"/>
      <c r="AA804"/>
      <c r="AB804"/>
      <c r="AC804"/>
      <c r="AD804" s="442"/>
      <c r="AE804" s="442"/>
    </row>
    <row r="805" spans="1:31" ht="17.25" x14ac:dyDescent="0.3">
      <c r="A805"/>
      <c r="B805" t="s">
        <v>1259</v>
      </c>
      <c r="C805"/>
      <c r="D805"/>
      <c r="E805"/>
      <c r="F805" s="523">
        <f>Listas!$AI$2</f>
        <v>45748</v>
      </c>
      <c r="G805" s="524">
        <f>G804*G803+G804</f>
        <v>86.032418539557099</v>
      </c>
      <c r="H805"/>
      <c r="I805"/>
      <c r="J805"/>
      <c r="K805"/>
      <c r="L805"/>
      <c r="M805"/>
      <c r="N805"/>
      <c r="O805"/>
      <c r="P805"/>
      <c r="Q805"/>
      <c r="R805"/>
      <c r="S805"/>
      <c r="T805"/>
      <c r="U805"/>
      <c r="V805"/>
      <c r="W805"/>
      <c r="X805"/>
      <c r="Y805"/>
      <c r="Z805"/>
      <c r="AA805"/>
      <c r="AB805"/>
      <c r="AC805"/>
      <c r="AD805" s="442"/>
      <c r="AE805" s="442"/>
    </row>
    <row r="806" spans="1:31" ht="17.25" x14ac:dyDescent="0.3">
      <c r="A806"/>
      <c r="B806"/>
      <c r="C806"/>
      <c r="D806"/>
      <c r="E806"/>
      <c r="F806"/>
      <c r="G806"/>
      <c r="H806"/>
      <c r="I806"/>
      <c r="J806"/>
      <c r="K806"/>
      <c r="L806"/>
      <c r="M806"/>
      <c r="N806"/>
      <c r="O806"/>
      <c r="P806"/>
      <c r="Q806"/>
      <c r="R806"/>
      <c r="S806"/>
      <c r="T806"/>
      <c r="U806"/>
      <c r="V806"/>
      <c r="W806"/>
      <c r="X806"/>
      <c r="Y806"/>
      <c r="Z806"/>
      <c r="AA806"/>
      <c r="AB806"/>
      <c r="AC806"/>
      <c r="AD806" s="442"/>
      <c r="AE806" s="442"/>
    </row>
    <row r="807" spans="1:31" ht="17.25" x14ac:dyDescent="0.3">
      <c r="A807"/>
      <c r="B807" s="39" t="s">
        <v>360</v>
      </c>
      <c r="C807" t="s">
        <v>15</v>
      </c>
      <c r="D807"/>
      <c r="E807"/>
      <c r="F807" s="39" t="s">
        <v>321</v>
      </c>
      <c r="G807" s="39"/>
      <c r="H807" s="39" t="s">
        <v>202</v>
      </c>
      <c r="I807" s="39"/>
      <c r="J807" s="39" t="s">
        <v>1260</v>
      </c>
      <c r="K807" s="39"/>
      <c r="L807" s="39" t="s">
        <v>1261</v>
      </c>
      <c r="M807" s="39"/>
      <c r="N807" s="39" t="s">
        <v>1262</v>
      </c>
      <c r="O807" s="39"/>
      <c r="P807" s="39" t="s">
        <v>495</v>
      </c>
      <c r="Q807" s="39"/>
      <c r="R807" s="39"/>
      <c r="S807" s="39" t="s">
        <v>1263</v>
      </c>
      <c r="T807" s="39"/>
      <c r="U807" s="39" t="s">
        <v>224</v>
      </c>
      <c r="V807" s="39" t="s">
        <v>496</v>
      </c>
      <c r="W807" s="39"/>
      <c r="X807" s="39" t="s">
        <v>1264</v>
      </c>
      <c r="Y807" s="39"/>
      <c r="Z807" s="449" t="s">
        <v>362</v>
      </c>
      <c r="AA807"/>
      <c r="AB807"/>
      <c r="AC807"/>
      <c r="AD807" s="442"/>
      <c r="AE807" s="442"/>
    </row>
    <row r="808" spans="1:31" ht="17.25" x14ac:dyDescent="0.3">
      <c r="A808"/>
      <c r="B808" s="39"/>
      <c r="C808"/>
      <c r="D808"/>
      <c r="E808"/>
      <c r="F808" s="39"/>
      <c r="G808" s="39"/>
      <c r="H808" s="39" t="s">
        <v>363</v>
      </c>
      <c r="I808" s="39"/>
      <c r="J808" s="39" t="s">
        <v>330</v>
      </c>
      <c r="K808" s="39"/>
      <c r="L808" s="39" t="s">
        <v>331</v>
      </c>
      <c r="M808" s="39"/>
      <c r="N808" s="39" t="s">
        <v>464</v>
      </c>
      <c r="O808" s="39"/>
      <c r="P808" s="39" t="s">
        <v>333</v>
      </c>
      <c r="Q808" s="39"/>
      <c r="R808" s="39"/>
      <c r="S808" s="39" t="s">
        <v>1265</v>
      </c>
      <c r="T808" s="39"/>
      <c r="U808" s="39" t="s">
        <v>497</v>
      </c>
      <c r="V808" s="39" t="s">
        <v>498</v>
      </c>
      <c r="W808" s="39"/>
      <c r="X808" s="39" t="s">
        <v>499</v>
      </c>
      <c r="Y808" s="39"/>
      <c r="Z808" s="449" t="s">
        <v>500</v>
      </c>
      <c r="AA808"/>
      <c r="AB808"/>
      <c r="AC808"/>
      <c r="AD808" s="442"/>
      <c r="AE808" s="442"/>
    </row>
    <row r="809" spans="1:31" ht="17.25" x14ac:dyDescent="0.3">
      <c r="A809"/>
      <c r="B809" s="39" t="s">
        <v>136</v>
      </c>
      <c r="C809" t="str">
        <f ca="1">IFERROR(VLOOKUP(B809,MO_Matriz,2,0),"")</f>
        <v>Laboratorista</v>
      </c>
      <c r="D809"/>
      <c r="E809"/>
      <c r="F809" s="39" t="str">
        <f ca="1">IFERROR(VLOOKUP(B809,MO_Matriz,3,0),"")</f>
        <v>T</v>
      </c>
      <c r="G809"/>
      <c r="H809">
        <f>H749*J749</f>
        <v>2</v>
      </c>
      <c r="I809"/>
      <c r="J809" s="446">
        <f>G805</f>
        <v>86.032418539557099</v>
      </c>
      <c r="K809"/>
      <c r="L809" s="444">
        <f>E786</f>
        <v>125</v>
      </c>
      <c r="M809"/>
      <c r="N809" s="446">
        <f>J809+L809</f>
        <v>211.03241853955711</v>
      </c>
      <c r="O809"/>
      <c r="P809">
        <v>1</v>
      </c>
      <c r="Q809"/>
      <c r="R809"/>
      <c r="S809" s="446">
        <f>2*H809*N809*P809</f>
        <v>844.12967415822845</v>
      </c>
      <c r="T809"/>
      <c r="U809">
        <f>F744</f>
        <v>0.5</v>
      </c>
      <c r="V809">
        <f>INT(U809/30)</f>
        <v>0</v>
      </c>
      <c r="W809"/>
      <c r="X809" s="446">
        <f>2*H809*N809*V809</f>
        <v>0</v>
      </c>
      <c r="Y809"/>
      <c r="Z809" s="448">
        <f>S809+X809</f>
        <v>844.12967415822845</v>
      </c>
      <c r="AA809"/>
      <c r="AB809"/>
      <c r="AC809"/>
      <c r="AD809" s="442"/>
      <c r="AE809" s="442"/>
    </row>
    <row r="810" spans="1:31" ht="17.25" x14ac:dyDescent="0.3">
      <c r="A810"/>
      <c r="B810"/>
      <c r="C810"/>
      <c r="D810"/>
      <c r="E810"/>
      <c r="F810"/>
      <c r="G810"/>
      <c r="H810"/>
      <c r="I810"/>
      <c r="J810"/>
      <c r="K810"/>
      <c r="L810"/>
      <c r="M810"/>
      <c r="N810"/>
      <c r="O810"/>
      <c r="P810"/>
      <c r="Q810"/>
      <c r="R810"/>
      <c r="S810"/>
      <c r="T810"/>
      <c r="U810"/>
      <c r="V810"/>
      <c r="W810"/>
      <c r="X810"/>
      <c r="Y810"/>
      <c r="Z810"/>
      <c r="AA810"/>
      <c r="AB810"/>
      <c r="AC810"/>
      <c r="AD810" s="442"/>
      <c r="AE810" s="442"/>
    </row>
    <row r="811" spans="1:31" ht="17.25" x14ac:dyDescent="0.3">
      <c r="A811" s="39" t="s">
        <v>386</v>
      </c>
      <c r="B811" t="s">
        <v>366</v>
      </c>
      <c r="C811"/>
      <c r="D811"/>
      <c r="E811"/>
      <c r="F811"/>
      <c r="G811"/>
      <c r="H811"/>
      <c r="I811"/>
      <c r="J811"/>
      <c r="K811"/>
      <c r="L811"/>
      <c r="M811"/>
      <c r="N811"/>
      <c r="O811"/>
      <c r="P811"/>
      <c r="Q811"/>
      <c r="R811"/>
      <c r="S811"/>
      <c r="T811"/>
      <c r="U811"/>
      <c r="V811"/>
      <c r="W811"/>
      <c r="X811"/>
      <c r="Y811"/>
      <c r="Z811"/>
      <c r="AA811"/>
      <c r="AB811"/>
      <c r="AC811"/>
      <c r="AD811" s="442"/>
      <c r="AE811" s="442"/>
    </row>
    <row r="812" spans="1:31" ht="17.25" x14ac:dyDescent="0.3">
      <c r="A812"/>
      <c r="B812" t="s">
        <v>347</v>
      </c>
      <c r="C812"/>
      <c r="D812"/>
      <c r="E812"/>
      <c r="F812"/>
      <c r="G812"/>
      <c r="H812"/>
      <c r="I812"/>
      <c r="J812"/>
      <c r="K812"/>
      <c r="L812"/>
      <c r="M812"/>
      <c r="N812"/>
      <c r="O812"/>
      <c r="P812"/>
      <c r="Q812"/>
      <c r="R812"/>
      <c r="S812"/>
      <c r="T812"/>
      <c r="U812"/>
      <c r="V812"/>
      <c r="W812"/>
      <c r="X812"/>
      <c r="Y812"/>
      <c r="Z812"/>
      <c r="AA812"/>
      <c r="AB812"/>
      <c r="AC812"/>
      <c r="AD812" s="442"/>
      <c r="AE812" s="442"/>
    </row>
    <row r="813" spans="1:31" ht="17.25" x14ac:dyDescent="0.3">
      <c r="A813"/>
      <c r="B813"/>
      <c r="C813"/>
      <c r="D813"/>
      <c r="E813"/>
      <c r="F813"/>
      <c r="G813"/>
      <c r="H813"/>
      <c r="I813"/>
      <c r="J813"/>
      <c r="K813"/>
      <c r="L813"/>
      <c r="M813"/>
      <c r="N813"/>
      <c r="O813"/>
      <c r="P813"/>
      <c r="Q813"/>
      <c r="R813"/>
      <c r="S813"/>
      <c r="T813"/>
      <c r="U813"/>
      <c r="V813"/>
      <c r="W813"/>
      <c r="X813"/>
      <c r="Y813"/>
      <c r="Z813"/>
      <c r="AA813"/>
      <c r="AB813"/>
      <c r="AC813"/>
      <c r="AD813" s="442"/>
      <c r="AE813" s="442"/>
    </row>
    <row r="814" spans="1:31" ht="17.25" x14ac:dyDescent="0.3">
      <c r="A814" s="39" t="s">
        <v>355</v>
      </c>
      <c r="B814" t="s">
        <v>356</v>
      </c>
      <c r="C814"/>
      <c r="D814"/>
      <c r="E814"/>
      <c r="F814"/>
      <c r="G814"/>
      <c r="H814"/>
      <c r="I814"/>
      <c r="J814"/>
      <c r="K814"/>
      <c r="L814"/>
      <c r="M814"/>
      <c r="N814"/>
      <c r="O814"/>
      <c r="P814"/>
      <c r="Q814"/>
      <c r="R814"/>
      <c r="S814"/>
      <c r="T814"/>
      <c r="U814"/>
      <c r="V814"/>
      <c r="W814"/>
      <c r="X814"/>
      <c r="Y814"/>
      <c r="Z814"/>
      <c r="AA814"/>
      <c r="AB814"/>
      <c r="AC814"/>
      <c r="AD814" s="442"/>
      <c r="AE814" s="442"/>
    </row>
    <row r="815" spans="1:31" ht="17.25" x14ac:dyDescent="0.3">
      <c r="A815"/>
      <c r="B815" t="s">
        <v>15</v>
      </c>
      <c r="C815"/>
      <c r="D815"/>
      <c r="E815"/>
      <c r="F815" t="s">
        <v>357</v>
      </c>
      <c r="G815"/>
      <c r="H815"/>
      <c r="I815"/>
      <c r="J815"/>
      <c r="K815"/>
      <c r="L815"/>
      <c r="M815"/>
      <c r="N815"/>
      <c r="O815"/>
      <c r="P815"/>
      <c r="Q815"/>
      <c r="R815"/>
      <c r="S815"/>
      <c r="T815"/>
      <c r="U815"/>
      <c r="V815"/>
      <c r="W815"/>
      <c r="X815"/>
      <c r="Y815"/>
      <c r="Z815"/>
      <c r="AA815"/>
      <c r="AB815"/>
      <c r="AC815"/>
      <c r="AD815" s="442"/>
      <c r="AE815" s="442"/>
    </row>
    <row r="816" spans="1:31" ht="17.25" x14ac:dyDescent="0.3">
      <c r="A816"/>
      <c r="B816" t="s">
        <v>317</v>
      </c>
      <c r="C816"/>
      <c r="D816"/>
      <c r="E816"/>
      <c r="F816" s="446">
        <f ca="1">U752</f>
        <v>624.09533333333331</v>
      </c>
      <c r="G816"/>
      <c r="H816"/>
      <c r="I816"/>
      <c r="J816"/>
      <c r="K816"/>
      <c r="L816"/>
      <c r="M816"/>
      <c r="N816"/>
      <c r="O816"/>
      <c r="P816"/>
      <c r="Q816"/>
      <c r="R816"/>
      <c r="S816"/>
      <c r="T816"/>
      <c r="U816"/>
      <c r="V816"/>
      <c r="W816"/>
      <c r="X816"/>
      <c r="Y816"/>
      <c r="Z816"/>
      <c r="AA816"/>
      <c r="AB816"/>
      <c r="AC816"/>
      <c r="AD816" s="442"/>
      <c r="AE816" s="442"/>
    </row>
    <row r="817" spans="1:31" ht="17.25" x14ac:dyDescent="0.3">
      <c r="A817"/>
      <c r="B817" t="s">
        <v>276</v>
      </c>
      <c r="C817"/>
      <c r="D817"/>
      <c r="E817"/>
      <c r="F817" s="446">
        <f>L752</f>
        <v>0</v>
      </c>
      <c r="G817"/>
      <c r="H817"/>
      <c r="I817"/>
      <c r="J817"/>
      <c r="K817"/>
      <c r="L817"/>
      <c r="M817"/>
      <c r="N817"/>
      <c r="O817"/>
      <c r="P817"/>
      <c r="Q817"/>
      <c r="R817"/>
      <c r="S817"/>
      <c r="T817"/>
      <c r="U817"/>
      <c r="V817"/>
      <c r="W817"/>
      <c r="X817"/>
      <c r="Y817"/>
      <c r="Z817"/>
      <c r="AA817"/>
      <c r="AB817"/>
      <c r="AC817"/>
      <c r="AD817" s="442"/>
      <c r="AE817" s="442"/>
    </row>
    <row r="818" spans="1:31" ht="17.25" x14ac:dyDescent="0.3">
      <c r="A818"/>
      <c r="B818" t="s">
        <v>342</v>
      </c>
      <c r="C818"/>
      <c r="D818"/>
      <c r="E818"/>
      <c r="F818" s="446">
        <v>0</v>
      </c>
      <c r="G818"/>
      <c r="H818"/>
      <c r="I818"/>
      <c r="J818"/>
      <c r="K818"/>
      <c r="L818"/>
      <c r="M818"/>
      <c r="N818"/>
      <c r="O818"/>
      <c r="P818"/>
      <c r="Q818"/>
      <c r="R818"/>
      <c r="S818"/>
      <c r="T818"/>
      <c r="U818"/>
      <c r="V818"/>
      <c r="W818"/>
      <c r="X818"/>
      <c r="Y818"/>
      <c r="Z818"/>
      <c r="AA818"/>
      <c r="AB818"/>
      <c r="AC818"/>
      <c r="AD818" s="442"/>
      <c r="AE818" s="442"/>
    </row>
    <row r="819" spans="1:31" ht="17.25" x14ac:dyDescent="0.3">
      <c r="A819"/>
      <c r="B819" t="s">
        <v>343</v>
      </c>
      <c r="C819"/>
      <c r="D819"/>
      <c r="E819"/>
      <c r="F819" s="446">
        <f>L777</f>
        <v>108.74033333333333</v>
      </c>
      <c r="G819"/>
      <c r="H819"/>
      <c r="I819"/>
      <c r="J819"/>
      <c r="K819"/>
      <c r="L819"/>
      <c r="M819"/>
      <c r="N819"/>
      <c r="O819"/>
      <c r="P819"/>
      <c r="Q819"/>
      <c r="R819"/>
      <c r="S819"/>
      <c r="T819"/>
      <c r="U819"/>
      <c r="V819"/>
      <c r="W819"/>
      <c r="X819"/>
      <c r="Y819"/>
      <c r="Z819"/>
      <c r="AA819"/>
      <c r="AB819"/>
      <c r="AC819"/>
      <c r="AD819" s="442"/>
      <c r="AE819" s="442"/>
    </row>
    <row r="820" spans="1:31" ht="17.25" x14ac:dyDescent="0.3">
      <c r="A820"/>
      <c r="B820" t="s">
        <v>345</v>
      </c>
      <c r="C820"/>
      <c r="D820"/>
      <c r="E820"/>
      <c r="F820" s="446">
        <f>J791</f>
        <v>125</v>
      </c>
      <c r="G820"/>
      <c r="H820"/>
      <c r="I820"/>
      <c r="J820"/>
      <c r="K820"/>
      <c r="L820"/>
      <c r="M820"/>
      <c r="N820"/>
      <c r="O820"/>
      <c r="P820"/>
      <c r="Q820"/>
      <c r="R820"/>
      <c r="S820"/>
      <c r="T820"/>
      <c r="U820"/>
      <c r="V820"/>
      <c r="W820"/>
      <c r="X820"/>
      <c r="Y820"/>
      <c r="Z820"/>
      <c r="AA820"/>
      <c r="AB820"/>
      <c r="AC820"/>
      <c r="AD820" s="442"/>
      <c r="AE820" s="442"/>
    </row>
    <row r="821" spans="1:31" ht="17.25" x14ac:dyDescent="0.3">
      <c r="A821"/>
      <c r="B821" t="s">
        <v>516</v>
      </c>
      <c r="C821"/>
      <c r="D821"/>
      <c r="E821"/>
      <c r="F821" s="446">
        <f>Z809</f>
        <v>844.12967415822845</v>
      </c>
      <c r="G821"/>
      <c r="H821"/>
      <c r="I821"/>
      <c r="J821"/>
      <c r="K821"/>
      <c r="L821"/>
      <c r="M821"/>
      <c r="N821"/>
      <c r="O821"/>
      <c r="P821"/>
      <c r="Q821"/>
      <c r="R821"/>
      <c r="S821"/>
      <c r="T821"/>
      <c r="U821"/>
      <c r="V821"/>
      <c r="W821"/>
      <c r="X821"/>
      <c r="Y821"/>
      <c r="Z821"/>
      <c r="AA821"/>
      <c r="AB821"/>
      <c r="AC821"/>
      <c r="AD821" s="442"/>
      <c r="AE821" s="442"/>
    </row>
    <row r="822" spans="1:31" ht="17.25" x14ac:dyDescent="0.3">
      <c r="A822"/>
      <c r="B822"/>
      <c r="C822"/>
      <c r="D822"/>
      <c r="E822" s="447" t="s">
        <v>329</v>
      </c>
      <c r="F822" s="448">
        <f ca="1">SUM(F816:F821)</f>
        <v>1701.9653408248951</v>
      </c>
      <c r="G822"/>
      <c r="H822"/>
      <c r="I822"/>
      <c r="J822"/>
      <c r="K822"/>
      <c r="L822"/>
      <c r="M822"/>
      <c r="N822"/>
      <c r="O822"/>
      <c r="P822"/>
      <c r="Q822"/>
      <c r="R822"/>
      <c r="S822"/>
      <c r="T822"/>
      <c r="U822"/>
      <c r="V822"/>
      <c r="W822"/>
      <c r="X822"/>
      <c r="Y822"/>
      <c r="Z822"/>
      <c r="AA822"/>
      <c r="AB822"/>
      <c r="AC822"/>
      <c r="AD822" s="442"/>
      <c r="AE822" s="442"/>
    </row>
    <row r="823" spans="1:31" ht="17.25" x14ac:dyDescent="0.3">
      <c r="A823"/>
      <c r="B823"/>
      <c r="C823"/>
      <c r="D823"/>
      <c r="E823"/>
      <c r="F823"/>
      <c r="G823"/>
      <c r="H823"/>
      <c r="I823"/>
      <c r="J823"/>
      <c r="K823"/>
      <c r="L823"/>
      <c r="M823"/>
      <c r="N823"/>
      <c r="O823"/>
      <c r="P823"/>
      <c r="Q823"/>
      <c r="R823"/>
      <c r="S823"/>
      <c r="T823"/>
      <c r="U823"/>
      <c r="V823"/>
      <c r="W823"/>
      <c r="X823"/>
      <c r="Y823"/>
      <c r="Z823"/>
      <c r="AA823"/>
      <c r="AB823"/>
      <c r="AC823"/>
      <c r="AD823" s="442"/>
      <c r="AE823" s="442"/>
    </row>
    <row r="824" spans="1:31" ht="17.25" x14ac:dyDescent="0.3">
      <c r="A824" s="263" t="s">
        <v>1273</v>
      </c>
      <c r="B824" s="263" t="s">
        <v>1268</v>
      </c>
      <c r="C824" s="263"/>
      <c r="D824" s="263"/>
      <c r="E824" s="263"/>
      <c r="F824" s="263"/>
      <c r="G824" s="263"/>
      <c r="H824" s="263"/>
      <c r="I824"/>
      <c r="J824"/>
      <c r="K824"/>
      <c r="L824"/>
      <c r="M824"/>
      <c r="N824"/>
      <c r="O824"/>
      <c r="P824"/>
      <c r="Q824"/>
      <c r="R824"/>
      <c r="S824"/>
      <c r="T824"/>
      <c r="U824"/>
      <c r="V824"/>
      <c r="W824"/>
      <c r="X824"/>
      <c r="Y824"/>
      <c r="Z824"/>
      <c r="AA824"/>
      <c r="AB824"/>
      <c r="AC824"/>
      <c r="AD824" s="442"/>
      <c r="AE824" s="442"/>
    </row>
    <row r="825" spans="1:31" ht="17.25" x14ac:dyDescent="0.3">
      <c r="A825"/>
      <c r="B825" t="s">
        <v>15</v>
      </c>
      <c r="C825"/>
      <c r="D825"/>
      <c r="E825"/>
      <c r="F825"/>
      <c r="G825"/>
      <c r="H825"/>
      <c r="I825" t="s">
        <v>325</v>
      </c>
      <c r="J825"/>
      <c r="K825" t="s">
        <v>381</v>
      </c>
      <c r="L825"/>
      <c r="M825"/>
      <c r="N825"/>
      <c r="O825"/>
      <c r="P825"/>
      <c r="Q825"/>
      <c r="R825"/>
      <c r="S825"/>
      <c r="T825"/>
      <c r="U825"/>
      <c r="V825"/>
      <c r="W825"/>
      <c r="X825"/>
      <c r="Y825"/>
      <c r="Z825"/>
      <c r="AA825"/>
      <c r="AB825"/>
      <c r="AC825"/>
      <c r="AD825" s="442"/>
      <c r="AE825" s="442"/>
    </row>
    <row r="826" spans="1:31" ht="17.25" x14ac:dyDescent="0.3">
      <c r="A826"/>
      <c r="B826" t="s">
        <v>1269</v>
      </c>
      <c r="C826"/>
      <c r="D826"/>
      <c r="E826"/>
      <c r="F826"/>
      <c r="G826"/>
      <c r="H826"/>
      <c r="I826">
        <f>F454</f>
        <v>0.21</v>
      </c>
      <c r="J826"/>
      <c r="K826">
        <f>I826*[1]Listas!$E$5</f>
        <v>0.245</v>
      </c>
      <c r="L826"/>
      <c r="M826"/>
      <c r="N826"/>
      <c r="O826"/>
      <c r="P826"/>
      <c r="Q826"/>
      <c r="R826"/>
      <c r="S826"/>
      <c r="T826"/>
      <c r="U826"/>
      <c r="V826"/>
      <c r="W826"/>
      <c r="X826"/>
      <c r="Y826"/>
      <c r="Z826"/>
      <c r="AA826"/>
      <c r="AB826"/>
      <c r="AC826"/>
      <c r="AD826" s="442"/>
      <c r="AE826" s="442"/>
    </row>
    <row r="827" spans="1:31" ht="17.25" x14ac:dyDescent="0.3">
      <c r="A827"/>
      <c r="B827" t="s">
        <v>1270</v>
      </c>
      <c r="C827"/>
      <c r="D827"/>
      <c r="E827"/>
      <c r="F827"/>
      <c r="G827"/>
      <c r="H827"/>
      <c r="I827">
        <f>F542</f>
        <v>2.3333333333333334E-2</v>
      </c>
      <c r="J827"/>
      <c r="K827">
        <f>I827*[1]Listas!$E$5</f>
        <v>2.7222222222222224E-2</v>
      </c>
      <c r="L827"/>
      <c r="M827"/>
      <c r="N827"/>
      <c r="O827"/>
      <c r="P827"/>
      <c r="Q827"/>
      <c r="R827"/>
      <c r="S827"/>
      <c r="T827"/>
      <c r="U827"/>
      <c r="V827"/>
      <c r="W827"/>
      <c r="X827"/>
      <c r="Y827"/>
      <c r="Z827"/>
      <c r="AA827"/>
      <c r="AB827"/>
      <c r="AC827"/>
      <c r="AD827" s="442"/>
      <c r="AE827" s="442"/>
    </row>
    <row r="828" spans="1:31" ht="17.25" x14ac:dyDescent="0.3">
      <c r="A828"/>
      <c r="B828" t="s">
        <v>488</v>
      </c>
      <c r="C828"/>
      <c r="D828"/>
      <c r="E828"/>
      <c r="F828"/>
      <c r="G828"/>
      <c r="H828"/>
      <c r="I828">
        <f>F648</f>
        <v>0.25</v>
      </c>
      <c r="J828"/>
      <c r="K828">
        <f>I828*[1]Listas!$E$5</f>
        <v>0.29166666666666669</v>
      </c>
      <c r="L828"/>
      <c r="M828"/>
      <c r="N828"/>
      <c r="O828"/>
      <c r="P828"/>
      <c r="Q828"/>
      <c r="R828"/>
      <c r="S828"/>
      <c r="T828"/>
      <c r="U828"/>
      <c r="V828"/>
      <c r="W828"/>
      <c r="X828"/>
      <c r="Y828"/>
      <c r="Z828"/>
      <c r="AA828"/>
      <c r="AB828"/>
      <c r="AC828"/>
      <c r="AD828" s="442"/>
      <c r="AE828" s="442"/>
    </row>
    <row r="829" spans="1:31" ht="17.25" x14ac:dyDescent="0.3">
      <c r="A829"/>
      <c r="B829" t="s">
        <v>490</v>
      </c>
      <c r="C829"/>
      <c r="D829"/>
      <c r="E829"/>
      <c r="F829"/>
      <c r="G829"/>
      <c r="H829"/>
      <c r="I829" s="444">
        <f>F744</f>
        <v>0.5</v>
      </c>
      <c r="J829"/>
      <c r="K829">
        <f>I829*[1]Listas!$E$5</f>
        <v>0.58333333333333337</v>
      </c>
      <c r="L829" s="39" t="s">
        <v>201</v>
      </c>
      <c r="M829" t="s">
        <v>380</v>
      </c>
      <c r="N829"/>
      <c r="O829"/>
      <c r="P829"/>
      <c r="Q829"/>
      <c r="R829"/>
      <c r="S829"/>
      <c r="T829"/>
      <c r="U829"/>
      <c r="V829"/>
      <c r="W829"/>
      <c r="X829"/>
      <c r="Y829"/>
      <c r="Z829"/>
      <c r="AA829"/>
      <c r="AB829"/>
      <c r="AC829"/>
      <c r="AD829" s="442"/>
      <c r="AE829" s="442"/>
    </row>
    <row r="830" spans="1:31" ht="17.25" x14ac:dyDescent="0.3">
      <c r="A830"/>
      <c r="B830"/>
      <c r="C830"/>
      <c r="D830"/>
      <c r="E830"/>
      <c r="F830"/>
      <c r="G830"/>
      <c r="H830"/>
      <c r="I830"/>
      <c r="J830"/>
      <c r="K830"/>
      <c r="L830"/>
      <c r="M830"/>
      <c r="N830"/>
      <c r="O830"/>
      <c r="P830"/>
      <c r="Q830"/>
      <c r="R830"/>
      <c r="S830"/>
      <c r="T830"/>
      <c r="U830"/>
      <c r="V830"/>
      <c r="W830"/>
      <c r="X830"/>
      <c r="Y830"/>
      <c r="Z830"/>
      <c r="AA830"/>
      <c r="AB830"/>
      <c r="AC830"/>
      <c r="AD830" s="442"/>
      <c r="AE830" s="442"/>
    </row>
    <row r="831" spans="1:31" ht="17.25" x14ac:dyDescent="0.3">
      <c r="A831"/>
      <c r="B831" t="s">
        <v>474</v>
      </c>
      <c r="C831"/>
      <c r="D831"/>
      <c r="E831"/>
      <c r="F831"/>
      <c r="G831"/>
      <c r="H831"/>
      <c r="I831"/>
      <c r="J831"/>
      <c r="K831"/>
      <c r="L831"/>
      <c r="M831"/>
      <c r="N831"/>
      <c r="O831"/>
      <c r="P831"/>
      <c r="Q831"/>
      <c r="R831"/>
      <c r="S831"/>
      <c r="T831"/>
      <c r="U831"/>
      <c r="V831"/>
      <c r="W831"/>
      <c r="X831"/>
      <c r="Y831"/>
      <c r="Z831"/>
      <c r="AA831"/>
      <c r="AB831"/>
      <c r="AC831"/>
      <c r="AD831" s="442"/>
      <c r="AE831" s="442"/>
    </row>
    <row r="832" spans="1:31" ht="17.25" x14ac:dyDescent="0.3">
      <c r="A832"/>
      <c r="B832" t="s">
        <v>15</v>
      </c>
      <c r="C832"/>
      <c r="D832"/>
      <c r="E832"/>
      <c r="F832" s="39" t="s">
        <v>325</v>
      </c>
      <c r="G832"/>
      <c r="H832" t="s">
        <v>381</v>
      </c>
      <c r="I832"/>
      <c r="J832"/>
      <c r="K832"/>
      <c r="L832"/>
      <c r="M832"/>
      <c r="N832"/>
      <c r="O832"/>
      <c r="P832"/>
      <c r="Q832"/>
      <c r="R832"/>
      <c r="S832"/>
      <c r="T832"/>
      <c r="U832"/>
      <c r="V832"/>
      <c r="W832"/>
      <c r="X832"/>
      <c r="Y832"/>
      <c r="Z832"/>
      <c r="AA832"/>
      <c r="AB832"/>
      <c r="AC832"/>
      <c r="AD832" s="442"/>
      <c r="AE832" s="442"/>
    </row>
    <row r="833" spans="1:31" ht="17.25" x14ac:dyDescent="0.3">
      <c r="A833"/>
      <c r="B833" t="s">
        <v>1271</v>
      </c>
      <c r="C833"/>
      <c r="D833"/>
      <c r="E833"/>
      <c r="F833" s="444">
        <f>Produtividade!G20</f>
        <v>2.08</v>
      </c>
      <c r="G833"/>
      <c r="H833">
        <f>F833*[1]Listas!$E$5</f>
        <v>2.4266666666666667</v>
      </c>
      <c r="I833"/>
      <c r="J833"/>
      <c r="K833"/>
      <c r="L833"/>
      <c r="M833"/>
      <c r="N833"/>
      <c r="O833"/>
      <c r="P833"/>
      <c r="Q833"/>
      <c r="R833"/>
      <c r="S833"/>
      <c r="T833"/>
      <c r="U833"/>
      <c r="V833"/>
      <c r="W833"/>
      <c r="X833"/>
      <c r="Y833"/>
      <c r="Z833"/>
      <c r="AA833"/>
      <c r="AB833"/>
      <c r="AC833"/>
      <c r="AD833" s="442"/>
      <c r="AE833" s="442"/>
    </row>
    <row r="834" spans="1:31" ht="17.25" x14ac:dyDescent="0.3">
      <c r="A834"/>
      <c r="B834" t="s">
        <v>490</v>
      </c>
      <c r="C834"/>
      <c r="D834"/>
      <c r="E834"/>
      <c r="F834" s="444">
        <f>I829</f>
        <v>0.5</v>
      </c>
      <c r="G834"/>
      <c r="H834">
        <f>F834*[1]Listas!$E$5</f>
        <v>0.58333333333333337</v>
      </c>
      <c r="I834"/>
      <c r="J834"/>
      <c r="K834"/>
      <c r="L834"/>
      <c r="M834"/>
      <c r="N834"/>
      <c r="O834"/>
      <c r="P834"/>
      <c r="Q834"/>
      <c r="R834"/>
      <c r="S834"/>
      <c r="T834"/>
      <c r="U834"/>
      <c r="V834"/>
      <c r="W834"/>
      <c r="X834"/>
      <c r="Y834"/>
      <c r="Z834"/>
      <c r="AA834"/>
      <c r="AB834"/>
      <c r="AC834"/>
      <c r="AD834" s="442"/>
      <c r="AE834" s="442"/>
    </row>
    <row r="835" spans="1:31" ht="17.25" x14ac:dyDescent="0.3">
      <c r="A835"/>
      <c r="B835" t="s">
        <v>382</v>
      </c>
      <c r="C835"/>
      <c r="D835"/>
      <c r="E835"/>
      <c r="F835" s="444">
        <f>F833-F834</f>
        <v>1.58</v>
      </c>
      <c r="G835" s="39"/>
      <c r="H835">
        <f>F835*[1]Listas!$E$5</f>
        <v>1.8433333333333335</v>
      </c>
      <c r="I835"/>
      <c r="J835"/>
      <c r="K835"/>
      <c r="L835" s="39"/>
      <c r="M835"/>
      <c r="N835"/>
      <c r="O835"/>
      <c r="P835"/>
      <c r="Q835"/>
      <c r="R835"/>
      <c r="S835"/>
      <c r="T835"/>
      <c r="U835"/>
      <c r="V835"/>
      <c r="W835"/>
      <c r="X835"/>
      <c r="Y835"/>
      <c r="Z835"/>
      <c r="AA835"/>
      <c r="AB835"/>
      <c r="AC835"/>
      <c r="AD835" s="442"/>
      <c r="AE835" s="442"/>
    </row>
    <row r="836" spans="1:31" ht="17.25" x14ac:dyDescent="0.3">
      <c r="A836"/>
      <c r="B836"/>
      <c r="C836"/>
      <c r="D836"/>
      <c r="E836"/>
      <c r="F836" s="444"/>
      <c r="G836" s="39"/>
      <c r="H836" s="465"/>
      <c r="I836"/>
      <c r="J836"/>
      <c r="K836"/>
      <c r="L836" s="39"/>
      <c r="M836"/>
      <c r="N836"/>
      <c r="O836"/>
      <c r="P836"/>
      <c r="Q836"/>
      <c r="R836"/>
      <c r="S836"/>
      <c r="T836"/>
      <c r="U836"/>
      <c r="V836"/>
      <c r="W836"/>
      <c r="X836"/>
      <c r="Y836"/>
      <c r="Z836"/>
      <c r="AA836"/>
      <c r="AB836"/>
      <c r="AC836"/>
      <c r="AD836" s="442"/>
      <c r="AE836" s="442"/>
    </row>
    <row r="837" spans="1:31" ht="17.25" x14ac:dyDescent="0.3">
      <c r="A837"/>
      <c r="B837"/>
      <c r="C837"/>
      <c r="D837"/>
      <c r="E837"/>
      <c r="F837" s="444"/>
      <c r="G837" s="39"/>
      <c r="H837"/>
      <c r="I837"/>
      <c r="J837"/>
      <c r="K837"/>
      <c r="L837" s="39"/>
      <c r="M837"/>
      <c r="N837"/>
      <c r="O837"/>
      <c r="P837"/>
      <c r="Q837"/>
      <c r="R837"/>
      <c r="S837"/>
      <c r="T837"/>
      <c r="U837"/>
      <c r="V837"/>
      <c r="W837"/>
      <c r="X837"/>
      <c r="Y837"/>
      <c r="Z837"/>
      <c r="AA837"/>
      <c r="AB837"/>
      <c r="AC837"/>
      <c r="AD837" s="442"/>
      <c r="AE837" s="442"/>
    </row>
    <row r="838" spans="1:31" ht="17.25" x14ac:dyDescent="0.3">
      <c r="A838" s="39" t="s">
        <v>61</v>
      </c>
      <c r="B838" t="s">
        <v>338</v>
      </c>
      <c r="C838"/>
      <c r="D838"/>
      <c r="E838"/>
      <c r="F838" s="444"/>
      <c r="G838" s="39"/>
      <c r="H838"/>
      <c r="I838"/>
      <c r="J838"/>
      <c r="K838"/>
      <c r="L838" s="39"/>
      <c r="M838"/>
      <c r="N838"/>
      <c r="O838"/>
      <c r="P838"/>
      <c r="Q838"/>
      <c r="R838"/>
      <c r="S838"/>
      <c r="T838"/>
      <c r="U838"/>
      <c r="V838"/>
      <c r="W838"/>
      <c r="X838"/>
      <c r="Y838"/>
      <c r="Z838"/>
      <c r="AA838"/>
      <c r="AB838"/>
      <c r="AC838"/>
      <c r="AD838" s="442"/>
      <c r="AE838" s="442"/>
    </row>
    <row r="839" spans="1:31" ht="17.25" x14ac:dyDescent="0.3">
      <c r="A839"/>
      <c r="B839" s="39" t="s">
        <v>360</v>
      </c>
      <c r="C839" t="s">
        <v>15</v>
      </c>
      <c r="D839"/>
      <c r="E839"/>
      <c r="F839" s="39" t="s">
        <v>321</v>
      </c>
      <c r="G839" s="39"/>
      <c r="H839" s="39" t="s">
        <v>322</v>
      </c>
      <c r="I839" s="39"/>
      <c r="J839" s="39" t="s">
        <v>323</v>
      </c>
      <c r="K839" s="39"/>
      <c r="L839" s="39" t="s">
        <v>324</v>
      </c>
      <c r="M839" s="39"/>
      <c r="N839" s="39" t="s">
        <v>325</v>
      </c>
      <c r="O839" s="39"/>
      <c r="P839" s="39" t="s">
        <v>326</v>
      </c>
      <c r="Q839" s="39"/>
      <c r="R839" s="39" t="s">
        <v>327</v>
      </c>
      <c r="S839" s="39"/>
      <c r="T839" s="39" t="s">
        <v>328</v>
      </c>
      <c r="U839" s="39" t="s">
        <v>329</v>
      </c>
      <c r="V839"/>
      <c r="W839"/>
      <c r="X839"/>
      <c r="Y839"/>
      <c r="Z839"/>
      <c r="AA839"/>
      <c r="AB839"/>
      <c r="AC839"/>
      <c r="AD839" s="442"/>
      <c r="AE839" s="442"/>
    </row>
    <row r="840" spans="1:31" ht="17.25" x14ac:dyDescent="0.3">
      <c r="A840"/>
      <c r="B840" s="39"/>
      <c r="C840"/>
      <c r="D840"/>
      <c r="E840"/>
      <c r="F840" s="39"/>
      <c r="G840" s="39"/>
      <c r="H840" s="39" t="s">
        <v>330</v>
      </c>
      <c r="I840" s="39"/>
      <c r="J840" s="39" t="s">
        <v>331</v>
      </c>
      <c r="K840" s="39"/>
      <c r="L840" s="39" t="s">
        <v>332</v>
      </c>
      <c r="M840" s="39"/>
      <c r="N840" s="39" t="s">
        <v>333</v>
      </c>
      <c r="O840" s="39"/>
      <c r="P840" s="39" t="s">
        <v>334</v>
      </c>
      <c r="Q840" s="39"/>
      <c r="R840" s="39" t="s">
        <v>335</v>
      </c>
      <c r="S840" s="39"/>
      <c r="T840" s="39" t="s">
        <v>336</v>
      </c>
      <c r="U840" s="39" t="s">
        <v>337</v>
      </c>
      <c r="V840"/>
      <c r="W840"/>
      <c r="X840"/>
      <c r="Y840"/>
      <c r="Z840"/>
      <c r="AA840"/>
      <c r="AB840"/>
      <c r="AC840"/>
      <c r="AD840" s="442"/>
      <c r="AE840" s="442"/>
    </row>
    <row r="841" spans="1:31" ht="17.25" x14ac:dyDescent="0.3">
      <c r="A841"/>
      <c r="B841" s="39" t="s">
        <v>114</v>
      </c>
      <c r="C841" t="str">
        <f ca="1">IFERROR(VLOOKUP(B841,MO_Matriz,2,0),"")</f>
        <v>Engenheiro de projetos pleno</v>
      </c>
      <c r="D841"/>
      <c r="E841"/>
      <c r="F841" s="39" t="str">
        <f ca="1">IFERROR(VLOOKUP(B841,MO_Matriz,3,0),"")</f>
        <v>S</v>
      </c>
      <c r="G841"/>
      <c r="H841">
        <v>1</v>
      </c>
      <c r="I841"/>
      <c r="J841">
        <v>1</v>
      </c>
      <c r="K841"/>
      <c r="L841">
        <f>[1]Listas!$B$6</f>
        <v>7.333333333333333</v>
      </c>
      <c r="M841"/>
      <c r="N841" s="466">
        <f>$F$835</f>
        <v>1.58</v>
      </c>
      <c r="O841"/>
      <c r="P841">
        <f>H841*J841*L841*N841</f>
        <v>11.586666666666666</v>
      </c>
      <c r="Q841"/>
      <c r="R841">
        <f>P841/220</f>
        <v>5.266666666666666E-2</v>
      </c>
      <c r="S841"/>
      <c r="T841" s="446">
        <f ca="1">IFERROR(VLOOKUP(B841,MO_Matriz,5,0),"")</f>
        <v>27591.759999999998</v>
      </c>
      <c r="U841" s="446">
        <f ca="1">R841*T841</f>
        <v>1453.1660266666663</v>
      </c>
      <c r="V841"/>
      <c r="W841"/>
      <c r="X841"/>
      <c r="Y841"/>
      <c r="Z841"/>
      <c r="AA841"/>
      <c r="AB841"/>
      <c r="AC841"/>
      <c r="AD841" s="442"/>
      <c r="AE841" s="442"/>
    </row>
    <row r="842" spans="1:31" ht="17.25" x14ac:dyDescent="0.3">
      <c r="A842"/>
      <c r="B842" s="39" t="s">
        <v>124</v>
      </c>
      <c r="C842" t="str">
        <f ca="1">IFERROR(VLOOKUP(B842,MO_Matriz,2,0),"")</f>
        <v>Geólogo júnior</v>
      </c>
      <c r="D842"/>
      <c r="E842"/>
      <c r="F842" s="39" t="str">
        <f ca="1">IFERROR(VLOOKUP(B842,MO_Matriz,3,0),"")</f>
        <v>S</v>
      </c>
      <c r="G842"/>
      <c r="H842">
        <v>1</v>
      </c>
      <c r="I842"/>
      <c r="J842">
        <v>1</v>
      </c>
      <c r="K842"/>
      <c r="L842">
        <f>[1]Listas!$B$6</f>
        <v>7.333333333333333</v>
      </c>
      <c r="M842"/>
      <c r="N842" s="466">
        <f t="shared" ref="N842:N845" si="25">$F$835</f>
        <v>1.58</v>
      </c>
      <c r="O842"/>
      <c r="P842">
        <f t="shared" ref="P842:P845" si="26">H842*J842*L842*N842</f>
        <v>11.586666666666666</v>
      </c>
      <c r="Q842"/>
      <c r="R842">
        <f t="shared" ref="R842:R845" si="27">P842/220</f>
        <v>5.266666666666666E-2</v>
      </c>
      <c r="S842"/>
      <c r="T842" s="446">
        <f ca="1">IFERROR(VLOOKUP(B842,MO_Matriz,5,0),"")</f>
        <v>24321.09</v>
      </c>
      <c r="U842" s="446">
        <f t="shared" ref="U842:U845" ca="1" si="28">R842*T842</f>
        <v>1280.9107399999998</v>
      </c>
      <c r="V842"/>
      <c r="W842"/>
      <c r="X842"/>
      <c r="Y842"/>
      <c r="Z842"/>
      <c r="AA842"/>
      <c r="AB842"/>
      <c r="AC842"/>
      <c r="AD842" s="442"/>
      <c r="AE842" s="442"/>
    </row>
    <row r="843" spans="1:31" ht="17.25" x14ac:dyDescent="0.3">
      <c r="A843"/>
      <c r="B843" s="39" t="s">
        <v>181</v>
      </c>
      <c r="C843" t="str">
        <f ca="1">IFERROR(VLOOKUP(B843,MO_Matriz,2,0),"")</f>
        <v>Desenhista</v>
      </c>
      <c r="D843"/>
      <c r="E843"/>
      <c r="F843" s="39" t="str">
        <f ca="1">IFERROR(VLOOKUP(B843,MO_Matriz,3,0),"")</f>
        <v>T</v>
      </c>
      <c r="G843"/>
      <c r="H843">
        <v>1</v>
      </c>
      <c r="I843"/>
      <c r="J843">
        <v>1</v>
      </c>
      <c r="K843"/>
      <c r="L843">
        <f>[1]Listas!$B$6</f>
        <v>7.333333333333333</v>
      </c>
      <c r="M843"/>
      <c r="N843" s="466">
        <f t="shared" si="25"/>
        <v>1.58</v>
      </c>
      <c r="O843"/>
      <c r="P843">
        <f t="shared" si="26"/>
        <v>11.586666666666666</v>
      </c>
      <c r="Q843"/>
      <c r="R843">
        <f t="shared" si="27"/>
        <v>5.266666666666666E-2</v>
      </c>
      <c r="S843"/>
      <c r="T843" s="446">
        <f ca="1">IFERROR(VLOOKUP(B843,MO_Matriz,5,0),"")</f>
        <v>7821.6815999999999</v>
      </c>
      <c r="U843" s="446">
        <f t="shared" ca="1" si="28"/>
        <v>411.94189759999995</v>
      </c>
      <c r="V843"/>
      <c r="W843"/>
      <c r="X843"/>
      <c r="Y843"/>
      <c r="Z843"/>
      <c r="AA843"/>
      <c r="AB843"/>
      <c r="AC843"/>
      <c r="AD843" s="442"/>
      <c r="AE843" s="442"/>
    </row>
    <row r="844" spans="1:31" ht="17.25" x14ac:dyDescent="0.3">
      <c r="A844"/>
      <c r="B844" s="39" t="s">
        <v>62</v>
      </c>
      <c r="C844" t="str">
        <f ca="1">IFERROR(VLOOKUP(B844,MO_Matriz,2,0),"")</f>
        <v>Auxiliar administrativo</v>
      </c>
      <c r="D844"/>
      <c r="E844"/>
      <c r="F844" s="39" t="str">
        <f ca="1">IFERROR(VLOOKUP(B844,MO_Matriz,3,0),"")</f>
        <v>A</v>
      </c>
      <c r="G844"/>
      <c r="H844">
        <v>1</v>
      </c>
      <c r="I844"/>
      <c r="J844">
        <v>1</v>
      </c>
      <c r="K844"/>
      <c r="L844">
        <f>[1]Listas!$B$6</f>
        <v>7.333333333333333</v>
      </c>
      <c r="M844"/>
      <c r="N844" s="466">
        <f t="shared" si="25"/>
        <v>1.58</v>
      </c>
      <c r="O844"/>
      <c r="P844">
        <f t="shared" si="26"/>
        <v>11.586666666666666</v>
      </c>
      <c r="Q844"/>
      <c r="R844">
        <f t="shared" si="27"/>
        <v>5.266666666666666E-2</v>
      </c>
      <c r="S844"/>
      <c r="T844" s="446">
        <f ca="1">IFERROR(VLOOKUP(B844,MO_Matriz,5,0),"")</f>
        <v>4681.6899999999996</v>
      </c>
      <c r="U844" s="446">
        <f t="shared" ca="1" si="28"/>
        <v>246.56900666666661</v>
      </c>
      <c r="V844"/>
      <c r="W844"/>
      <c r="X844"/>
      <c r="Y844"/>
      <c r="Z844"/>
      <c r="AA844"/>
      <c r="AB844"/>
      <c r="AC844"/>
      <c r="AD844" s="442"/>
      <c r="AE844" s="442"/>
    </row>
    <row r="845" spans="1:31" ht="17.25" x14ac:dyDescent="0.3">
      <c r="A845"/>
      <c r="B845" s="39" t="s">
        <v>59</v>
      </c>
      <c r="C845" t="str">
        <f ca="1">IFERROR(VLOOKUP(B845,MO_Matriz,2,0),"")</f>
        <v>Auxiliar</v>
      </c>
      <c r="D845"/>
      <c r="E845"/>
      <c r="F845" s="39" t="str">
        <f ca="1">IFERROR(VLOOKUP(B845,MO_Matriz,3,0),"")</f>
        <v>A</v>
      </c>
      <c r="G845"/>
      <c r="H845">
        <v>1</v>
      </c>
      <c r="I845"/>
      <c r="J845">
        <v>1</v>
      </c>
      <c r="K845"/>
      <c r="L845">
        <f>[1]Listas!$B$6</f>
        <v>7.333333333333333</v>
      </c>
      <c r="M845"/>
      <c r="N845" s="466">
        <f t="shared" si="25"/>
        <v>1.58</v>
      </c>
      <c r="O845"/>
      <c r="P845">
        <f t="shared" si="26"/>
        <v>11.586666666666666</v>
      </c>
      <c r="Q845"/>
      <c r="R845">
        <f t="shared" si="27"/>
        <v>5.266666666666666E-2</v>
      </c>
      <c r="S845"/>
      <c r="T845" s="446">
        <f ca="1">IFERROR(VLOOKUP(B845,MO_Matriz,5,0),"")</f>
        <v>4276.41</v>
      </c>
      <c r="U845" s="446">
        <f t="shared" ca="1" si="28"/>
        <v>225.22425999999996</v>
      </c>
      <c r="V845"/>
      <c r="W845"/>
      <c r="X845"/>
      <c r="Y845"/>
      <c r="Z845"/>
      <c r="AA845"/>
      <c r="AB845"/>
      <c r="AC845"/>
      <c r="AD845" s="442"/>
      <c r="AE845" s="442"/>
    </row>
    <row r="846" spans="1:31" ht="17.25" x14ac:dyDescent="0.3">
      <c r="A846"/>
      <c r="B846"/>
      <c r="C846"/>
      <c r="D846"/>
      <c r="E846"/>
      <c r="F846"/>
      <c r="G846"/>
      <c r="H846"/>
      <c r="I846"/>
      <c r="J846"/>
      <c r="K846"/>
      <c r="L846"/>
      <c r="M846"/>
      <c r="N846"/>
      <c r="O846"/>
      <c r="P846"/>
      <c r="Q846"/>
      <c r="R846"/>
      <c r="S846"/>
      <c r="T846" s="447" t="s">
        <v>329</v>
      </c>
      <c r="U846" s="448">
        <f ca="1">SUM(U841:U845)</f>
        <v>3617.8119309333324</v>
      </c>
      <c r="V846"/>
      <c r="W846"/>
      <c r="X846"/>
      <c r="Y846"/>
      <c r="Z846"/>
      <c r="AA846"/>
      <c r="AB846"/>
      <c r="AC846"/>
      <c r="AD846" s="442"/>
      <c r="AE846" s="442"/>
    </row>
    <row r="847" spans="1:31" ht="17.25" x14ac:dyDescent="0.3">
      <c r="A847" s="462" t="s">
        <v>339</v>
      </c>
      <c r="B847" t="s">
        <v>340</v>
      </c>
      <c r="C847"/>
      <c r="D847"/>
      <c r="E847"/>
      <c r="F847"/>
      <c r="G847"/>
      <c r="H847"/>
      <c r="I847"/>
      <c r="J847"/>
      <c r="K847"/>
      <c r="L847"/>
      <c r="M847"/>
      <c r="N847"/>
      <c r="O847"/>
      <c r="P847"/>
      <c r="Q847"/>
      <c r="R847"/>
      <c r="S847"/>
      <c r="T847"/>
      <c r="U847"/>
      <c r="V847"/>
      <c r="W847"/>
      <c r="X847"/>
      <c r="Y847"/>
      <c r="Z847"/>
      <c r="AA847"/>
      <c r="AB847"/>
      <c r="AC847"/>
      <c r="AD847" s="442"/>
      <c r="AE847" s="442"/>
    </row>
    <row r="848" spans="1:31" ht="17.25" x14ac:dyDescent="0.3">
      <c r="A848"/>
      <c r="B848" t="s">
        <v>341</v>
      </c>
      <c r="C848"/>
      <c r="D848"/>
      <c r="E848"/>
      <c r="F848"/>
      <c r="G848"/>
      <c r="H848"/>
      <c r="I848"/>
      <c r="J848"/>
      <c r="K848"/>
      <c r="L848"/>
      <c r="M848"/>
      <c r="N848"/>
      <c r="O848"/>
      <c r="P848"/>
      <c r="Q848"/>
      <c r="R848"/>
      <c r="S848"/>
      <c r="T848"/>
      <c r="U848"/>
      <c r="V848"/>
      <c r="W848"/>
      <c r="X848"/>
      <c r="Y848"/>
      <c r="Z848"/>
      <c r="AA848"/>
      <c r="AB848"/>
      <c r="AC848"/>
      <c r="AD848" s="442"/>
      <c r="AE848" s="442"/>
    </row>
    <row r="849" spans="1:31" ht="17.25" x14ac:dyDescent="0.3">
      <c r="A849"/>
      <c r="B849"/>
      <c r="C849"/>
      <c r="D849"/>
      <c r="E849"/>
      <c r="F849"/>
      <c r="G849"/>
      <c r="H849"/>
      <c r="I849"/>
      <c r="J849"/>
      <c r="K849"/>
      <c r="L849"/>
      <c r="M849"/>
      <c r="N849"/>
      <c r="O849"/>
      <c r="P849"/>
      <c r="Q849"/>
      <c r="R849"/>
      <c r="S849"/>
      <c r="T849"/>
      <c r="U849"/>
      <c r="V849"/>
      <c r="W849"/>
      <c r="X849"/>
      <c r="Y849"/>
      <c r="Z849"/>
      <c r="AA849"/>
      <c r="AB849"/>
      <c r="AC849"/>
      <c r="AD849" s="442"/>
      <c r="AE849" s="442"/>
    </row>
    <row r="850" spans="1:31" ht="17.25" x14ac:dyDescent="0.3">
      <c r="A850" s="39" t="s">
        <v>348</v>
      </c>
      <c r="B850" t="s">
        <v>349</v>
      </c>
      <c r="C850"/>
      <c r="D850"/>
      <c r="E850"/>
      <c r="F850"/>
      <c r="G850"/>
      <c r="H850"/>
      <c r="I850"/>
      <c r="J850"/>
      <c r="K850"/>
      <c r="L850"/>
      <c r="M850"/>
      <c r="N850"/>
      <c r="O850"/>
      <c r="P850"/>
      <c r="Q850"/>
      <c r="R850"/>
      <c r="S850"/>
      <c r="T850"/>
      <c r="U850"/>
      <c r="V850"/>
      <c r="W850"/>
      <c r="X850"/>
      <c r="Y850"/>
      <c r="Z850"/>
      <c r="AA850"/>
      <c r="AB850"/>
      <c r="AC850"/>
      <c r="AD850" s="442"/>
      <c r="AE850" s="442"/>
    </row>
    <row r="851" spans="1:31" ht="17.25" x14ac:dyDescent="0.3">
      <c r="A851"/>
      <c r="B851" t="s">
        <v>1272</v>
      </c>
      <c r="C851"/>
      <c r="D851"/>
      <c r="E851"/>
      <c r="F851"/>
      <c r="G851"/>
      <c r="H851"/>
      <c r="I851"/>
      <c r="J851"/>
      <c r="K851"/>
      <c r="L851"/>
      <c r="M851"/>
      <c r="N851"/>
      <c r="O851"/>
      <c r="P851"/>
      <c r="Q851"/>
      <c r="R851"/>
      <c r="S851"/>
      <c r="T851"/>
      <c r="U851"/>
      <c r="V851"/>
      <c r="W851"/>
      <c r="X851"/>
      <c r="Y851"/>
      <c r="Z851"/>
      <c r="AA851"/>
      <c r="AB851"/>
      <c r="AC851"/>
      <c r="AD851" s="442"/>
      <c r="AE851" s="442"/>
    </row>
    <row r="852" spans="1:31" ht="17.25" x14ac:dyDescent="0.3">
      <c r="A852"/>
      <c r="B852"/>
      <c r="C852"/>
      <c r="D852"/>
      <c r="E852"/>
      <c r="F852"/>
      <c r="G852"/>
      <c r="H852"/>
      <c r="I852"/>
      <c r="J852"/>
      <c r="K852"/>
      <c r="L852"/>
      <c r="M852"/>
      <c r="N852"/>
      <c r="O852"/>
      <c r="P852"/>
      <c r="Q852"/>
      <c r="R852"/>
      <c r="S852"/>
      <c r="T852"/>
      <c r="U852"/>
      <c r="V852"/>
      <c r="W852"/>
      <c r="X852"/>
      <c r="Y852"/>
      <c r="Z852"/>
      <c r="AA852"/>
      <c r="AB852"/>
      <c r="AC852"/>
      <c r="AD852" s="442"/>
      <c r="AE852" s="442"/>
    </row>
    <row r="853" spans="1:31" ht="17.25" x14ac:dyDescent="0.3">
      <c r="A853" s="39" t="s">
        <v>350</v>
      </c>
      <c r="B853" t="s">
        <v>351</v>
      </c>
      <c r="C853"/>
      <c r="D853"/>
      <c r="E853"/>
      <c r="F853"/>
      <c r="G853"/>
      <c r="H853"/>
      <c r="I853"/>
      <c r="J853"/>
      <c r="K853"/>
      <c r="L853"/>
      <c r="M853"/>
      <c r="N853"/>
      <c r="O853"/>
      <c r="P853"/>
      <c r="Q853"/>
      <c r="R853"/>
      <c r="S853"/>
      <c r="T853"/>
      <c r="U853"/>
      <c r="V853"/>
      <c r="W853"/>
      <c r="X853"/>
      <c r="Y853"/>
      <c r="Z853"/>
      <c r="AA853"/>
      <c r="AB853"/>
      <c r="AC853"/>
      <c r="AD853" s="442"/>
      <c r="AE853" s="442"/>
    </row>
    <row r="854" spans="1:31" ht="17.25" x14ac:dyDescent="0.3">
      <c r="A854"/>
      <c r="B854" t="s">
        <v>344</v>
      </c>
      <c r="C854"/>
      <c r="D854"/>
      <c r="E854"/>
      <c r="F854"/>
      <c r="G854"/>
      <c r="H854"/>
      <c r="I854"/>
      <c r="J854"/>
      <c r="K854"/>
      <c r="L854"/>
      <c r="M854"/>
      <c r="N854"/>
      <c r="O854"/>
      <c r="P854"/>
      <c r="Q854"/>
      <c r="R854"/>
      <c r="S854"/>
      <c r="T854"/>
      <c r="U854"/>
      <c r="V854"/>
      <c r="W854"/>
      <c r="X854"/>
      <c r="Y854"/>
      <c r="Z854"/>
      <c r="AA854"/>
      <c r="AB854"/>
      <c r="AC854"/>
      <c r="AD854" s="442"/>
      <c r="AE854" s="442"/>
    </row>
    <row r="855" spans="1:31" ht="17.25" x14ac:dyDescent="0.3">
      <c r="A855"/>
      <c r="B855"/>
      <c r="C855"/>
      <c r="D855"/>
      <c r="E855"/>
      <c r="F855"/>
      <c r="G855"/>
      <c r="H855"/>
      <c r="I855"/>
      <c r="J855"/>
      <c r="K855"/>
      <c r="L855"/>
      <c r="M855"/>
      <c r="N855"/>
      <c r="O855"/>
      <c r="P855"/>
      <c r="Q855"/>
      <c r="R855"/>
      <c r="S855"/>
      <c r="T855"/>
      <c r="U855"/>
      <c r="V855"/>
      <c r="W855"/>
      <c r="X855"/>
      <c r="Y855"/>
      <c r="Z855"/>
      <c r="AA855"/>
      <c r="AB855"/>
      <c r="AC855"/>
      <c r="AD855" s="442"/>
      <c r="AE855" s="442"/>
    </row>
    <row r="856" spans="1:31" ht="17.25" x14ac:dyDescent="0.3">
      <c r="A856" s="39" t="s">
        <v>197</v>
      </c>
      <c r="B856" t="s">
        <v>352</v>
      </c>
      <c r="C856"/>
      <c r="D856"/>
      <c r="E856"/>
      <c r="F856"/>
      <c r="G856"/>
      <c r="H856"/>
      <c r="I856"/>
      <c r="J856"/>
      <c r="K856"/>
      <c r="L856"/>
      <c r="M856"/>
      <c r="N856"/>
      <c r="O856"/>
      <c r="P856"/>
      <c r="Q856"/>
      <c r="R856"/>
      <c r="S856"/>
      <c r="T856"/>
      <c r="U856"/>
      <c r="V856"/>
      <c r="W856"/>
      <c r="X856"/>
      <c r="Y856"/>
      <c r="Z856"/>
      <c r="AA856"/>
      <c r="AB856"/>
      <c r="AC856"/>
      <c r="AD856" s="442"/>
      <c r="AE856" s="442"/>
    </row>
    <row r="857" spans="1:31" ht="17.25" x14ac:dyDescent="0.3">
      <c r="A857"/>
      <c r="B857" t="s">
        <v>346</v>
      </c>
      <c r="C857"/>
      <c r="D857"/>
      <c r="E857"/>
      <c r="F857"/>
      <c r="G857"/>
      <c r="H857"/>
      <c r="I857"/>
      <c r="J857"/>
      <c r="K857"/>
      <c r="L857"/>
      <c r="M857"/>
      <c r="N857"/>
      <c r="O857"/>
      <c r="P857"/>
      <c r="Q857"/>
      <c r="R857"/>
      <c r="S857"/>
      <c r="T857"/>
      <c r="U857"/>
      <c r="V857"/>
      <c r="W857"/>
      <c r="X857"/>
      <c r="Y857"/>
      <c r="Z857"/>
      <c r="AA857"/>
      <c r="AB857"/>
      <c r="AC857"/>
      <c r="AD857" s="442"/>
      <c r="AE857" s="442"/>
    </row>
    <row r="858" spans="1:31" ht="17.25" x14ac:dyDescent="0.3">
      <c r="A858"/>
      <c r="B858"/>
      <c r="C858"/>
      <c r="D858"/>
      <c r="E858"/>
      <c r="F858"/>
      <c r="G858"/>
      <c r="H858"/>
      <c r="I858"/>
      <c r="J858"/>
      <c r="K858"/>
      <c r="L858"/>
      <c r="M858"/>
      <c r="N858"/>
      <c r="O858"/>
      <c r="P858"/>
      <c r="Q858"/>
      <c r="R858"/>
      <c r="S858"/>
      <c r="T858"/>
      <c r="U858"/>
      <c r="V858"/>
      <c r="W858"/>
      <c r="X858"/>
      <c r="Y858"/>
      <c r="Z858"/>
      <c r="AA858"/>
      <c r="AB858"/>
      <c r="AC858"/>
      <c r="AD858" s="442"/>
      <c r="AE858" s="442"/>
    </row>
    <row r="859" spans="1:31" ht="17.25" x14ac:dyDescent="0.3">
      <c r="A859" s="39" t="s">
        <v>353</v>
      </c>
      <c r="B859" t="s">
        <v>354</v>
      </c>
      <c r="C859"/>
      <c r="D859"/>
      <c r="E859"/>
      <c r="F859"/>
      <c r="G859"/>
      <c r="H859"/>
      <c r="I859"/>
      <c r="J859"/>
      <c r="K859"/>
      <c r="L859"/>
      <c r="M859"/>
      <c r="N859"/>
      <c r="O859"/>
      <c r="P859"/>
      <c r="Q859"/>
      <c r="R859"/>
      <c r="S859"/>
      <c r="T859"/>
      <c r="U859"/>
      <c r="V859"/>
      <c r="W859"/>
      <c r="X859"/>
      <c r="Y859"/>
      <c r="Z859"/>
      <c r="AA859"/>
      <c r="AB859"/>
      <c r="AC859"/>
      <c r="AD859" s="442"/>
      <c r="AE859" s="442"/>
    </row>
    <row r="860" spans="1:31" ht="17.25" x14ac:dyDescent="0.3">
      <c r="A860"/>
      <c r="B860" t="s">
        <v>347</v>
      </c>
      <c r="C860"/>
      <c r="D860"/>
      <c r="E860"/>
      <c r="F860"/>
      <c r="G860"/>
      <c r="H860"/>
      <c r="I860"/>
      <c r="J860"/>
      <c r="K860"/>
      <c r="L860"/>
      <c r="M860"/>
      <c r="N860"/>
      <c r="O860"/>
      <c r="P860"/>
      <c r="Q860"/>
      <c r="R860"/>
      <c r="S860"/>
      <c r="T860"/>
      <c r="U860"/>
      <c r="V860"/>
      <c r="W860"/>
      <c r="X860"/>
      <c r="Y860"/>
      <c r="Z860"/>
      <c r="AA860"/>
      <c r="AB860"/>
      <c r="AC860"/>
      <c r="AD860" s="442"/>
      <c r="AE860" s="442"/>
    </row>
    <row r="861" spans="1:31" ht="17.25" x14ac:dyDescent="0.3">
      <c r="A861"/>
      <c r="B861"/>
      <c r="C861"/>
      <c r="D861"/>
      <c r="E861"/>
      <c r="F861"/>
      <c r="G861"/>
      <c r="H861"/>
      <c r="I861"/>
      <c r="J861"/>
      <c r="K861"/>
      <c r="L861"/>
      <c r="M861"/>
      <c r="N861"/>
      <c r="O861"/>
      <c r="P861"/>
      <c r="Q861"/>
      <c r="R861"/>
      <c r="S861"/>
      <c r="T861"/>
      <c r="U861"/>
      <c r="V861"/>
      <c r="W861"/>
      <c r="X861"/>
      <c r="Y861"/>
      <c r="Z861"/>
      <c r="AA861"/>
      <c r="AB861"/>
      <c r="AC861"/>
      <c r="AD861" s="442"/>
      <c r="AE861" s="442"/>
    </row>
    <row r="862" spans="1:31" ht="17.25" x14ac:dyDescent="0.3">
      <c r="A862" s="39" t="s">
        <v>355</v>
      </c>
      <c r="B862" t="s">
        <v>356</v>
      </c>
      <c r="C862"/>
      <c r="D862"/>
      <c r="E862"/>
      <c r="F862"/>
      <c r="G862"/>
      <c r="H862"/>
      <c r="I862"/>
      <c r="J862"/>
      <c r="K862"/>
      <c r="L862"/>
      <c r="M862"/>
      <c r="N862"/>
      <c r="O862"/>
      <c r="P862"/>
      <c r="Q862"/>
      <c r="R862"/>
      <c r="S862"/>
      <c r="T862"/>
      <c r="U862"/>
      <c r="V862"/>
      <c r="W862"/>
      <c r="X862"/>
      <c r="Y862"/>
      <c r="Z862"/>
      <c r="AA862"/>
      <c r="AB862"/>
      <c r="AC862"/>
      <c r="AD862" s="442"/>
      <c r="AE862" s="442"/>
    </row>
    <row r="863" spans="1:31" ht="17.25" x14ac:dyDescent="0.3">
      <c r="A863"/>
      <c r="B863" t="s">
        <v>15</v>
      </c>
      <c r="C863"/>
      <c r="D863"/>
      <c r="E863"/>
      <c r="F863" t="s">
        <v>357</v>
      </c>
      <c r="G863"/>
      <c r="H863"/>
      <c r="I863" t="s">
        <v>448</v>
      </c>
      <c r="J863"/>
      <c r="K863" t="s">
        <v>414</v>
      </c>
      <c r="L863"/>
      <c r="M863"/>
      <c r="N863"/>
      <c r="O863"/>
      <c r="P863"/>
      <c r="Q863"/>
      <c r="R863"/>
      <c r="S863"/>
      <c r="T863"/>
      <c r="U863"/>
      <c r="V863"/>
      <c r="W863"/>
      <c r="X863"/>
      <c r="Y863"/>
      <c r="Z863"/>
      <c r="AA863"/>
      <c r="AB863"/>
      <c r="AC863"/>
      <c r="AD863" s="442"/>
      <c r="AE863" s="442"/>
    </row>
    <row r="864" spans="1:31" ht="17.25" x14ac:dyDescent="0.3">
      <c r="A864"/>
      <c r="B864" t="s">
        <v>317</v>
      </c>
      <c r="C864"/>
      <c r="D864"/>
      <c r="E864"/>
      <c r="F864" s="446">
        <f ca="1">U846</f>
        <v>3617.8119309333324</v>
      </c>
      <c r="G864"/>
      <c r="H864"/>
      <c r="I864" t="s">
        <v>449</v>
      </c>
      <c r="J864"/>
      <c r="K864" s="452">
        <v>1</v>
      </c>
      <c r="L864"/>
      <c r="M864"/>
      <c r="N864"/>
      <c r="O864"/>
      <c r="P864"/>
      <c r="Q864"/>
      <c r="R864"/>
      <c r="S864"/>
      <c r="T864"/>
      <c r="U864"/>
      <c r="V864"/>
      <c r="W864"/>
      <c r="X864"/>
      <c r="Y864"/>
      <c r="Z864"/>
      <c r="AA864"/>
      <c r="AB864"/>
      <c r="AC864"/>
      <c r="AD864" s="442"/>
      <c r="AE864" s="442"/>
    </row>
    <row r="865" spans="1:31" ht="17.25" x14ac:dyDescent="0.3">
      <c r="A865"/>
      <c r="B865" t="s">
        <v>276</v>
      </c>
      <c r="C865"/>
      <c r="D865"/>
      <c r="E865"/>
      <c r="F865" s="446">
        <v>0</v>
      </c>
      <c r="G865"/>
      <c r="H865"/>
      <c r="I865" t="s">
        <v>445</v>
      </c>
      <c r="J865"/>
      <c r="K865" s="452">
        <v>0</v>
      </c>
      <c r="L865"/>
      <c r="M865"/>
      <c r="N865"/>
      <c r="O865"/>
      <c r="P865"/>
      <c r="Q865"/>
      <c r="R865"/>
      <c r="S865"/>
      <c r="T865"/>
      <c r="U865"/>
      <c r="V865"/>
      <c r="W865"/>
      <c r="X865"/>
      <c r="Y865"/>
      <c r="Z865"/>
      <c r="AA865"/>
      <c r="AB865"/>
      <c r="AC865"/>
      <c r="AD865" s="442"/>
      <c r="AE865" s="442"/>
    </row>
    <row r="866" spans="1:31" ht="17.25" x14ac:dyDescent="0.3">
      <c r="A866"/>
      <c r="B866" t="s">
        <v>342</v>
      </c>
      <c r="C866"/>
      <c r="D866"/>
      <c r="E866"/>
      <c r="F866" s="446">
        <v>0</v>
      </c>
      <c r="G866"/>
      <c r="H866"/>
      <c r="I866" t="s">
        <v>447</v>
      </c>
      <c r="J866"/>
      <c r="K866" s="452">
        <v>0</v>
      </c>
      <c r="L866"/>
      <c r="M866"/>
      <c r="N866"/>
      <c r="O866"/>
      <c r="P866"/>
      <c r="Q866"/>
      <c r="R866"/>
      <c r="S866"/>
      <c r="T866"/>
      <c r="U866"/>
      <c r="V866"/>
      <c r="W866"/>
      <c r="X866"/>
      <c r="Y866"/>
      <c r="Z866"/>
      <c r="AA866"/>
      <c r="AB866"/>
      <c r="AC866"/>
      <c r="AD866" s="442"/>
      <c r="AE866" s="442"/>
    </row>
    <row r="867" spans="1:31" ht="17.25" x14ac:dyDescent="0.3">
      <c r="A867"/>
      <c r="B867" t="s">
        <v>343</v>
      </c>
      <c r="C867"/>
      <c r="D867"/>
      <c r="E867"/>
      <c r="F867" s="446">
        <v>0</v>
      </c>
      <c r="G867"/>
      <c r="H867"/>
      <c r="I867"/>
      <c r="J867" t="s">
        <v>329</v>
      </c>
      <c r="K867" s="452">
        <v>1</v>
      </c>
      <c r="L867"/>
      <c r="M867"/>
      <c r="N867"/>
      <c r="O867"/>
      <c r="P867"/>
      <c r="Q867"/>
      <c r="R867"/>
      <c r="S867"/>
      <c r="T867"/>
      <c r="U867"/>
      <c r="V867"/>
      <c r="W867"/>
      <c r="X867"/>
      <c r="Y867"/>
      <c r="Z867"/>
      <c r="AA867"/>
      <c r="AB867"/>
      <c r="AC867"/>
      <c r="AD867" s="442"/>
      <c r="AE867" s="442"/>
    </row>
    <row r="868" spans="1:31" ht="17.25" x14ac:dyDescent="0.3">
      <c r="A868"/>
      <c r="B868" t="s">
        <v>345</v>
      </c>
      <c r="C868"/>
      <c r="D868"/>
      <c r="E868"/>
      <c r="F868" s="446">
        <v>0</v>
      </c>
      <c r="G868"/>
      <c r="H868"/>
      <c r="I868"/>
      <c r="J868"/>
      <c r="K868"/>
      <c r="L868"/>
      <c r="M868"/>
      <c r="N868"/>
      <c r="O868"/>
      <c r="P868"/>
      <c r="Q868"/>
      <c r="R868"/>
      <c r="S868"/>
      <c r="T868"/>
      <c r="U868"/>
      <c r="V868"/>
      <c r="W868"/>
      <c r="X868"/>
      <c r="Y868"/>
      <c r="Z868"/>
      <c r="AA868"/>
      <c r="AB868"/>
      <c r="AC868"/>
      <c r="AD868" s="442"/>
      <c r="AE868" s="442"/>
    </row>
    <row r="869" spans="1:31" ht="17.25" x14ac:dyDescent="0.3">
      <c r="A869"/>
      <c r="B869" t="s">
        <v>516</v>
      </c>
      <c r="C869"/>
      <c r="D869"/>
      <c r="E869"/>
      <c r="F869" s="446">
        <v>0</v>
      </c>
      <c r="G869"/>
      <c r="H869"/>
      <c r="I869"/>
      <c r="J869"/>
      <c r="K869"/>
      <c r="L869"/>
      <c r="M869"/>
      <c r="N869"/>
      <c r="O869"/>
      <c r="P869"/>
      <c r="Q869"/>
      <c r="R869"/>
      <c r="S869"/>
      <c r="T869"/>
      <c r="U869"/>
      <c r="V869"/>
      <c r="W869"/>
      <c r="X869"/>
      <c r="Y869"/>
      <c r="Z869"/>
      <c r="AA869"/>
      <c r="AB869"/>
      <c r="AC869"/>
      <c r="AD869" s="442"/>
      <c r="AE869" s="442"/>
    </row>
    <row r="870" spans="1:31" ht="17.25" x14ac:dyDescent="0.3">
      <c r="A870"/>
      <c r="B870"/>
      <c r="C870"/>
      <c r="D870"/>
      <c r="E870" s="447" t="s">
        <v>329</v>
      </c>
      <c r="F870" s="448">
        <f ca="1">SUM(F864:F869)</f>
        <v>3617.8119309333324</v>
      </c>
      <c r="G870"/>
      <c r="H870"/>
      <c r="I870"/>
      <c r="J870"/>
      <c r="K870"/>
      <c r="L870"/>
      <c r="M870"/>
      <c r="N870"/>
      <c r="O870"/>
      <c r="P870"/>
      <c r="Q870"/>
      <c r="R870"/>
      <c r="S870"/>
      <c r="T870"/>
      <c r="U870"/>
      <c r="V870"/>
      <c r="W870"/>
      <c r="X870"/>
      <c r="Y870"/>
      <c r="Z870"/>
      <c r="AA870"/>
      <c r="AB870"/>
      <c r="AC870"/>
      <c r="AD870" s="442"/>
      <c r="AE870" s="442"/>
    </row>
    <row r="871" spans="1:31" ht="17.25" x14ac:dyDescent="0.3">
      <c r="A871"/>
      <c r="B871"/>
      <c r="C871"/>
      <c r="D871"/>
      <c r="E871" s="447"/>
      <c r="F871" s="448"/>
      <c r="G871"/>
      <c r="H871"/>
      <c r="I871"/>
      <c r="J871"/>
      <c r="K871"/>
      <c r="L871"/>
      <c r="M871"/>
      <c r="N871"/>
      <c r="O871"/>
      <c r="P871"/>
      <c r="Q871"/>
      <c r="R871"/>
      <c r="S871"/>
      <c r="T871"/>
      <c r="U871"/>
      <c r="V871"/>
      <c r="W871"/>
      <c r="X871"/>
      <c r="Y871"/>
      <c r="Z871"/>
      <c r="AA871"/>
      <c r="AB871"/>
      <c r="AC871"/>
      <c r="AD871" s="442"/>
      <c r="AE871" s="442"/>
    </row>
    <row r="872" spans="1:31" ht="21" x14ac:dyDescent="0.25">
      <c r="A872" s="327" t="s">
        <v>931</v>
      </c>
      <c r="B872" s="327" t="s">
        <v>487</v>
      </c>
      <c r="C872" s="327"/>
      <c r="D872" s="327"/>
      <c r="E872" s="326"/>
      <c r="G872" s="326"/>
      <c r="H872" s="326"/>
      <c r="I872" s="326"/>
      <c r="J872" s="326"/>
      <c r="K872" s="326"/>
      <c r="L872" s="326"/>
      <c r="M872" s="326"/>
      <c r="N872" s="326"/>
      <c r="O872" s="326"/>
    </row>
    <row r="873" spans="1:31" ht="17.25" x14ac:dyDescent="0.25">
      <c r="A873" s="328" t="s">
        <v>621</v>
      </c>
      <c r="B873" s="328" t="s">
        <v>212</v>
      </c>
      <c r="C873" s="328"/>
      <c r="D873" s="328"/>
      <c r="E873" s="28"/>
      <c r="G873" s="28"/>
      <c r="H873" s="28"/>
      <c r="I873" s="28"/>
      <c r="J873" s="28"/>
      <c r="K873" s="28"/>
      <c r="L873" s="28"/>
      <c r="M873" s="28"/>
      <c r="N873" s="28"/>
      <c r="O873" s="28"/>
    </row>
    <row r="874" spans="1:31" x14ac:dyDescent="0.25">
      <c r="A874" s="342" t="s">
        <v>1010</v>
      </c>
      <c r="B874" s="342" t="s">
        <v>509</v>
      </c>
      <c r="C874" s="342"/>
      <c r="D874" s="342"/>
      <c r="E874" s="342"/>
      <c r="F874" s="342"/>
      <c r="G874" s="342"/>
      <c r="H874" s="342"/>
      <c r="I874" s="342"/>
      <c r="J874" s="2" t="s">
        <v>1013</v>
      </c>
    </row>
    <row r="875" spans="1:31" x14ac:dyDescent="0.25">
      <c r="B875" s="2" t="s">
        <v>854</v>
      </c>
    </row>
    <row r="876" spans="1:31" x14ac:dyDescent="0.25">
      <c r="B876" s="2" t="s">
        <v>15</v>
      </c>
      <c r="E876" s="4" t="s">
        <v>199</v>
      </c>
      <c r="G876" s="4" t="s">
        <v>775</v>
      </c>
      <c r="J876" s="4" t="s">
        <v>776</v>
      </c>
      <c r="L876" s="4" t="s">
        <v>322</v>
      </c>
      <c r="N876" s="4" t="s">
        <v>325</v>
      </c>
      <c r="P876" s="4" t="s">
        <v>777</v>
      </c>
      <c r="R876" s="4"/>
      <c r="U876" s="4"/>
    </row>
    <row r="877" spans="1:31" x14ac:dyDescent="0.25">
      <c r="B877" s="2" t="s">
        <v>738</v>
      </c>
      <c r="E877" s="238">
        <f>'Carac trecho'!I31</f>
        <v>15</v>
      </c>
      <c r="G877" s="345">
        <f>E877/'Carac trecho'!I25</f>
        <v>1</v>
      </c>
      <c r="J877" s="2">
        <f>G877*Listas!$E$5</f>
        <v>1.1666666666666667</v>
      </c>
      <c r="L877" s="2">
        <v>1</v>
      </c>
      <c r="N877" s="345">
        <f>G877</f>
        <v>1</v>
      </c>
      <c r="P877" s="2">
        <f>J877</f>
        <v>1.1666666666666667</v>
      </c>
    </row>
    <row r="878" spans="1:31" x14ac:dyDescent="0.25">
      <c r="B878" s="2" t="s">
        <v>773</v>
      </c>
      <c r="E878" s="238">
        <f>'Carac trecho'!I39</f>
        <v>36</v>
      </c>
      <c r="G878" s="345">
        <v>2</v>
      </c>
      <c r="J878" s="2">
        <f>G878*Listas!$E$5</f>
        <v>2.3333333333333335</v>
      </c>
      <c r="N878" s="345">
        <f t="shared" ref="N878:N880" si="29">G878</f>
        <v>2</v>
      </c>
      <c r="P878" s="2">
        <f t="shared" ref="P878:P880" si="30">J878</f>
        <v>2.3333333333333335</v>
      </c>
    </row>
    <row r="879" spans="1:31" x14ac:dyDescent="0.25">
      <c r="B879" s="2" t="s">
        <v>774</v>
      </c>
      <c r="E879" s="238">
        <f>'Carac trecho'!I29</f>
        <v>0</v>
      </c>
      <c r="G879" s="345">
        <f>E879/'Carac trecho'!I22</f>
        <v>0</v>
      </c>
      <c r="J879" s="2">
        <f>G879*Listas!$E$5</f>
        <v>0</v>
      </c>
      <c r="N879" s="345">
        <f t="shared" si="29"/>
        <v>0</v>
      </c>
      <c r="P879" s="2">
        <f t="shared" si="30"/>
        <v>0</v>
      </c>
    </row>
    <row r="880" spans="1:31" x14ac:dyDescent="0.25">
      <c r="B880" s="2" t="s">
        <v>1020</v>
      </c>
      <c r="E880" s="238">
        <v>0</v>
      </c>
      <c r="G880" s="345">
        <v>2</v>
      </c>
      <c r="J880" s="2">
        <f>G880*Listas!$E$5</f>
        <v>2.3333333333333335</v>
      </c>
      <c r="N880" s="345">
        <f t="shared" si="29"/>
        <v>2</v>
      </c>
      <c r="P880" s="2">
        <f t="shared" si="30"/>
        <v>2.3333333333333335</v>
      </c>
    </row>
    <row r="881" spans="1:21" x14ac:dyDescent="0.25">
      <c r="D881" s="2" t="s">
        <v>329</v>
      </c>
      <c r="E881" s="238">
        <f>SUM(E877:E879)</f>
        <v>51</v>
      </c>
      <c r="G881" s="345">
        <f>SUM(G877:G880)</f>
        <v>5</v>
      </c>
      <c r="J881" s="2">
        <f>SUM(J877:J880)</f>
        <v>5.8333333333333339</v>
      </c>
      <c r="N881" s="2">
        <f>SUM(N877:N880)</f>
        <v>5</v>
      </c>
      <c r="P881" s="2">
        <f>SUM(P877:P880)</f>
        <v>5.8333333333333339</v>
      </c>
      <c r="Q881" s="4"/>
      <c r="U881" s="4"/>
    </row>
    <row r="884" spans="1:21" x14ac:dyDescent="0.25">
      <c r="A884" s="4" t="s">
        <v>61</v>
      </c>
      <c r="B884" s="2" t="s">
        <v>338</v>
      </c>
    </row>
    <row r="885" spans="1:21" x14ac:dyDescent="0.25">
      <c r="B885" s="4" t="s">
        <v>360</v>
      </c>
      <c r="C885" s="2" t="s">
        <v>15</v>
      </c>
      <c r="F885" s="4" t="s">
        <v>321</v>
      </c>
      <c r="G885" s="4"/>
      <c r="H885" s="4" t="s">
        <v>322</v>
      </c>
      <c r="I885" s="4"/>
      <c r="J885" s="4" t="s">
        <v>323</v>
      </c>
      <c r="K885" s="4"/>
      <c r="L885" s="4" t="s">
        <v>324</v>
      </c>
      <c r="M885" s="4"/>
      <c r="N885" s="4" t="s">
        <v>325</v>
      </c>
      <c r="O885" s="4"/>
      <c r="P885" s="4" t="s">
        <v>326</v>
      </c>
      <c r="Q885" s="4"/>
      <c r="R885" s="4" t="s">
        <v>327</v>
      </c>
      <c r="S885" s="4"/>
      <c r="T885" s="4" t="s">
        <v>328</v>
      </c>
      <c r="U885" s="4" t="s">
        <v>329</v>
      </c>
    </row>
    <row r="886" spans="1:21" x14ac:dyDescent="0.25">
      <c r="B886" s="4"/>
      <c r="F886" s="4"/>
      <c r="G886" s="4"/>
      <c r="H886" s="4" t="s">
        <v>330</v>
      </c>
      <c r="I886" s="4"/>
      <c r="J886" s="4" t="s">
        <v>331</v>
      </c>
      <c r="K886" s="4"/>
      <c r="L886" s="4" t="s">
        <v>332</v>
      </c>
      <c r="M886" s="4"/>
      <c r="N886" s="4" t="s">
        <v>333</v>
      </c>
      <c r="O886" s="4"/>
      <c r="P886" s="4" t="s">
        <v>334</v>
      </c>
      <c r="Q886" s="4"/>
      <c r="R886" s="4" t="s">
        <v>335</v>
      </c>
      <c r="S886" s="4"/>
      <c r="T886" s="4" t="s">
        <v>336</v>
      </c>
      <c r="U886" s="4" t="s">
        <v>337</v>
      </c>
    </row>
    <row r="887" spans="1:21" x14ac:dyDescent="0.25">
      <c r="B887" s="4" t="s">
        <v>165</v>
      </c>
      <c r="C887" s="2" t="str">
        <f ca="1">IFERROR(VLOOKUP(B887,MO_Matriz,2,0),"")</f>
        <v>Sondador</v>
      </c>
      <c r="F887" s="4" t="str">
        <f ca="1">IFERROR(VLOOKUP(B887,MO_Matriz,3,0),"")</f>
        <v>T</v>
      </c>
      <c r="H887" s="2">
        <f>$L$877</f>
        <v>1</v>
      </c>
      <c r="J887" s="2">
        <v>1</v>
      </c>
      <c r="L887" s="2">
        <f>Listas!$B$6</f>
        <v>7.333333333333333</v>
      </c>
      <c r="N887" s="2">
        <f>N881</f>
        <v>5</v>
      </c>
      <c r="P887" s="2">
        <f>H887*J887*L887*N887</f>
        <v>36.666666666666664</v>
      </c>
      <c r="R887" s="2">
        <f>P887/220</f>
        <v>0.16666666666666666</v>
      </c>
      <c r="T887" s="310">
        <f ca="1">IFERROR(VLOOKUP(B887,MO_Matriz,5,0),"")</f>
        <v>5087.7700000000004</v>
      </c>
      <c r="U887" s="310">
        <f ca="1">R887*T887</f>
        <v>847.9616666666667</v>
      </c>
    </row>
    <row r="888" spans="1:21" x14ac:dyDescent="0.25">
      <c r="B888" s="4" t="s">
        <v>59</v>
      </c>
      <c r="C888" s="2" t="str">
        <f ca="1">IFERROR(VLOOKUP(B888,MO_Matriz,2,0),"")</f>
        <v>Auxiliar</v>
      </c>
      <c r="F888" s="4" t="str">
        <f ca="1">IFERROR(VLOOKUP(B888,MO_Matriz,3,0),"")</f>
        <v>A</v>
      </c>
      <c r="H888" s="2">
        <f>$L$877</f>
        <v>1</v>
      </c>
      <c r="J888" s="2">
        <v>2</v>
      </c>
      <c r="L888" s="2">
        <f>Listas!$B$6</f>
        <v>7.333333333333333</v>
      </c>
      <c r="N888" s="2">
        <f>N881</f>
        <v>5</v>
      </c>
      <c r="P888" s="2">
        <f>H888*J888*L888*N888</f>
        <v>73.333333333333329</v>
      </c>
      <c r="R888" s="2">
        <f>P888/220</f>
        <v>0.33333333333333331</v>
      </c>
      <c r="T888" s="310">
        <f ca="1">IFERROR(VLOOKUP(B888,MO_Matriz,5,0),"")</f>
        <v>4276.41</v>
      </c>
      <c r="U888" s="310">
        <f ca="1">R888*T888</f>
        <v>1425.4699999999998</v>
      </c>
    </row>
    <row r="889" spans="1:21" x14ac:dyDescent="0.25">
      <c r="T889" s="332" t="s">
        <v>329</v>
      </c>
      <c r="U889" s="331">
        <f ca="1">SUM(U887:U888)</f>
        <v>2273.4316666666664</v>
      </c>
    </row>
    <row r="890" spans="1:21" x14ac:dyDescent="0.25">
      <c r="A890" s="4" t="s">
        <v>339</v>
      </c>
      <c r="B890" s="2" t="s">
        <v>340</v>
      </c>
    </row>
    <row r="891" spans="1:21" x14ac:dyDescent="0.25">
      <c r="B891" s="4" t="s">
        <v>360</v>
      </c>
      <c r="C891" s="2" t="s">
        <v>15</v>
      </c>
      <c r="H891" s="4" t="s">
        <v>31</v>
      </c>
      <c r="I891" s="4" t="s">
        <v>224</v>
      </c>
      <c r="J891" s="4" t="s">
        <v>361</v>
      </c>
      <c r="K891" s="4" t="s">
        <v>328</v>
      </c>
      <c r="L891" s="4" t="s">
        <v>362</v>
      </c>
    </row>
    <row r="892" spans="1:21" x14ac:dyDescent="0.25">
      <c r="B892" s="4"/>
      <c r="H892" s="4" t="s">
        <v>363</v>
      </c>
      <c r="I892" s="4" t="s">
        <v>330</v>
      </c>
      <c r="J892" s="4" t="s">
        <v>364</v>
      </c>
      <c r="K892" s="4" t="s">
        <v>332</v>
      </c>
      <c r="L892" s="4" t="s">
        <v>365</v>
      </c>
    </row>
    <row r="893" spans="1:21" x14ac:dyDescent="0.25">
      <c r="B893" s="4" t="s">
        <v>193</v>
      </c>
      <c r="C893" s="2" t="str">
        <f ca="1">IFERROR(VLOOKUP(B893,Veiculo_Equip_Matriz,2,0),"")</f>
        <v>Veículo leve picape 4 x 4 com capacidade de 1,10 t - 147 kW (sem motorista)</v>
      </c>
      <c r="H893" s="2">
        <v>1</v>
      </c>
      <c r="I893" s="2">
        <v>2</v>
      </c>
      <c r="J893" s="2">
        <f>I893/30</f>
        <v>6.6666666666666666E-2</v>
      </c>
      <c r="K893" s="310">
        <f ca="1">IFERROR(VLOOKUP(B893,Veiculo_Equip_Matriz,10,0),"")</f>
        <v>7920.0560999999998</v>
      </c>
      <c r="L893" s="310">
        <f ca="1">TRUNC(H893*J893*K893,2)</f>
        <v>528</v>
      </c>
    </row>
    <row r="894" spans="1:21" x14ac:dyDescent="0.25">
      <c r="K894" s="332" t="s">
        <v>329</v>
      </c>
      <c r="L894" s="331">
        <f ca="1">SUM(L893:L893)</f>
        <v>528</v>
      </c>
    </row>
    <row r="895" spans="1:21" x14ac:dyDescent="0.25">
      <c r="A895" s="4" t="s">
        <v>348</v>
      </c>
      <c r="B895" s="2" t="s">
        <v>349</v>
      </c>
    </row>
    <row r="896" spans="1:21" x14ac:dyDescent="0.25">
      <c r="A896" s="4" t="s">
        <v>451</v>
      </c>
      <c r="B896" s="2" t="s">
        <v>452</v>
      </c>
    </row>
    <row r="897" spans="1:13" x14ac:dyDescent="0.25">
      <c r="B897" s="2" t="s">
        <v>1033</v>
      </c>
      <c r="F897" s="4"/>
      <c r="G897" s="4"/>
      <c r="H897" s="4"/>
      <c r="I897" s="4"/>
      <c r="J897" s="4"/>
    </row>
    <row r="898" spans="1:13" x14ac:dyDescent="0.25">
      <c r="B898" s="4"/>
      <c r="F898" s="4"/>
    </row>
    <row r="899" spans="1:13" x14ac:dyDescent="0.25">
      <c r="A899" s="4" t="s">
        <v>456</v>
      </c>
      <c r="B899" s="2" t="s">
        <v>457</v>
      </c>
    </row>
    <row r="901" spans="1:13" x14ac:dyDescent="0.25">
      <c r="B901" s="4" t="s">
        <v>360</v>
      </c>
      <c r="C901" s="2" t="s">
        <v>15</v>
      </c>
      <c r="F901" s="4" t="s">
        <v>321</v>
      </c>
      <c r="G901" s="4"/>
      <c r="H901" s="4" t="s">
        <v>453</v>
      </c>
      <c r="I901" s="4"/>
      <c r="J901" s="4" t="s">
        <v>454</v>
      </c>
    </row>
    <row r="902" spans="1:13" x14ac:dyDescent="0.25">
      <c r="B902" s="4" t="str">
        <f>B887</f>
        <v>P8139</v>
      </c>
      <c r="C902" s="2" t="str">
        <f ca="1">IFERROR(VLOOKUP(B902,MO_Matriz,2,0),"")</f>
        <v>Sondador</v>
      </c>
      <c r="F902" s="4" t="str">
        <f ca="1">IFERROR(VLOOKUP(B902,MO_Matriz,3,0),"")</f>
        <v>T</v>
      </c>
      <c r="H902" s="2" t="s">
        <v>455</v>
      </c>
      <c r="J902" s="2">
        <f>J887</f>
        <v>1</v>
      </c>
    </row>
    <row r="903" spans="1:13" x14ac:dyDescent="0.25">
      <c r="I903" s="332" t="s">
        <v>329</v>
      </c>
      <c r="J903" s="332">
        <f>SUM(J902:J902)</f>
        <v>1</v>
      </c>
    </row>
    <row r="904" spans="1:13" x14ac:dyDescent="0.25">
      <c r="A904" s="4"/>
    </row>
    <row r="905" spans="1:13" x14ac:dyDescent="0.25">
      <c r="A905" s="4" t="s">
        <v>350</v>
      </c>
      <c r="B905" s="2" t="s">
        <v>351</v>
      </c>
    </row>
    <row r="906" spans="1:13" x14ac:dyDescent="0.25">
      <c r="A906" s="4"/>
      <c r="B906" s="2" t="s">
        <v>779</v>
      </c>
    </row>
    <row r="907" spans="1:13" x14ac:dyDescent="0.25">
      <c r="A907" s="4"/>
    </row>
    <row r="908" spans="1:13" x14ac:dyDescent="0.25">
      <c r="B908" s="4" t="s">
        <v>360</v>
      </c>
      <c r="C908" s="2" t="s">
        <v>15</v>
      </c>
      <c r="H908" s="4" t="s">
        <v>31</v>
      </c>
      <c r="I908" s="4" t="s">
        <v>778</v>
      </c>
      <c r="J908" s="4" t="s">
        <v>202</v>
      </c>
      <c r="K908" s="4" t="s">
        <v>224</v>
      </c>
      <c r="L908" s="4" t="s">
        <v>361</v>
      </c>
      <c r="M908" s="330" t="s">
        <v>362</v>
      </c>
    </row>
    <row r="909" spans="1:13" x14ac:dyDescent="0.25">
      <c r="B909" s="4"/>
      <c r="I909" s="4" t="s">
        <v>363</v>
      </c>
      <c r="J909" s="4" t="s">
        <v>330</v>
      </c>
      <c r="K909" s="4" t="s">
        <v>331</v>
      </c>
      <c r="L909" s="4" t="s">
        <v>682</v>
      </c>
      <c r="M909" s="330"/>
    </row>
    <row r="910" spans="1:13" x14ac:dyDescent="0.25">
      <c r="B910" s="4" t="s">
        <v>1055</v>
      </c>
      <c r="C910" s="2" t="str">
        <f>IFERROR(VLOOKUP(B910,Sudecap!$A$1:$K$55,3,0),"")</f>
        <v>Perfuração de solo sondagem a trado (NBR 9603:2015) DN 20CM</v>
      </c>
      <c r="H910" s="4" t="s">
        <v>411</v>
      </c>
      <c r="I910" s="310">
        <f>IFERROR(VLOOKUP(B910,Sudecap!$A$1:$K$55,11,0),"")</f>
        <v>74.97</v>
      </c>
      <c r="J910" s="238">
        <f>E877</f>
        <v>15</v>
      </c>
      <c r="K910" s="91">
        <v>0</v>
      </c>
      <c r="L910" s="91">
        <v>0</v>
      </c>
      <c r="M910" s="331">
        <f>ROUND(I910*J910,2)</f>
        <v>1124.55</v>
      </c>
    </row>
    <row r="911" spans="1:13" x14ac:dyDescent="0.25">
      <c r="B911" s="4" t="s">
        <v>1052</v>
      </c>
      <c r="C911" s="2" t="str">
        <f>IFERROR(VLOOKUP(B911,Sudecap!$A$1:$K$55,3,0),"")</f>
        <v>PERFURAÇÃO DE SOLO SONDAGEM À PERCUSSÃO (NBR 6484:2020)</v>
      </c>
      <c r="H911" s="4" t="s">
        <v>411</v>
      </c>
      <c r="I911" s="310">
        <f>IFERROR(VLOOKUP(B911,Sudecap!$A$1:$K$55,11,0),"")</f>
        <v>94.96</v>
      </c>
      <c r="J911" s="238">
        <f>E878</f>
        <v>36</v>
      </c>
      <c r="K911" s="91">
        <v>0</v>
      </c>
      <c r="L911" s="91">
        <v>0</v>
      </c>
      <c r="M911" s="331">
        <f>ROUND(I911*J911,2)</f>
        <v>3418.56</v>
      </c>
    </row>
    <row r="912" spans="1:13" x14ac:dyDescent="0.25">
      <c r="B912" s="4" t="s">
        <v>1053</v>
      </c>
      <c r="C912" s="2" t="str">
        <f>IFERROR(VLOOKUP(B912,Sudecap!$A$1:$K$55,3,0),"")</f>
        <v>DESMONTAGEM, TRANSPORTE E MONTAGEM DE EQUIPAMENTOS DE SONDAGEM A PERCUSSÃO POR FURO</v>
      </c>
      <c r="H912" s="4" t="s">
        <v>411</v>
      </c>
      <c r="I912" s="310">
        <f>IFERROR(VLOOKUP(B912,Sudecap!$A$1:$K$55,11,0),"")</f>
        <v>299.89</v>
      </c>
      <c r="J912" s="238">
        <v>3</v>
      </c>
      <c r="K912" s="91">
        <v>0</v>
      </c>
      <c r="L912" s="91">
        <v>0</v>
      </c>
      <c r="M912" s="331">
        <f>ROUND(I912*J912,2)</f>
        <v>899.67</v>
      </c>
    </row>
    <row r="913" spans="1:28" x14ac:dyDescent="0.25">
      <c r="B913" s="4"/>
      <c r="H913" s="4"/>
      <c r="I913" s="310"/>
      <c r="J913" s="238"/>
      <c r="K913" s="91"/>
      <c r="L913" s="332" t="s">
        <v>329</v>
      </c>
      <c r="M913" s="331">
        <f>SUM(M910:M912)</f>
        <v>5442.78</v>
      </c>
    </row>
    <row r="915" spans="1:28" x14ac:dyDescent="0.25">
      <c r="A915" s="4" t="s">
        <v>197</v>
      </c>
      <c r="B915" s="2" t="s">
        <v>352</v>
      </c>
    </row>
    <row r="916" spans="1:28" x14ac:dyDescent="0.25">
      <c r="A916" s="4" t="s">
        <v>450</v>
      </c>
      <c r="B916" s="2" t="s">
        <v>433</v>
      </c>
    </row>
    <row r="917" spans="1:28" x14ac:dyDescent="0.25">
      <c r="A917" s="4"/>
      <c r="B917" s="2" t="s">
        <v>1035</v>
      </c>
    </row>
    <row r="918" spans="1:28" x14ac:dyDescent="0.25">
      <c r="B918" s="2" t="s">
        <v>1124</v>
      </c>
    </row>
    <row r="919" spans="1:28" x14ac:dyDescent="0.25">
      <c r="B919" s="2" t="s">
        <v>15</v>
      </c>
      <c r="E919" s="2" t="s">
        <v>357</v>
      </c>
      <c r="F919" s="2" t="s">
        <v>202</v>
      </c>
    </row>
    <row r="920" spans="1:28" x14ac:dyDescent="0.25">
      <c r="B920" s="2" t="s">
        <v>248</v>
      </c>
      <c r="E920" s="238">
        <f>Listas!$D$19</f>
        <v>250</v>
      </c>
    </row>
    <row r="921" spans="1:28" x14ac:dyDescent="0.25">
      <c r="B921" s="2" t="s">
        <v>252</v>
      </c>
      <c r="E921" s="238">
        <f>E920/2</f>
        <v>125</v>
      </c>
      <c r="F921" s="2">
        <f>N887</f>
        <v>5</v>
      </c>
    </row>
    <row r="922" spans="1:28" x14ac:dyDescent="0.25">
      <c r="B922" s="2" t="s">
        <v>255</v>
      </c>
      <c r="E922" s="238">
        <f>E921</f>
        <v>125</v>
      </c>
      <c r="F922" s="2">
        <f>F921-1</f>
        <v>4</v>
      </c>
    </row>
    <row r="924" spans="1:28" x14ac:dyDescent="0.25">
      <c r="B924" s="4" t="s">
        <v>360</v>
      </c>
      <c r="C924" s="2" t="s">
        <v>15</v>
      </c>
      <c r="D924" s="4"/>
      <c r="E924" s="4"/>
      <c r="F924" s="4" t="s">
        <v>321</v>
      </c>
      <c r="G924" s="4"/>
      <c r="H924" s="4" t="s">
        <v>434</v>
      </c>
      <c r="I924" s="4"/>
      <c r="J924" s="4" t="s">
        <v>435</v>
      </c>
      <c r="K924" s="4" t="s">
        <v>202</v>
      </c>
      <c r="L924" s="330" t="s">
        <v>329</v>
      </c>
    </row>
    <row r="925" spans="1:28" x14ac:dyDescent="0.25">
      <c r="B925" s="4"/>
      <c r="C925" s="4"/>
      <c r="D925" s="4"/>
      <c r="E925" s="4"/>
      <c r="F925" s="4"/>
      <c r="G925" s="4"/>
      <c r="H925" s="4" t="s">
        <v>363</v>
      </c>
      <c r="I925" s="4"/>
      <c r="J925" s="4" t="s">
        <v>330</v>
      </c>
      <c r="K925" s="2" t="s">
        <v>332</v>
      </c>
      <c r="L925" s="330" t="s">
        <v>436</v>
      </c>
      <c r="P925" s="84"/>
      <c r="Q925" s="84"/>
      <c r="R925" s="84"/>
      <c r="S925" s="84"/>
      <c r="T925" s="84"/>
      <c r="U925" s="84"/>
      <c r="V925" s="84"/>
      <c r="W925" s="84"/>
      <c r="X925" s="84"/>
      <c r="Y925" s="84"/>
      <c r="Z925" s="84"/>
      <c r="AA925" s="84"/>
      <c r="AB925" s="84"/>
    </row>
    <row r="926" spans="1:28" x14ac:dyDescent="0.25">
      <c r="B926" s="4" t="s">
        <v>165</v>
      </c>
      <c r="C926" s="2" t="str">
        <f ca="1">IFERROR(VLOOKUP(B926,MO_Matriz,2,0),"")</f>
        <v>Sondador</v>
      </c>
      <c r="F926" s="4" t="str">
        <f ca="1">IFERROR(VLOOKUP(B926,MO_Matriz,3,0),"")</f>
        <v>T</v>
      </c>
      <c r="H926" s="310">
        <f>$E$921*$F$921</f>
        <v>625</v>
      </c>
      <c r="I926" s="310"/>
      <c r="J926" s="310">
        <f>$E$922*$F$922</f>
        <v>500</v>
      </c>
      <c r="K926" s="2">
        <f>J887</f>
        <v>1</v>
      </c>
      <c r="L926" s="331">
        <f>(H926+J926)*K926</f>
        <v>1125</v>
      </c>
      <c r="P926" s="84"/>
      <c r="Q926" s="84"/>
      <c r="R926" s="84"/>
      <c r="S926" s="84"/>
      <c r="T926" s="84"/>
      <c r="U926" s="84"/>
      <c r="V926" s="84"/>
      <c r="W926" s="84"/>
      <c r="X926" s="84"/>
      <c r="Y926" s="84"/>
      <c r="Z926" s="84"/>
      <c r="AA926" s="84"/>
      <c r="AB926" s="84"/>
    </row>
    <row r="927" spans="1:28" x14ac:dyDescent="0.25">
      <c r="J927" s="332" t="s">
        <v>329</v>
      </c>
      <c r="L927" s="331">
        <f>SUM(L926:L926)</f>
        <v>1125</v>
      </c>
      <c r="P927" s="84"/>
      <c r="Q927" s="84"/>
      <c r="R927" s="84"/>
      <c r="S927" s="84"/>
      <c r="T927" s="84"/>
      <c r="U927" s="84"/>
      <c r="V927" s="84"/>
      <c r="W927" s="84"/>
      <c r="X927" s="84"/>
      <c r="Y927" s="84"/>
      <c r="Z927" s="84"/>
      <c r="AA927" s="84"/>
      <c r="AB927" s="84"/>
    </row>
    <row r="928" spans="1:28" x14ac:dyDescent="0.25">
      <c r="A928" s="4" t="s">
        <v>459</v>
      </c>
      <c r="B928" s="2" t="s">
        <v>437</v>
      </c>
      <c r="P928" s="84"/>
      <c r="Q928" s="84"/>
      <c r="R928" s="84"/>
      <c r="S928" s="84"/>
      <c r="T928" s="84"/>
      <c r="U928" s="84"/>
      <c r="V928" s="84"/>
      <c r="W928" s="84"/>
      <c r="X928" s="84"/>
      <c r="Y928" s="84"/>
      <c r="Z928" s="84"/>
      <c r="AA928" s="84"/>
      <c r="AB928" s="84"/>
    </row>
    <row r="929" spans="1:31" x14ac:dyDescent="0.25">
      <c r="B929" s="2" t="s">
        <v>438</v>
      </c>
      <c r="P929" s="84"/>
      <c r="Q929" s="84"/>
      <c r="R929" s="84"/>
      <c r="S929" s="84"/>
      <c r="T929" s="84"/>
      <c r="U929" s="84"/>
      <c r="V929" s="84"/>
      <c r="W929" s="84"/>
      <c r="X929" s="84"/>
      <c r="Y929" s="84"/>
      <c r="Z929" s="84"/>
      <c r="AA929" s="84"/>
      <c r="AB929" s="84"/>
    </row>
    <row r="930" spans="1:31" x14ac:dyDescent="0.25">
      <c r="P930" s="84"/>
      <c r="Q930" s="84"/>
      <c r="R930" s="84"/>
      <c r="S930" s="84"/>
      <c r="T930" s="84"/>
      <c r="U930" s="84"/>
      <c r="V930" s="84"/>
      <c r="W930" s="84"/>
      <c r="X930" s="84"/>
      <c r="Y930" s="84"/>
      <c r="Z930" s="84"/>
      <c r="AA930" s="84"/>
      <c r="AB930" s="84"/>
    </row>
    <row r="931" spans="1:31" x14ac:dyDescent="0.25">
      <c r="A931" s="4" t="s">
        <v>353</v>
      </c>
      <c r="B931" s="2" t="s">
        <v>354</v>
      </c>
      <c r="P931" s="84"/>
      <c r="Q931" s="84"/>
      <c r="R931" s="84"/>
      <c r="S931" s="84"/>
      <c r="T931" s="84"/>
      <c r="U931" s="84"/>
      <c r="V931" s="84"/>
      <c r="W931" s="84"/>
      <c r="X931" s="84"/>
      <c r="Y931" s="84"/>
      <c r="Z931" s="84"/>
      <c r="AA931" s="84"/>
      <c r="AB931" s="84"/>
    </row>
    <row r="932" spans="1:31" x14ac:dyDescent="0.25">
      <c r="A932" s="4" t="s">
        <v>385</v>
      </c>
      <c r="B932" s="2" t="s">
        <v>317</v>
      </c>
    </row>
    <row r="933" spans="1:31" x14ac:dyDescent="0.25">
      <c r="B933" s="2" t="s">
        <v>505</v>
      </c>
    </row>
    <row r="935" spans="1:31" x14ac:dyDescent="0.25">
      <c r="A935" s="4" t="s">
        <v>386</v>
      </c>
      <c r="B935" s="2" t="s">
        <v>366</v>
      </c>
    </row>
    <row r="936" spans="1:31" x14ac:dyDescent="0.25">
      <c r="A936" s="4"/>
      <c r="AD936" s="332"/>
      <c r="AE936" s="331"/>
    </row>
    <row r="937" spans="1:31" x14ac:dyDescent="0.25">
      <c r="A937" s="4"/>
      <c r="B937" s="2" t="s">
        <v>367</v>
      </c>
      <c r="D937" s="2" t="s">
        <v>237</v>
      </c>
      <c r="F937" s="4" t="s">
        <v>387</v>
      </c>
      <c r="H937" s="4" t="s">
        <v>13</v>
      </c>
      <c r="I937" s="4" t="s">
        <v>414</v>
      </c>
      <c r="K937" s="2" t="s">
        <v>15</v>
      </c>
      <c r="L937" s="84"/>
      <c r="M937" s="84"/>
      <c r="N937" s="4" t="s">
        <v>368</v>
      </c>
      <c r="O937" s="4" t="s">
        <v>357</v>
      </c>
    </row>
    <row r="938" spans="1:31" x14ac:dyDescent="0.25">
      <c r="A938" s="4"/>
      <c r="B938" s="2" t="s">
        <v>245</v>
      </c>
      <c r="D938" s="2" t="s">
        <v>245</v>
      </c>
      <c r="F938" s="238">
        <f>Listas!$J$3</f>
        <v>60</v>
      </c>
      <c r="H938" s="238">
        <f>Listas!$L$3</f>
        <v>305</v>
      </c>
      <c r="I938" s="311">
        <f>H938/H941</f>
        <v>1</v>
      </c>
      <c r="K938" s="2" t="s">
        <v>369</v>
      </c>
      <c r="L938" s="84"/>
      <c r="M938" s="84"/>
      <c r="N938" s="336" t="str">
        <f>Listas!$D$21</f>
        <v>ABRIL/25</v>
      </c>
      <c r="O938" s="84">
        <f>Listas!$D$23</f>
        <v>303.67500000000001</v>
      </c>
    </row>
    <row r="939" spans="1:31" x14ac:dyDescent="0.25">
      <c r="A939" s="4"/>
      <c r="D939" s="2" t="s">
        <v>251</v>
      </c>
      <c r="F939" s="238">
        <f>Listas!$J$4</f>
        <v>50</v>
      </c>
      <c r="H939" s="238">
        <f>Listas!$L$4</f>
        <v>0</v>
      </c>
      <c r="I939" s="311">
        <f>H939/H941</f>
        <v>0</v>
      </c>
      <c r="K939" s="2" t="s">
        <v>369</v>
      </c>
      <c r="L939" s="84"/>
      <c r="M939" s="84"/>
      <c r="N939" s="336" t="str">
        <f>Listas!$D$21</f>
        <v>ABRIL/25</v>
      </c>
      <c r="O939" s="84">
        <f>Listas!$D$23</f>
        <v>303.67500000000001</v>
      </c>
    </row>
    <row r="940" spans="1:31" x14ac:dyDescent="0.25">
      <c r="A940" s="4"/>
      <c r="D940" s="2" t="s">
        <v>254</v>
      </c>
      <c r="F940" s="238">
        <f>Listas!$J$5</f>
        <v>40</v>
      </c>
      <c r="H940" s="238">
        <f>Listas!$L$5</f>
        <v>0</v>
      </c>
      <c r="I940" s="311">
        <f>H940/H941</f>
        <v>0</v>
      </c>
      <c r="K940" s="2" t="s">
        <v>370</v>
      </c>
      <c r="L940" s="84"/>
      <c r="M940" s="84"/>
      <c r="N940" s="329" t="s">
        <v>259</v>
      </c>
      <c r="O940" s="337">
        <f>O939/O938-1</f>
        <v>0</v>
      </c>
    </row>
    <row r="941" spans="1:31" x14ac:dyDescent="0.25">
      <c r="A941" s="4"/>
      <c r="G941" s="332" t="s">
        <v>329</v>
      </c>
      <c r="H941" s="238">
        <f>SUM(H938:H940)</f>
        <v>305</v>
      </c>
      <c r="I941" s="311">
        <f>SUM(I938:I940)</f>
        <v>1</v>
      </c>
      <c r="K941" s="2" t="s">
        <v>867</v>
      </c>
      <c r="L941" s="84"/>
      <c r="M941" s="84"/>
      <c r="N941" s="338">
        <v>45839</v>
      </c>
      <c r="O941" s="339">
        <v>36.9</v>
      </c>
    </row>
    <row r="942" spans="1:31" x14ac:dyDescent="0.25">
      <c r="A942" s="4"/>
      <c r="K942" s="2" t="s">
        <v>868</v>
      </c>
      <c r="L942" s="84"/>
      <c r="M942" s="84"/>
      <c r="N942" s="338">
        <v>45839</v>
      </c>
      <c r="O942" s="339">
        <f>Listas!$D$26</f>
        <v>36.9</v>
      </c>
    </row>
    <row r="943" spans="1:31" x14ac:dyDescent="0.25">
      <c r="A943" s="4"/>
      <c r="F943" s="4"/>
      <c r="H943" s="4"/>
      <c r="I943" s="4"/>
      <c r="K943" s="2" t="s">
        <v>869</v>
      </c>
      <c r="L943" s="84"/>
      <c r="M943" s="84"/>
      <c r="N943" s="336" t="s">
        <v>1156</v>
      </c>
      <c r="O943" s="310">
        <f>ROUND(O941*(1+O940), 2)</f>
        <v>36.9</v>
      </c>
    </row>
    <row r="944" spans="1:31" x14ac:dyDescent="0.25">
      <c r="A944" s="4"/>
      <c r="F944" s="238"/>
      <c r="H944" s="238"/>
      <c r="I944" s="311"/>
      <c r="K944" s="2" t="s">
        <v>870</v>
      </c>
      <c r="L944" s="84"/>
      <c r="M944" s="84"/>
      <c r="N944" s="336" t="s">
        <v>1156</v>
      </c>
      <c r="O944" s="310">
        <f>ROUND(O942*(1+O940), 2)</f>
        <v>36.9</v>
      </c>
    </row>
    <row r="945" spans="1:29" x14ac:dyDescent="0.25">
      <c r="A945" s="4"/>
      <c r="H945" s="238"/>
      <c r="I945" s="311"/>
      <c r="L945" s="84"/>
      <c r="M945" s="84"/>
      <c r="N945" s="336"/>
      <c r="O945" s="310"/>
    </row>
    <row r="946" spans="1:29" x14ac:dyDescent="0.25">
      <c r="A946" s="4"/>
      <c r="L946" s="84"/>
      <c r="M946" s="84"/>
      <c r="N946" s="336"/>
      <c r="O946" s="310"/>
    </row>
    <row r="947" spans="1:29" x14ac:dyDescent="0.25">
      <c r="B947" s="2" t="s">
        <v>360</v>
      </c>
      <c r="C947" s="2" t="s">
        <v>15</v>
      </c>
      <c r="G947" s="4" t="s">
        <v>202</v>
      </c>
      <c r="I947" s="4" t="s">
        <v>401</v>
      </c>
      <c r="K947" s="4" t="s">
        <v>402</v>
      </c>
      <c r="M947" s="4" t="s">
        <v>371</v>
      </c>
      <c r="O947" s="4" t="s">
        <v>372</v>
      </c>
      <c r="P947" s="4" t="s">
        <v>373</v>
      </c>
      <c r="Q947" s="2" t="s">
        <v>236</v>
      </c>
      <c r="S947" s="4" t="s">
        <v>183</v>
      </c>
      <c r="T947" s="4"/>
      <c r="U947" s="4" t="s">
        <v>374</v>
      </c>
      <c r="V947" s="4"/>
      <c r="W947" s="4" t="s">
        <v>375</v>
      </c>
      <c r="Y947" s="4" t="s">
        <v>376</v>
      </c>
      <c r="Z947" s="4"/>
      <c r="AA947" s="4" t="s">
        <v>377</v>
      </c>
      <c r="AB947" s="4" t="s">
        <v>388</v>
      </c>
      <c r="AC947" s="330" t="s">
        <v>362</v>
      </c>
    </row>
    <row r="948" spans="1:29" x14ac:dyDescent="0.25">
      <c r="G948" s="4" t="s">
        <v>363</v>
      </c>
      <c r="I948" s="4" t="s">
        <v>330</v>
      </c>
      <c r="K948" s="4" t="s">
        <v>331</v>
      </c>
      <c r="M948" s="4" t="s">
        <v>403</v>
      </c>
      <c r="O948" s="4" t="s">
        <v>372</v>
      </c>
      <c r="P948" s="4" t="s">
        <v>333</v>
      </c>
      <c r="Q948" s="4"/>
      <c r="S948" s="4" t="s">
        <v>378</v>
      </c>
      <c r="T948" s="4"/>
      <c r="U948" s="4" t="s">
        <v>407</v>
      </c>
      <c r="V948" s="4"/>
      <c r="W948" s="4" t="s">
        <v>389</v>
      </c>
      <c r="Y948" s="4" t="s">
        <v>413</v>
      </c>
      <c r="Z948" s="4"/>
      <c r="AA948" s="4" t="s">
        <v>410</v>
      </c>
      <c r="AB948" s="4" t="s">
        <v>411</v>
      </c>
      <c r="AC948" s="330" t="s">
        <v>412</v>
      </c>
    </row>
    <row r="949" spans="1:29" x14ac:dyDescent="0.25">
      <c r="B949" s="43" t="str">
        <f>B893</f>
        <v>E8891</v>
      </c>
      <c r="C949" s="2" t="str">
        <f ca="1">IFERROR(VLOOKUP(B949,Veiculo_Equip_Matriz,2,0),"")</f>
        <v>Veículo leve picape 4 x 4 com capacidade de 1,10 t - 147 kW (sem motorista)</v>
      </c>
      <c r="G949" s="2">
        <v>1</v>
      </c>
      <c r="I949" s="238">
        <f>H941</f>
        <v>305</v>
      </c>
      <c r="K949" s="238">
        <f>F938</f>
        <v>60</v>
      </c>
      <c r="M949" s="2">
        <f>I949/K949</f>
        <v>5.083333333333333</v>
      </c>
      <c r="N949" s="84"/>
      <c r="O949" s="84">
        <v>2</v>
      </c>
      <c r="P949" s="84">
        <v>1</v>
      </c>
      <c r="Q949" s="4" t="str">
        <f>B893</f>
        <v>E8891</v>
      </c>
      <c r="R949" s="84"/>
      <c r="S949" s="238">
        <f ca="1">IFERROR(VLOOKUP(Q949,Veiculo_Equip_Matriz,4,0),"")</f>
        <v>79.599999999999994</v>
      </c>
      <c r="T949" s="84"/>
      <c r="U949" s="310">
        <f ca="1">G949*M949*O949*P949*S949</f>
        <v>809.26666666666654</v>
      </c>
      <c r="V949" s="84"/>
      <c r="W949" s="2">
        <f>((INT(M949/4))*30)/60</f>
        <v>0.5</v>
      </c>
      <c r="X949" s="84"/>
      <c r="Y949" s="2">
        <f>M949+W949</f>
        <v>5.583333333333333</v>
      </c>
      <c r="Z949" s="84"/>
      <c r="AA949" s="310">
        <v>0</v>
      </c>
      <c r="AB949" s="310">
        <f>O943*O949</f>
        <v>73.8</v>
      </c>
      <c r="AC949" s="331">
        <f ca="1">TRUNC(U949+AA949+AB949,2)</f>
        <v>883.06</v>
      </c>
    </row>
    <row r="950" spans="1:29" x14ac:dyDescent="0.25">
      <c r="B950" s="43"/>
      <c r="I950" s="238"/>
      <c r="K950" s="238"/>
      <c r="O950" s="84"/>
      <c r="P950" s="84"/>
      <c r="Q950" s="4"/>
      <c r="S950" s="238"/>
      <c r="U950" s="310"/>
      <c r="AA950" s="310"/>
      <c r="AB950" s="332" t="s">
        <v>329</v>
      </c>
      <c r="AC950" s="331">
        <f ca="1">AC949</f>
        <v>883.06</v>
      </c>
    </row>
    <row r="951" spans="1:29" x14ac:dyDescent="0.25">
      <c r="A951" s="4" t="s">
        <v>355</v>
      </c>
      <c r="B951" s="2" t="s">
        <v>356</v>
      </c>
    </row>
    <row r="952" spans="1:29" x14ac:dyDescent="0.25">
      <c r="B952" s="2" t="s">
        <v>15</v>
      </c>
      <c r="F952" s="2" t="s">
        <v>357</v>
      </c>
    </row>
    <row r="953" spans="1:29" x14ac:dyDescent="0.25">
      <c r="B953" s="2" t="s">
        <v>317</v>
      </c>
      <c r="F953" s="310">
        <f ca="1">U889</f>
        <v>2273.4316666666664</v>
      </c>
    </row>
    <row r="954" spans="1:29" x14ac:dyDescent="0.25">
      <c r="B954" s="2" t="s">
        <v>276</v>
      </c>
      <c r="F954" s="310">
        <f ca="1">L894</f>
        <v>528</v>
      </c>
    </row>
    <row r="955" spans="1:29" x14ac:dyDescent="0.25">
      <c r="B955" s="2" t="s">
        <v>342</v>
      </c>
      <c r="F955" s="310">
        <v>0</v>
      </c>
      <c r="P955" s="4"/>
    </row>
    <row r="956" spans="1:29" x14ac:dyDescent="0.25">
      <c r="B956" s="2" t="s">
        <v>343</v>
      </c>
      <c r="F956" s="310">
        <f>M913</f>
        <v>5442.78</v>
      </c>
    </row>
    <row r="957" spans="1:29" x14ac:dyDescent="0.25">
      <c r="B957" s="2" t="s">
        <v>345</v>
      </c>
      <c r="F957" s="310">
        <f>L927</f>
        <v>1125</v>
      </c>
    </row>
    <row r="958" spans="1:29" x14ac:dyDescent="0.25">
      <c r="B958" s="2" t="s">
        <v>516</v>
      </c>
      <c r="F958" s="310">
        <f ca="1">AC950</f>
        <v>883.06</v>
      </c>
    </row>
    <row r="959" spans="1:29" x14ac:dyDescent="0.25">
      <c r="E959" s="332" t="s">
        <v>329</v>
      </c>
      <c r="F959" s="331">
        <f ca="1">SUM(F953:F958)</f>
        <v>10252.271666666666</v>
      </c>
    </row>
    <row r="961" spans="1:21" x14ac:dyDescent="0.25">
      <c r="A961" s="342" t="s">
        <v>1011</v>
      </c>
      <c r="B961" s="342" t="s">
        <v>539</v>
      </c>
      <c r="C961" s="342"/>
      <c r="D961" s="342"/>
      <c r="E961" s="342"/>
      <c r="F961" s="342"/>
    </row>
    <row r="962" spans="1:21" x14ac:dyDescent="0.25">
      <c r="A962" s="4" t="s">
        <v>61</v>
      </c>
      <c r="B962" s="2" t="s">
        <v>338</v>
      </c>
    </row>
    <row r="963" spans="1:21" x14ac:dyDescent="0.25">
      <c r="B963" s="2" t="s">
        <v>504</v>
      </c>
    </row>
    <row r="965" spans="1:21" x14ac:dyDescent="0.25">
      <c r="B965" s="2">
        <v>1</v>
      </c>
      <c r="C965" s="2" t="s">
        <v>491</v>
      </c>
      <c r="D965" s="2" t="s">
        <v>489</v>
      </c>
      <c r="E965" s="2">
        <v>1.5</v>
      </c>
      <c r="F965" s="2" t="s">
        <v>411</v>
      </c>
    </row>
    <row r="966" spans="1:21" x14ac:dyDescent="0.25">
      <c r="B966" s="2">
        <v>1</v>
      </c>
      <c r="C966" s="2" t="s">
        <v>492</v>
      </c>
      <c r="E966" s="2" t="s">
        <v>493</v>
      </c>
      <c r="F966" s="2">
        <v>4</v>
      </c>
      <c r="G966" s="2" t="s">
        <v>200</v>
      </c>
    </row>
    <row r="968" spans="1:21" x14ac:dyDescent="0.25">
      <c r="B968" s="2" t="s">
        <v>199</v>
      </c>
      <c r="D968" s="2" t="s">
        <v>494</v>
      </c>
      <c r="E968" s="4"/>
      <c r="F968" s="4" t="s">
        <v>224</v>
      </c>
      <c r="G968" s="4" t="s">
        <v>855</v>
      </c>
      <c r="H968" s="4"/>
      <c r="I968" s="4" t="s">
        <v>325</v>
      </c>
      <c r="K968" s="4"/>
    </row>
    <row r="969" spans="1:21" x14ac:dyDescent="0.25">
      <c r="B969" s="238">
        <f>'Carac trecho'!I32</f>
        <v>15</v>
      </c>
      <c r="D969" s="2">
        <f>ROUND(B969/E965,0)</f>
        <v>10</v>
      </c>
      <c r="E969" s="238"/>
      <c r="F969" s="2">
        <f>D969/F966</f>
        <v>2.5</v>
      </c>
      <c r="G969" s="238">
        <f>'Carac trecho'!C43</f>
        <v>5</v>
      </c>
      <c r="I969" s="238">
        <f>F969+G969</f>
        <v>7.5</v>
      </c>
      <c r="J969" s="4" t="s">
        <v>201</v>
      </c>
      <c r="K969" s="238">
        <f>ROUNDUP(I969*Listas!$E$5,0)</f>
        <v>9</v>
      </c>
      <c r="L969" s="2" t="s">
        <v>473</v>
      </c>
    </row>
    <row r="970" spans="1:21" x14ac:dyDescent="0.25">
      <c r="M970" s="238"/>
      <c r="O970" s="238"/>
    </row>
    <row r="971" spans="1:21" x14ac:dyDescent="0.25">
      <c r="B971" s="2" t="s">
        <v>474</v>
      </c>
      <c r="C971" s="2">
        <v>1</v>
      </c>
      <c r="D971" s="2" t="s">
        <v>475</v>
      </c>
      <c r="E971" s="4" t="s">
        <v>201</v>
      </c>
      <c r="F971" s="2">
        <f>I969/C971</f>
        <v>7.5</v>
      </c>
      <c r="G971" s="2" t="s">
        <v>472</v>
      </c>
      <c r="I971" s="4"/>
      <c r="L971" s="4"/>
    </row>
    <row r="972" spans="1:21" x14ac:dyDescent="0.25">
      <c r="F972" s="2">
        <f>ROUNDUP(K969/C971,0)</f>
        <v>9</v>
      </c>
      <c r="G972" s="2" t="s">
        <v>473</v>
      </c>
    </row>
    <row r="974" spans="1:21" x14ac:dyDescent="0.25">
      <c r="B974" s="4" t="s">
        <v>360</v>
      </c>
      <c r="C974" s="2" t="s">
        <v>15</v>
      </c>
      <c r="F974" s="4" t="s">
        <v>321</v>
      </c>
      <c r="G974" s="4"/>
      <c r="H974" s="4" t="s">
        <v>322</v>
      </c>
      <c r="I974" s="4"/>
      <c r="J974" s="4" t="s">
        <v>323</v>
      </c>
      <c r="K974" s="4"/>
      <c r="L974" s="4" t="s">
        <v>324</v>
      </c>
      <c r="M974" s="4"/>
      <c r="N974" s="4" t="s">
        <v>325</v>
      </c>
      <c r="O974" s="4"/>
      <c r="P974" s="4" t="s">
        <v>326</v>
      </c>
      <c r="Q974" s="4"/>
      <c r="R974" s="4" t="s">
        <v>327</v>
      </c>
      <c r="S974" s="4"/>
      <c r="T974" s="4" t="s">
        <v>328</v>
      </c>
      <c r="U974" s="4" t="s">
        <v>329</v>
      </c>
    </row>
    <row r="975" spans="1:21" x14ac:dyDescent="0.25">
      <c r="B975" s="4"/>
      <c r="F975" s="4"/>
      <c r="G975" s="4"/>
      <c r="H975" s="4" t="s">
        <v>330</v>
      </c>
      <c r="I975" s="4"/>
      <c r="J975" s="4" t="s">
        <v>331</v>
      </c>
      <c r="K975" s="4"/>
      <c r="L975" s="4" t="s">
        <v>332</v>
      </c>
      <c r="M975" s="4"/>
      <c r="N975" s="4" t="s">
        <v>333</v>
      </c>
      <c r="O975" s="4"/>
      <c r="P975" s="4" t="s">
        <v>334</v>
      </c>
      <c r="Q975" s="4"/>
      <c r="R975" s="4" t="s">
        <v>335</v>
      </c>
      <c r="S975" s="4"/>
      <c r="T975" s="4" t="s">
        <v>336</v>
      </c>
      <c r="U975" s="4" t="s">
        <v>337</v>
      </c>
    </row>
    <row r="976" spans="1:21" x14ac:dyDescent="0.25">
      <c r="B976" s="4" t="s">
        <v>136</v>
      </c>
      <c r="C976" s="2" t="str">
        <f ca="1">IFERROR(VLOOKUP(B976,MO_Matriz,2,0),"")</f>
        <v>Laboratorista</v>
      </c>
      <c r="F976" s="4" t="str">
        <f ca="1">IFERROR(VLOOKUP(B976,MO_Matriz,3,0),"")</f>
        <v>T</v>
      </c>
      <c r="H976" s="2">
        <f>$C$971</f>
        <v>1</v>
      </c>
      <c r="J976" s="2">
        <v>1</v>
      </c>
      <c r="L976" s="2">
        <f>Listas!$B$6</f>
        <v>7.333333333333333</v>
      </c>
      <c r="N976" s="2">
        <f>$F$971</f>
        <v>7.5</v>
      </c>
      <c r="P976" s="2">
        <f>H976*J976*L976*N976</f>
        <v>55</v>
      </c>
      <c r="R976" s="2">
        <f>P976/220</f>
        <v>0.25</v>
      </c>
      <c r="T976" s="310">
        <f ca="1">IFERROR(VLOOKUP(B976,MO_Matriz,5,0),"")</f>
        <v>5615.95</v>
      </c>
      <c r="U976" s="310">
        <f ca="1">R976*T976</f>
        <v>1403.9875</v>
      </c>
    </row>
    <row r="977" spans="1:21" x14ac:dyDescent="0.25">
      <c r="B977" s="4" t="s">
        <v>64</v>
      </c>
      <c r="C977" s="2" t="str">
        <f ca="1">IFERROR(VLOOKUP(B977,MO_Matriz,2,0),"")</f>
        <v>Auxiliar de laboratório</v>
      </c>
      <c r="F977" s="4" t="str">
        <f ca="1">IFERROR(VLOOKUP(B977,MO_Matriz,3,0),"")</f>
        <v>A</v>
      </c>
      <c r="H977" s="2">
        <f>$C$971</f>
        <v>1</v>
      </c>
      <c r="J977" s="2">
        <v>1</v>
      </c>
      <c r="L977" s="2">
        <f>Listas!$B$6</f>
        <v>7.333333333333333</v>
      </c>
      <c r="N977" s="2">
        <f>$F$971</f>
        <v>7.5</v>
      </c>
      <c r="P977" s="2">
        <f>H977*J977*L977*N977</f>
        <v>55</v>
      </c>
      <c r="R977" s="2">
        <f>P977/220</f>
        <v>0.25</v>
      </c>
      <c r="T977" s="310">
        <f ca="1">IFERROR(VLOOKUP(B977,MO_Matriz,5,0),"")</f>
        <v>4554.09</v>
      </c>
      <c r="U977" s="310">
        <f ca="1">R977*T977</f>
        <v>1138.5225</v>
      </c>
    </row>
    <row r="978" spans="1:21" x14ac:dyDescent="0.25">
      <c r="T978" s="332" t="s">
        <v>329</v>
      </c>
      <c r="U978" s="331">
        <f ca="1">SUM(U976:U977)</f>
        <v>2542.5100000000002</v>
      </c>
    </row>
    <row r="980" spans="1:21" x14ac:dyDescent="0.25">
      <c r="A980" s="329" t="s">
        <v>339</v>
      </c>
      <c r="B980" s="2" t="s">
        <v>340</v>
      </c>
    </row>
    <row r="981" spans="1:21" x14ac:dyDescent="0.25">
      <c r="B981" s="2" t="s">
        <v>341</v>
      </c>
    </row>
    <row r="983" spans="1:21" x14ac:dyDescent="0.25">
      <c r="A983" s="4" t="s">
        <v>348</v>
      </c>
      <c r="B983" s="2" t="s">
        <v>349</v>
      </c>
    </row>
    <row r="984" spans="1:21" x14ac:dyDescent="0.25">
      <c r="A984" s="4" t="s">
        <v>451</v>
      </c>
      <c r="B984" s="2" t="s">
        <v>452</v>
      </c>
    </row>
    <row r="985" spans="1:21" x14ac:dyDescent="0.25">
      <c r="B985" s="4" t="s">
        <v>360</v>
      </c>
      <c r="C985" s="2" t="s">
        <v>15</v>
      </c>
      <c r="F985" s="4" t="s">
        <v>321</v>
      </c>
      <c r="G985" s="4"/>
      <c r="H985" s="4" t="s">
        <v>453</v>
      </c>
      <c r="I985" s="4"/>
      <c r="J985" s="4" t="s">
        <v>454</v>
      </c>
    </row>
    <row r="986" spans="1:21" x14ac:dyDescent="0.25">
      <c r="B986" s="4" t="str">
        <f>B976</f>
        <v>P8098</v>
      </c>
      <c r="C986" s="2" t="str">
        <f ca="1">IFERROR(VLOOKUP(B986,MO_Matriz,2,0),"")</f>
        <v>Laboratorista</v>
      </c>
      <c r="F986" s="4" t="str">
        <f ca="1">IFERROR(VLOOKUP(B986,MO_Matriz,3,0),"")</f>
        <v>T</v>
      </c>
      <c r="H986" s="2" t="s">
        <v>455</v>
      </c>
      <c r="J986" s="2">
        <f>J976</f>
        <v>1</v>
      </c>
    </row>
    <row r="987" spans="1:21" x14ac:dyDescent="0.25">
      <c r="B987" s="4" t="str">
        <f t="shared" ref="B987" si="31">B977</f>
        <v>P8027</v>
      </c>
      <c r="C987" s="2" t="str">
        <f ca="1">IFERROR(VLOOKUP(B987,MO_Matriz,2,0),"")</f>
        <v>Auxiliar de laboratório</v>
      </c>
      <c r="F987" s="4" t="str">
        <f ca="1">IFERROR(VLOOKUP(B987,MO_Matriz,3,0),"")</f>
        <v>A</v>
      </c>
      <c r="H987" s="2" t="s">
        <v>455</v>
      </c>
      <c r="J987" s="2">
        <f>J977</f>
        <v>1</v>
      </c>
    </row>
    <row r="988" spans="1:21" x14ac:dyDescent="0.25">
      <c r="I988" s="332" t="s">
        <v>329</v>
      </c>
      <c r="J988" s="332">
        <f>SUM(J986:J987)</f>
        <v>2</v>
      </c>
    </row>
    <row r="990" spans="1:21" x14ac:dyDescent="0.25">
      <c r="A990" s="4" t="s">
        <v>456</v>
      </c>
      <c r="B990" s="2" t="s">
        <v>457</v>
      </c>
    </row>
    <row r="991" spans="1:21" x14ac:dyDescent="0.25">
      <c r="A991" s="4"/>
      <c r="B991" s="2" t="s">
        <v>1032</v>
      </c>
    </row>
    <row r="992" spans="1:21" x14ac:dyDescent="0.25">
      <c r="A992" s="4"/>
    </row>
    <row r="993" spans="1:12" x14ac:dyDescent="0.25">
      <c r="A993" s="4" t="s">
        <v>350</v>
      </c>
      <c r="B993" s="2" t="s">
        <v>351</v>
      </c>
    </row>
    <row r="994" spans="1:12" x14ac:dyDescent="0.25">
      <c r="B994" s="4" t="s">
        <v>320</v>
      </c>
      <c r="C994" s="2" t="s">
        <v>15</v>
      </c>
      <c r="E994" s="4" t="s">
        <v>202</v>
      </c>
      <c r="F994" s="4" t="s">
        <v>224</v>
      </c>
      <c r="G994" s="4" t="s">
        <v>361</v>
      </c>
      <c r="H994" s="4"/>
      <c r="I994" s="4" t="s">
        <v>478</v>
      </c>
      <c r="K994" s="330" t="s">
        <v>396</v>
      </c>
      <c r="L994" s="330"/>
    </row>
    <row r="995" spans="1:12" x14ac:dyDescent="0.25">
      <c r="B995" s="4"/>
      <c r="E995" s="4" t="s">
        <v>363</v>
      </c>
      <c r="F995" s="4" t="s">
        <v>330</v>
      </c>
      <c r="G995" s="4" t="s">
        <v>364</v>
      </c>
      <c r="H995" s="4"/>
      <c r="I995" s="4" t="s">
        <v>332</v>
      </c>
      <c r="K995" s="330" t="s">
        <v>365</v>
      </c>
      <c r="L995" s="330"/>
    </row>
    <row r="996" spans="1:12" x14ac:dyDescent="0.25">
      <c r="B996" s="4" t="s">
        <v>292</v>
      </c>
      <c r="C996" s="2" t="str">
        <f>VLOOKUP(B996,'Imóveis-Mobiliários-Cestas-Dive'!$B$2:$F$13,3,0)</f>
        <v>Laboratório de solos</v>
      </c>
      <c r="E996" s="2">
        <f>C971</f>
        <v>1</v>
      </c>
      <c r="F996" s="2">
        <f>F971</f>
        <v>7.5</v>
      </c>
      <c r="G996" s="2">
        <f>F996/30</f>
        <v>0.25</v>
      </c>
      <c r="I996" s="310">
        <f>VLOOKUP(B996,'Imóveis-Mobiliários-Cestas-Dive'!$B$2:$F$13,5,0)</f>
        <v>3520.5</v>
      </c>
      <c r="K996" s="331">
        <f>I996*E996*G996</f>
        <v>880.125</v>
      </c>
      <c r="L996" s="331"/>
    </row>
    <row r="998" spans="1:12" x14ac:dyDescent="0.25">
      <c r="A998" s="4" t="s">
        <v>197</v>
      </c>
      <c r="B998" s="2" t="s">
        <v>352</v>
      </c>
    </row>
    <row r="999" spans="1:12" x14ac:dyDescent="0.25">
      <c r="A999" s="4"/>
      <c r="B999" s="2" t="s">
        <v>346</v>
      </c>
    </row>
    <row r="1001" spans="1:12" x14ac:dyDescent="0.25">
      <c r="A1001" s="4" t="s">
        <v>353</v>
      </c>
      <c r="B1001" s="2" t="s">
        <v>354</v>
      </c>
    </row>
    <row r="1002" spans="1:12" x14ac:dyDescent="0.25">
      <c r="B1002" s="2" t="s">
        <v>347</v>
      </c>
      <c r="H1002" s="310"/>
      <c r="I1002" s="4"/>
      <c r="J1002" s="346"/>
    </row>
    <row r="1004" spans="1:12" x14ac:dyDescent="0.25">
      <c r="A1004" s="4" t="s">
        <v>386</v>
      </c>
      <c r="B1004" s="2" t="s">
        <v>366</v>
      </c>
    </row>
    <row r="1005" spans="1:12" x14ac:dyDescent="0.25">
      <c r="B1005" s="2" t="s">
        <v>347</v>
      </c>
    </row>
    <row r="1007" spans="1:12" x14ac:dyDescent="0.25">
      <c r="A1007" s="4" t="s">
        <v>355</v>
      </c>
      <c r="B1007" s="2" t="s">
        <v>356</v>
      </c>
    </row>
    <row r="1008" spans="1:12" x14ac:dyDescent="0.25">
      <c r="B1008" s="2" t="s">
        <v>15</v>
      </c>
      <c r="F1008" s="2" t="s">
        <v>357</v>
      </c>
    </row>
    <row r="1009" spans="1:12" x14ac:dyDescent="0.25">
      <c r="B1009" s="2" t="s">
        <v>317</v>
      </c>
      <c r="F1009" s="310">
        <f ca="1">U978</f>
        <v>2542.5100000000002</v>
      </c>
    </row>
    <row r="1010" spans="1:12" x14ac:dyDescent="0.25">
      <c r="B1010" s="2" t="s">
        <v>276</v>
      </c>
      <c r="F1010" s="310">
        <v>0</v>
      </c>
    </row>
    <row r="1011" spans="1:12" x14ac:dyDescent="0.25">
      <c r="B1011" s="2" t="s">
        <v>342</v>
      </c>
      <c r="F1011" s="310">
        <v>0</v>
      </c>
    </row>
    <row r="1012" spans="1:12" x14ac:dyDescent="0.25">
      <c r="B1012" s="2" t="s">
        <v>343</v>
      </c>
      <c r="F1012" s="310">
        <f>K996</f>
        <v>880.125</v>
      </c>
    </row>
    <row r="1013" spans="1:12" x14ac:dyDescent="0.25">
      <c r="B1013" s="2" t="s">
        <v>345</v>
      </c>
      <c r="F1013" s="310">
        <v>0</v>
      </c>
    </row>
    <row r="1014" spans="1:12" x14ac:dyDescent="0.25">
      <c r="B1014" s="2" t="s">
        <v>516</v>
      </c>
      <c r="F1014" s="310">
        <v>0</v>
      </c>
    </row>
    <row r="1015" spans="1:12" x14ac:dyDescent="0.25">
      <c r="E1015" s="332" t="s">
        <v>329</v>
      </c>
      <c r="F1015" s="331">
        <f ca="1">SUM(F1009:F1014)</f>
        <v>3422.6350000000002</v>
      </c>
    </row>
    <row r="1017" spans="1:12" x14ac:dyDescent="0.25">
      <c r="A1017" s="342" t="s">
        <v>1012</v>
      </c>
      <c r="B1017" s="342" t="s">
        <v>507</v>
      </c>
      <c r="C1017" s="342"/>
      <c r="D1017" s="342"/>
      <c r="E1017" s="342"/>
      <c r="F1017" s="342"/>
      <c r="G1017" s="342"/>
    </row>
    <row r="1018" spans="1:12" x14ac:dyDescent="0.25">
      <c r="B1018" s="2" t="s">
        <v>1028</v>
      </c>
    </row>
    <row r="1019" spans="1:12" x14ac:dyDescent="0.25">
      <c r="B1019" s="2" t="s">
        <v>379</v>
      </c>
    </row>
    <row r="1021" spans="1:12" x14ac:dyDescent="0.25">
      <c r="B1021" s="2" t="s">
        <v>15</v>
      </c>
      <c r="H1021" s="2" t="s">
        <v>325</v>
      </c>
      <c r="J1021" s="2" t="s">
        <v>381</v>
      </c>
    </row>
    <row r="1022" spans="1:12" x14ac:dyDescent="0.25">
      <c r="B1022" s="2" t="s">
        <v>488</v>
      </c>
      <c r="H1022" s="2">
        <f>N881</f>
        <v>5</v>
      </c>
      <c r="J1022" s="2">
        <f>ROUNDUP(H1022*Listas!$E$5,0)</f>
        <v>6</v>
      </c>
    </row>
    <row r="1023" spans="1:12" x14ac:dyDescent="0.25">
      <c r="B1023" s="2" t="s">
        <v>490</v>
      </c>
      <c r="H1023" s="238">
        <f>F971</f>
        <v>7.5</v>
      </c>
      <c r="J1023" s="2">
        <f>ROUNDUP(H1023*Listas!$E$5,0)</f>
        <v>9</v>
      </c>
      <c r="K1023" s="4" t="s">
        <v>201</v>
      </c>
      <c r="L1023" s="2" t="s">
        <v>380</v>
      </c>
    </row>
    <row r="1025" spans="1:21" x14ac:dyDescent="0.25">
      <c r="B1025" s="2" t="s">
        <v>15</v>
      </c>
      <c r="E1025" s="2" t="s">
        <v>856</v>
      </c>
      <c r="G1025" s="2" t="s">
        <v>224</v>
      </c>
      <c r="H1025" s="2" t="s">
        <v>855</v>
      </c>
      <c r="J1025" s="2" t="s">
        <v>325</v>
      </c>
    </row>
    <row r="1026" spans="1:21" x14ac:dyDescent="0.25">
      <c r="B1026" s="2" t="s">
        <v>382</v>
      </c>
      <c r="E1026" s="238">
        <f>'Carac trecho'!I52</f>
        <v>6</v>
      </c>
      <c r="G1026" s="2">
        <f>'Qd abrang'!C7/E1026</f>
        <v>0.28333333333333333</v>
      </c>
      <c r="H1026" s="238">
        <f>'Carac trecho'!H52</f>
        <v>3</v>
      </c>
      <c r="J1026" s="238">
        <f>G1026+H1026</f>
        <v>3.2833333333333332</v>
      </c>
      <c r="K1026" s="4" t="s">
        <v>201</v>
      </c>
      <c r="L1026" s="238">
        <f>ROUNDUP(J1026*Listas!$E$5,0)</f>
        <v>4</v>
      </c>
      <c r="M1026" s="2" t="s">
        <v>473</v>
      </c>
    </row>
    <row r="1028" spans="1:21" x14ac:dyDescent="0.25">
      <c r="B1028" s="2" t="s">
        <v>474</v>
      </c>
    </row>
    <row r="1029" spans="1:21" x14ac:dyDescent="0.25">
      <c r="B1029" s="2" t="s">
        <v>15</v>
      </c>
      <c r="F1029" s="4" t="s">
        <v>325</v>
      </c>
      <c r="K1029" s="2" t="s">
        <v>381</v>
      </c>
    </row>
    <row r="1030" spans="1:21" x14ac:dyDescent="0.25">
      <c r="B1030" s="2" t="str">
        <f>B1022</f>
        <v>Sondagens subleito, cortes, caixas de empréstimo e  jazidas de solo</v>
      </c>
      <c r="F1030" s="238">
        <f>H1022</f>
        <v>5</v>
      </c>
    </row>
    <row r="1031" spans="1:21" x14ac:dyDescent="0.25">
      <c r="B1031" s="2" t="s">
        <v>490</v>
      </c>
      <c r="F1031" s="238">
        <f>H1023</f>
        <v>7.5</v>
      </c>
      <c r="K1031" s="2">
        <f>ROUNDUP(F1031*Listas!$E$5,0)</f>
        <v>9</v>
      </c>
    </row>
    <row r="1032" spans="1:21" x14ac:dyDescent="0.25">
      <c r="B1032" s="2" t="s">
        <v>382</v>
      </c>
      <c r="F1032" s="238">
        <f>J1026</f>
        <v>3.2833333333333332</v>
      </c>
      <c r="G1032" s="4" t="s">
        <v>201</v>
      </c>
      <c r="H1032" s="2">
        <f>F1032/2</f>
        <v>1.6416666666666666</v>
      </c>
      <c r="I1032" s="2" t="s">
        <v>445</v>
      </c>
      <c r="K1032" s="2">
        <f>ROUNDUP(F1032*Listas!$E$5,0)</f>
        <v>4</v>
      </c>
      <c r="L1032" s="4" t="s">
        <v>201</v>
      </c>
      <c r="M1032" s="2">
        <f>K1032/2</f>
        <v>2</v>
      </c>
      <c r="N1032" s="2" t="s">
        <v>445</v>
      </c>
    </row>
    <row r="1033" spans="1:21" x14ac:dyDescent="0.25">
      <c r="B1033" s="2" t="s">
        <v>501</v>
      </c>
      <c r="F1033" s="238">
        <f>SUM(F1030:F1032)</f>
        <v>15.783333333333333</v>
      </c>
      <c r="G1033" s="4"/>
      <c r="H1033" s="347">
        <f>F1032/2</f>
        <v>1.6416666666666666</v>
      </c>
      <c r="I1033" s="2" t="s">
        <v>447</v>
      </c>
      <c r="K1033" s="2">
        <f>ROUNDUP(F1033*Listas!$E$5,0)</f>
        <v>19</v>
      </c>
      <c r="L1033" s="4"/>
      <c r="M1033" s="2">
        <f>K1032/2</f>
        <v>2</v>
      </c>
      <c r="N1033" s="2" t="s">
        <v>447</v>
      </c>
    </row>
    <row r="1034" spans="1:21" x14ac:dyDescent="0.25">
      <c r="F1034" s="238"/>
      <c r="G1034" s="4"/>
      <c r="L1034" s="4"/>
    </row>
    <row r="1035" spans="1:21" x14ac:dyDescent="0.25">
      <c r="A1035" s="4" t="s">
        <v>61</v>
      </c>
      <c r="B1035" s="2" t="s">
        <v>338</v>
      </c>
      <c r="F1035" s="238"/>
      <c r="G1035" s="4"/>
      <c r="L1035" s="4"/>
    </row>
    <row r="1036" spans="1:21" x14ac:dyDescent="0.25">
      <c r="B1036" s="4" t="s">
        <v>360</v>
      </c>
      <c r="C1036" s="2" t="s">
        <v>15</v>
      </c>
      <c r="F1036" s="4" t="s">
        <v>321</v>
      </c>
      <c r="G1036" s="4"/>
      <c r="H1036" s="4" t="s">
        <v>322</v>
      </c>
      <c r="I1036" s="4"/>
      <c r="J1036" s="4" t="s">
        <v>323</v>
      </c>
      <c r="K1036" s="4"/>
      <c r="L1036" s="4" t="s">
        <v>324</v>
      </c>
      <c r="M1036" s="4"/>
      <c r="N1036" s="4" t="s">
        <v>325</v>
      </c>
      <c r="O1036" s="4"/>
      <c r="P1036" s="4" t="s">
        <v>326</v>
      </c>
      <c r="Q1036" s="4"/>
      <c r="R1036" s="4" t="s">
        <v>327</v>
      </c>
      <c r="S1036" s="4"/>
      <c r="T1036" s="4" t="s">
        <v>328</v>
      </c>
      <c r="U1036" s="4" t="s">
        <v>329</v>
      </c>
    </row>
    <row r="1037" spans="1:21" x14ac:dyDescent="0.25">
      <c r="B1037" s="4"/>
      <c r="F1037" s="4"/>
      <c r="G1037" s="4"/>
      <c r="H1037" s="4" t="s">
        <v>330</v>
      </c>
      <c r="I1037" s="4"/>
      <c r="J1037" s="4" t="s">
        <v>331</v>
      </c>
      <c r="K1037" s="4"/>
      <c r="L1037" s="4" t="s">
        <v>332</v>
      </c>
      <c r="M1037" s="4"/>
      <c r="N1037" s="4" t="s">
        <v>333</v>
      </c>
      <c r="O1037" s="4"/>
      <c r="P1037" s="4" t="s">
        <v>334</v>
      </c>
      <c r="Q1037" s="4"/>
      <c r="R1037" s="4" t="s">
        <v>335</v>
      </c>
      <c r="S1037" s="4"/>
      <c r="T1037" s="4" t="s">
        <v>336</v>
      </c>
      <c r="U1037" s="4" t="s">
        <v>337</v>
      </c>
    </row>
    <row r="1038" spans="1:21" x14ac:dyDescent="0.25">
      <c r="B1038" s="4" t="s">
        <v>112</v>
      </c>
      <c r="C1038" s="2" t="str">
        <f ca="1">IFERROR(VLOOKUP(B1038,MO_Matriz,2,0),"")</f>
        <v>Engenheiro de projetos júnior</v>
      </c>
      <c r="F1038" s="4" t="str">
        <f ca="1">IFERROR(VLOOKUP(B1038,MO_Matriz,3,0),"")</f>
        <v>S</v>
      </c>
      <c r="H1038" s="2">
        <v>1</v>
      </c>
      <c r="J1038" s="2">
        <v>1</v>
      </c>
      <c r="L1038" s="2">
        <f>Listas!$B$6</f>
        <v>7.333333333333333</v>
      </c>
      <c r="N1038" s="348">
        <f>$F$1032</f>
        <v>3.2833333333333332</v>
      </c>
      <c r="P1038" s="2">
        <f>H1038*J1038*L1038*N1038</f>
        <v>24.077777777777776</v>
      </c>
      <c r="R1038" s="2">
        <f>P1038/220</f>
        <v>0.10944444444444444</v>
      </c>
      <c r="T1038" s="310">
        <f ca="1">IFERROR(VLOOKUP(B1038,MO_Matriz,5,0),"")</f>
        <v>24288.81</v>
      </c>
      <c r="U1038" s="310">
        <f ca="1">R1038*T1038</f>
        <v>2658.2753166666666</v>
      </c>
    </row>
    <row r="1039" spans="1:21" x14ac:dyDescent="0.25">
      <c r="B1039" s="4" t="s">
        <v>136</v>
      </c>
      <c r="C1039" s="2" t="str">
        <f ca="1">IFERROR(VLOOKUP(B1039,MO_Matriz,2,0),"")</f>
        <v>Laboratorista</v>
      </c>
      <c r="F1039" s="4" t="str">
        <f ca="1">IFERROR(VLOOKUP(B1039,MO_Matriz,3,0),"")</f>
        <v>T</v>
      </c>
      <c r="H1039" s="2">
        <v>1</v>
      </c>
      <c r="J1039" s="2">
        <v>1</v>
      </c>
      <c r="L1039" s="2">
        <f>Listas!$B$6</f>
        <v>7.333333333333333</v>
      </c>
      <c r="N1039" s="348">
        <f>$F$1032</f>
        <v>3.2833333333333332</v>
      </c>
      <c r="P1039" s="2">
        <f>H1039*J1039*L1039*N1039</f>
        <v>24.077777777777776</v>
      </c>
      <c r="R1039" s="2">
        <f>P1039/220</f>
        <v>0.10944444444444444</v>
      </c>
      <c r="T1039" s="310">
        <f ca="1">IFERROR(VLOOKUP(B1039,MO_Matriz,5,0),"")</f>
        <v>5615.95</v>
      </c>
      <c r="U1039" s="310">
        <f ca="1">R1039*T1039</f>
        <v>614.63452777777775</v>
      </c>
    </row>
    <row r="1040" spans="1:21" x14ac:dyDescent="0.25">
      <c r="T1040" s="332" t="s">
        <v>329</v>
      </c>
      <c r="U1040" s="331">
        <f ca="1">SUM(U1038:U1039)</f>
        <v>3272.9098444444444</v>
      </c>
    </row>
    <row r="1041" spans="1:10" x14ac:dyDescent="0.25">
      <c r="A1041" s="329" t="s">
        <v>339</v>
      </c>
      <c r="B1041" s="2" t="s">
        <v>340</v>
      </c>
    </row>
    <row r="1042" spans="1:10" x14ac:dyDescent="0.25">
      <c r="B1042" s="2" t="s">
        <v>341</v>
      </c>
    </row>
    <row r="1044" spans="1:10" x14ac:dyDescent="0.25">
      <c r="A1044" s="4" t="s">
        <v>348</v>
      </c>
      <c r="B1044" s="2" t="s">
        <v>349</v>
      </c>
    </row>
    <row r="1045" spans="1:10" x14ac:dyDescent="0.25">
      <c r="A1045" s="4" t="s">
        <v>451</v>
      </c>
      <c r="B1045" s="2" t="s">
        <v>452</v>
      </c>
    </row>
    <row r="1046" spans="1:10" x14ac:dyDescent="0.25">
      <c r="B1046" s="4" t="s">
        <v>360</v>
      </c>
      <c r="C1046" s="2" t="s">
        <v>15</v>
      </c>
      <c r="F1046" s="4" t="s">
        <v>321</v>
      </c>
      <c r="G1046" s="4"/>
      <c r="H1046" s="4" t="s">
        <v>453</v>
      </c>
      <c r="I1046" s="4"/>
      <c r="J1046" s="4" t="s">
        <v>454</v>
      </c>
    </row>
    <row r="1047" spans="1:10" x14ac:dyDescent="0.25">
      <c r="B1047" s="4" t="str">
        <f>B1038</f>
        <v>P8065</v>
      </c>
      <c r="C1047" s="2" t="str">
        <f ca="1">IFERROR(VLOOKUP(B1047,MO_Matriz,2,0),"")</f>
        <v>Engenheiro de projetos júnior</v>
      </c>
      <c r="F1047" s="4" t="str">
        <f ca="1">IFERROR(VLOOKUP(B1047,MO_Matriz,3,0),"")</f>
        <v>S</v>
      </c>
      <c r="H1047" s="2" t="s">
        <v>455</v>
      </c>
      <c r="J1047" s="2">
        <v>1</v>
      </c>
    </row>
    <row r="1048" spans="1:10" x14ac:dyDescent="0.25">
      <c r="B1048" s="4" t="str">
        <f>B1039</f>
        <v>P8098</v>
      </c>
      <c r="C1048" s="2" t="str">
        <f ca="1">IFERROR(VLOOKUP(B1048,MO_Matriz,2,0),"")</f>
        <v>Laboratorista</v>
      </c>
      <c r="F1048" s="4" t="str">
        <f ca="1">IFERROR(VLOOKUP(B1048,MO_Matriz,3,0),"")</f>
        <v>T</v>
      </c>
      <c r="H1048" s="2" t="s">
        <v>455</v>
      </c>
      <c r="J1048" s="2">
        <v>1</v>
      </c>
    </row>
    <row r="1049" spans="1:10" x14ac:dyDescent="0.25">
      <c r="I1049" s="332" t="s">
        <v>329</v>
      </c>
      <c r="J1049" s="332">
        <f>SUM(J1047:J1048)</f>
        <v>2</v>
      </c>
    </row>
    <row r="1051" spans="1:10" x14ac:dyDescent="0.25">
      <c r="A1051" s="4" t="s">
        <v>456</v>
      </c>
      <c r="B1051" s="2" t="s">
        <v>457</v>
      </c>
    </row>
    <row r="1052" spans="1:10" x14ac:dyDescent="0.25">
      <c r="A1052" s="4"/>
      <c r="B1052" s="2" t="s">
        <v>1032</v>
      </c>
    </row>
    <row r="1053" spans="1:10" x14ac:dyDescent="0.25">
      <c r="A1053" s="4"/>
    </row>
    <row r="1054" spans="1:10" x14ac:dyDescent="0.25">
      <c r="A1054" s="4" t="s">
        <v>350</v>
      </c>
      <c r="B1054" s="2" t="s">
        <v>351</v>
      </c>
    </row>
    <row r="1055" spans="1:10" x14ac:dyDescent="0.25">
      <c r="B1055" s="2" t="s">
        <v>344</v>
      </c>
    </row>
    <row r="1057" spans="1:16" x14ac:dyDescent="0.25">
      <c r="A1057" s="4" t="s">
        <v>197</v>
      </c>
      <c r="B1057" s="2" t="s">
        <v>352</v>
      </c>
    </row>
    <row r="1058" spans="1:16" s="28" customFormat="1" ht="17.25" x14ac:dyDescent="0.25">
      <c r="A1058" s="2"/>
      <c r="B1058" s="2" t="s">
        <v>346</v>
      </c>
      <c r="C1058" s="2"/>
      <c r="D1058" s="2"/>
      <c r="E1058" s="2"/>
      <c r="F1058" s="2"/>
      <c r="G1058" s="2"/>
      <c r="H1058" s="2"/>
      <c r="I1058" s="2"/>
      <c r="J1058" s="2"/>
      <c r="K1058" s="2"/>
      <c r="L1058" s="2"/>
      <c r="M1058" s="2"/>
      <c r="N1058" s="2"/>
      <c r="O1058" s="2"/>
    </row>
    <row r="1060" spans="1:16" x14ac:dyDescent="0.25">
      <c r="A1060" s="4" t="s">
        <v>353</v>
      </c>
      <c r="B1060" s="2" t="s">
        <v>354</v>
      </c>
    </row>
    <row r="1061" spans="1:16" x14ac:dyDescent="0.25">
      <c r="B1061" s="2" t="s">
        <v>347</v>
      </c>
    </row>
    <row r="1063" spans="1:16" x14ac:dyDescent="0.25">
      <c r="A1063" s="4" t="s">
        <v>355</v>
      </c>
      <c r="B1063" s="2" t="s">
        <v>356</v>
      </c>
    </row>
    <row r="1064" spans="1:16" x14ac:dyDescent="0.25">
      <c r="B1064" s="2" t="s">
        <v>15</v>
      </c>
      <c r="F1064" s="2" t="s">
        <v>357</v>
      </c>
      <c r="P1064" s="4"/>
    </row>
    <row r="1065" spans="1:16" x14ac:dyDescent="0.25">
      <c r="B1065" s="2" t="s">
        <v>317</v>
      </c>
      <c r="F1065" s="310">
        <f ca="1">U1040</f>
        <v>3272.9098444444444</v>
      </c>
      <c r="P1065" s="4"/>
    </row>
    <row r="1066" spans="1:16" x14ac:dyDescent="0.25">
      <c r="B1066" s="2" t="s">
        <v>276</v>
      </c>
      <c r="F1066" s="310">
        <v>0</v>
      </c>
      <c r="N1066" s="310"/>
    </row>
    <row r="1067" spans="1:16" x14ac:dyDescent="0.25">
      <c r="B1067" s="2" t="s">
        <v>342</v>
      </c>
      <c r="F1067" s="310">
        <v>0</v>
      </c>
      <c r="I1067" s="2" t="s">
        <v>448</v>
      </c>
      <c r="J1067" s="4" t="s">
        <v>406</v>
      </c>
      <c r="K1067" s="2" t="s">
        <v>414</v>
      </c>
    </row>
    <row r="1068" spans="1:16" x14ac:dyDescent="0.25">
      <c r="B1068" s="2" t="s">
        <v>343</v>
      </c>
      <c r="F1068" s="310">
        <v>0</v>
      </c>
      <c r="I1068" s="2" t="s">
        <v>449</v>
      </c>
      <c r="J1068" s="310">
        <v>0</v>
      </c>
      <c r="K1068" s="311">
        <v>0</v>
      </c>
    </row>
    <row r="1069" spans="1:16" x14ac:dyDescent="0.25">
      <c r="B1069" s="2" t="s">
        <v>345</v>
      </c>
      <c r="F1069" s="310">
        <v>0</v>
      </c>
      <c r="I1069" s="2" t="s">
        <v>445</v>
      </c>
      <c r="J1069" s="310">
        <f ca="1">J1071*K1069</f>
        <v>1895.6610873049394</v>
      </c>
      <c r="K1069" s="311">
        <f>(F1031+H1032)/F1033</f>
        <v>0.5791974656810982</v>
      </c>
    </row>
    <row r="1070" spans="1:16" x14ac:dyDescent="0.25">
      <c r="B1070" s="2" t="s">
        <v>516</v>
      </c>
      <c r="F1070" s="310">
        <v>0</v>
      </c>
      <c r="I1070" s="2" t="s">
        <v>447</v>
      </c>
      <c r="J1070" s="310">
        <f ca="1">J1071-J1069</f>
        <v>1377.248757139505</v>
      </c>
      <c r="K1070" s="311">
        <f>K1071-K1069</f>
        <v>0.4208025343189018</v>
      </c>
    </row>
    <row r="1071" spans="1:16" x14ac:dyDescent="0.25">
      <c r="E1071" s="332" t="s">
        <v>329</v>
      </c>
      <c r="F1071" s="331">
        <f ca="1">SUM(F1065:F1070)</f>
        <v>3272.9098444444444</v>
      </c>
      <c r="I1071" s="2" t="s">
        <v>329</v>
      </c>
      <c r="J1071" s="310">
        <f ca="1">F1071</f>
        <v>3272.9098444444444</v>
      </c>
      <c r="K1071" s="311">
        <v>1</v>
      </c>
    </row>
    <row r="1073" spans="1:20" ht="17.25" x14ac:dyDescent="0.25">
      <c r="A1073" s="328" t="s">
        <v>508</v>
      </c>
      <c r="B1073" s="328" t="s">
        <v>519</v>
      </c>
      <c r="C1073" s="328"/>
      <c r="D1073" s="328"/>
      <c r="E1073" s="28"/>
      <c r="G1073" s="28"/>
      <c r="H1073" s="28"/>
      <c r="I1073" s="28"/>
      <c r="J1073" s="28"/>
      <c r="K1073" s="28"/>
      <c r="L1073" s="28"/>
      <c r="M1073" s="28"/>
      <c r="N1073" s="28"/>
      <c r="O1073" s="28"/>
    </row>
    <row r="1074" spans="1:20" x14ac:dyDescent="0.25">
      <c r="A1074" s="4" t="s">
        <v>61</v>
      </c>
      <c r="B1074" s="2" t="s">
        <v>338</v>
      </c>
    </row>
    <row r="1075" spans="1:20" x14ac:dyDescent="0.25">
      <c r="A1075" s="4"/>
      <c r="B1075" s="2" t="s">
        <v>448</v>
      </c>
      <c r="D1075" s="4" t="s">
        <v>225</v>
      </c>
      <c r="F1075" s="4" t="s">
        <v>325</v>
      </c>
      <c r="H1075" s="4" t="s">
        <v>922</v>
      </c>
      <c r="J1075" s="4" t="s">
        <v>924</v>
      </c>
      <c r="L1075" s="4"/>
    </row>
    <row r="1076" spans="1:20" x14ac:dyDescent="0.25">
      <c r="A1076" s="4"/>
      <c r="B1076" s="2" t="s">
        <v>449</v>
      </c>
      <c r="D1076" s="349">
        <f>'Histo esc'!G13</f>
        <v>5.8333333333333339</v>
      </c>
      <c r="F1076" s="2">
        <f>D1076/Listas!$E$5</f>
        <v>5</v>
      </c>
      <c r="H1076" s="2">
        <v>2</v>
      </c>
      <c r="J1076" s="2">
        <f>F1076+H1076</f>
        <v>7</v>
      </c>
    </row>
    <row r="1077" spans="1:20" x14ac:dyDescent="0.25">
      <c r="A1077" s="4"/>
      <c r="C1077" s="2" t="s">
        <v>329</v>
      </c>
      <c r="D1077" s="238">
        <f>SUM(D1076:D1076)</f>
        <v>5.8333333333333339</v>
      </c>
    </row>
    <row r="1078" spans="1:20" x14ac:dyDescent="0.25">
      <c r="A1078" s="4"/>
    </row>
    <row r="1079" spans="1:20" x14ac:dyDescent="0.25">
      <c r="B1079" s="4" t="s">
        <v>360</v>
      </c>
      <c r="C1079" s="2" t="s">
        <v>15</v>
      </c>
      <c r="F1079" s="4" t="s">
        <v>321</v>
      </c>
      <c r="G1079" s="4"/>
      <c r="H1079" s="4" t="s">
        <v>322</v>
      </c>
      <c r="I1079" s="4" t="s">
        <v>323</v>
      </c>
      <c r="J1079" s="4"/>
      <c r="K1079" s="4" t="s">
        <v>324</v>
      </c>
      <c r="L1079" s="4"/>
      <c r="M1079" s="4" t="s">
        <v>325</v>
      </c>
      <c r="N1079" s="4"/>
      <c r="O1079" s="4" t="s">
        <v>326</v>
      </c>
      <c r="Q1079" s="4" t="s">
        <v>327</v>
      </c>
      <c r="R1079" s="4"/>
      <c r="S1079" s="4" t="s">
        <v>328</v>
      </c>
      <c r="T1079" s="329" t="s">
        <v>329</v>
      </c>
    </row>
    <row r="1080" spans="1:20" x14ac:dyDescent="0.25">
      <c r="B1080" s="4"/>
      <c r="F1080" s="4"/>
      <c r="G1080" s="4"/>
      <c r="H1080" s="4" t="s">
        <v>330</v>
      </c>
      <c r="I1080" s="4" t="s">
        <v>331</v>
      </c>
      <c r="J1080" s="4"/>
      <c r="K1080" s="4" t="s">
        <v>332</v>
      </c>
      <c r="L1080" s="4"/>
      <c r="M1080" s="4" t="s">
        <v>333</v>
      </c>
      <c r="N1080" s="4"/>
      <c r="O1080" s="4" t="s">
        <v>334</v>
      </c>
      <c r="Q1080" s="4" t="s">
        <v>335</v>
      </c>
      <c r="R1080" s="4"/>
      <c r="S1080" s="4" t="s">
        <v>336</v>
      </c>
      <c r="T1080" s="329" t="s">
        <v>337</v>
      </c>
    </row>
    <row r="1081" spans="1:20" x14ac:dyDescent="0.25">
      <c r="B1081" s="4" t="s">
        <v>104</v>
      </c>
      <c r="C1081" s="2" t="str">
        <f ca="1">IFERROR(VLOOKUP(B1081,MO_Matriz,2,0),"")</f>
        <v>Engenheiro coordenador</v>
      </c>
      <c r="F1081" s="4" t="str">
        <f ca="1">IFERROR(VLOOKUP(B1081,MO_Matriz,3,0),"")</f>
        <v>S</v>
      </c>
      <c r="H1081" s="2">
        <v>1</v>
      </c>
      <c r="I1081" s="2">
        <v>1</v>
      </c>
      <c r="K1081" s="2">
        <f>Listas!$B$6</f>
        <v>7.333333333333333</v>
      </c>
      <c r="M1081" s="238">
        <f>$J$1076</f>
        <v>7</v>
      </c>
      <c r="O1081" s="2">
        <f>H1081*I1081*K1081*M1081</f>
        <v>51.333333333333329</v>
      </c>
      <c r="Q1081" s="2">
        <f>O1081/220</f>
        <v>0.23333333333333331</v>
      </c>
      <c r="S1081" s="310">
        <f ca="1">IFERROR(VLOOKUP(B1081,MO_Matriz,5,0),"")</f>
        <v>35173.129999999997</v>
      </c>
      <c r="T1081" s="339">
        <f ca="1">Q1081*S1081</f>
        <v>8207.0636666666651</v>
      </c>
    </row>
    <row r="1082" spans="1:20" x14ac:dyDescent="0.25">
      <c r="B1082" s="4" t="s">
        <v>169</v>
      </c>
      <c r="C1082" s="2" t="str">
        <f ca="1">IFERROR(VLOOKUP(B1082,MO_Matriz,2,0),"")</f>
        <v>Técnico de obras</v>
      </c>
      <c r="F1082" s="4" t="str">
        <f ca="1">IFERROR(VLOOKUP(B1082,MO_Matriz,3,0),"")</f>
        <v>T</v>
      </c>
      <c r="H1082" s="2">
        <v>1</v>
      </c>
      <c r="I1082" s="2">
        <v>1</v>
      </c>
      <c r="K1082" s="2">
        <f>Listas!$B$6</f>
        <v>7.333333333333333</v>
      </c>
      <c r="M1082" s="238">
        <f>$J$1076</f>
        <v>7</v>
      </c>
      <c r="O1082" s="2">
        <f t="shared" ref="O1082" si="32">H1082*I1082*K1082*M1082</f>
        <v>51.333333333333329</v>
      </c>
      <c r="Q1082" s="2">
        <f t="shared" ref="Q1082" si="33">O1082/220</f>
        <v>0.23333333333333331</v>
      </c>
      <c r="S1082" s="310">
        <f ca="1">IFERROR(VLOOKUP(B1082,MO_Matriz,5,0),"")</f>
        <v>7040.14</v>
      </c>
      <c r="T1082" s="339">
        <f t="shared" ref="T1082" ca="1" si="34">Q1082*S1082</f>
        <v>1642.6993333333332</v>
      </c>
    </row>
    <row r="1083" spans="1:20" x14ac:dyDescent="0.25">
      <c r="S1083" s="332" t="s">
        <v>329</v>
      </c>
      <c r="T1083" s="331">
        <f ca="1">SUM(T1081:T1082)</f>
        <v>9849.762999999999</v>
      </c>
    </row>
    <row r="1085" spans="1:20" x14ac:dyDescent="0.25">
      <c r="A1085" s="4" t="s">
        <v>339</v>
      </c>
      <c r="B1085" s="2" t="s">
        <v>340</v>
      </c>
      <c r="F1085" s="4"/>
    </row>
    <row r="1086" spans="1:20" x14ac:dyDescent="0.25">
      <c r="B1086" s="4" t="s">
        <v>360</v>
      </c>
      <c r="C1086" s="2" t="s">
        <v>15</v>
      </c>
      <c r="G1086" s="4" t="s">
        <v>31</v>
      </c>
      <c r="H1086" s="4" t="s">
        <v>224</v>
      </c>
      <c r="I1086" s="4" t="s">
        <v>361</v>
      </c>
      <c r="J1086" s="4" t="s">
        <v>328</v>
      </c>
      <c r="K1086" s="330" t="s">
        <v>362</v>
      </c>
    </row>
    <row r="1087" spans="1:20" x14ac:dyDescent="0.25">
      <c r="B1087" s="4"/>
      <c r="G1087" s="4" t="s">
        <v>363</v>
      </c>
      <c r="H1087" s="4" t="s">
        <v>330</v>
      </c>
      <c r="I1087" s="4" t="s">
        <v>364</v>
      </c>
      <c r="J1087" s="4" t="s">
        <v>332</v>
      </c>
      <c r="K1087" s="330" t="s">
        <v>365</v>
      </c>
    </row>
    <row r="1088" spans="1:20" x14ac:dyDescent="0.25">
      <c r="B1088" s="4" t="s">
        <v>190</v>
      </c>
      <c r="C1088" s="2" t="str">
        <f ca="1">IFERROR(VLOOKUP(B1088,Veiculo_Equip_Matriz,2,0),"")</f>
        <v>Veículo leve - 53 kW (sem motorista)</v>
      </c>
      <c r="G1088" s="2">
        <f>J1076</f>
        <v>7</v>
      </c>
      <c r="H1088" s="238">
        <v>2</v>
      </c>
      <c r="I1088" s="2">
        <f>H1088/30</f>
        <v>6.6666666666666666E-2</v>
      </c>
      <c r="J1088" s="310">
        <f ca="1">IFERROR(VLOOKUP(B1088,Veiculo_Equip_Matriz,10,0),"")</f>
        <v>3186.8793000000001</v>
      </c>
      <c r="K1088" s="331">
        <f ca="1">G1088*I1088*J1088</f>
        <v>1487.2103400000001</v>
      </c>
    </row>
    <row r="1089" spans="1:11" x14ac:dyDescent="0.25">
      <c r="B1089" s="43"/>
      <c r="J1089" s="332" t="s">
        <v>329</v>
      </c>
      <c r="K1089" s="331">
        <f ca="1">SUM(K1088:K1088)</f>
        <v>1487.2103400000001</v>
      </c>
    </row>
    <row r="1090" spans="1:11" x14ac:dyDescent="0.25">
      <c r="B1090" s="43"/>
      <c r="J1090" s="332"/>
      <c r="K1090" s="331"/>
    </row>
    <row r="1091" spans="1:11" x14ac:dyDescent="0.25">
      <c r="A1091" s="4" t="s">
        <v>348</v>
      </c>
      <c r="B1091" s="2" t="s">
        <v>349</v>
      </c>
    </row>
    <row r="1092" spans="1:11" x14ac:dyDescent="0.25">
      <c r="A1092" s="4" t="s">
        <v>451</v>
      </c>
      <c r="B1092" s="2" t="s">
        <v>452</v>
      </c>
    </row>
    <row r="1093" spans="1:11" x14ac:dyDescent="0.25">
      <c r="B1093" s="4" t="s">
        <v>360</v>
      </c>
      <c r="C1093" s="2" t="s">
        <v>15</v>
      </c>
      <c r="F1093" s="4" t="s">
        <v>321</v>
      </c>
      <c r="G1093" s="4"/>
      <c r="H1093" s="4" t="s">
        <v>453</v>
      </c>
      <c r="I1093" s="4"/>
      <c r="J1093" s="4" t="s">
        <v>454</v>
      </c>
    </row>
    <row r="1094" spans="1:11" x14ac:dyDescent="0.25">
      <c r="B1094" s="4" t="str">
        <f>B1081</f>
        <v>P8061</v>
      </c>
      <c r="C1094" s="2" t="str">
        <f ca="1">IFERROR(VLOOKUP(B1094,MO_Matriz,2,0),"")</f>
        <v>Engenheiro coordenador</v>
      </c>
      <c r="F1094" s="4" t="str">
        <f ca="1">IFERROR(VLOOKUP(B1094,MO_Matriz,3,0),"")</f>
        <v>S</v>
      </c>
      <c r="H1094" s="2" t="s">
        <v>455</v>
      </c>
      <c r="J1094" s="2">
        <f>H1081*I1081</f>
        <v>1</v>
      </c>
    </row>
    <row r="1095" spans="1:11" x14ac:dyDescent="0.25">
      <c r="B1095" s="4" t="str">
        <f>B1082</f>
        <v>P8147</v>
      </c>
      <c r="C1095" s="2" t="str">
        <f ca="1">IFERROR(VLOOKUP(B1095,MO_Matriz,2,0),"")</f>
        <v>Técnico de obras</v>
      </c>
      <c r="F1095" s="4" t="str">
        <f ca="1">IFERROR(VLOOKUP(B1095,MO_Matriz,3,0),"")</f>
        <v>T</v>
      </c>
      <c r="H1095" s="2" t="s">
        <v>455</v>
      </c>
      <c r="J1095" s="2">
        <f>H1082*I1082</f>
        <v>1</v>
      </c>
    </row>
    <row r="1096" spans="1:11" x14ac:dyDescent="0.25">
      <c r="I1096" s="332" t="s">
        <v>329</v>
      </c>
      <c r="J1096" s="332">
        <f>SUM(J1094:J1095)</f>
        <v>2</v>
      </c>
    </row>
    <row r="1098" spans="1:11" x14ac:dyDescent="0.25">
      <c r="A1098" s="4" t="s">
        <v>456</v>
      </c>
      <c r="B1098" s="2" t="s">
        <v>457</v>
      </c>
    </row>
    <row r="1099" spans="1:11" x14ac:dyDescent="0.25">
      <c r="A1099" s="4"/>
      <c r="B1099" s="2" t="s">
        <v>458</v>
      </c>
    </row>
    <row r="1101" spans="1:11" x14ac:dyDescent="0.25">
      <c r="B1101" s="4" t="s">
        <v>360</v>
      </c>
      <c r="C1101" s="2" t="s">
        <v>15</v>
      </c>
      <c r="F1101" s="4" t="s">
        <v>321</v>
      </c>
      <c r="G1101" s="4"/>
      <c r="H1101" s="4" t="s">
        <v>453</v>
      </c>
      <c r="I1101" s="4"/>
      <c r="J1101" s="4" t="s">
        <v>454</v>
      </c>
    </row>
    <row r="1102" spans="1:11" x14ac:dyDescent="0.25">
      <c r="B1102" s="4" t="str">
        <f>B1081</f>
        <v>P8061</v>
      </c>
      <c r="C1102" s="2" t="str">
        <f ca="1">IFERROR(VLOOKUP(B1102,MO_Matriz,2,0),"")</f>
        <v>Engenheiro coordenador</v>
      </c>
      <c r="F1102" s="4" t="str">
        <f ca="1">IFERROR(VLOOKUP(B1102,MO_Matriz,3,0),"")</f>
        <v>S</v>
      </c>
      <c r="H1102" s="2" t="s">
        <v>455</v>
      </c>
      <c r="J1102" s="2">
        <f>H1081*I1081</f>
        <v>1</v>
      </c>
    </row>
    <row r="1103" spans="1:11" x14ac:dyDescent="0.25">
      <c r="B1103" s="4" t="str">
        <f>B1082</f>
        <v>P8147</v>
      </c>
      <c r="C1103" s="2" t="str">
        <f ca="1">IFERROR(VLOOKUP(B1103,MO_Matriz,2,0),"")</f>
        <v>Técnico de obras</v>
      </c>
      <c r="F1103" s="4" t="str">
        <f ca="1">IFERROR(VLOOKUP(B1103,MO_Matriz,3,0),"")</f>
        <v>T</v>
      </c>
      <c r="H1103" s="2" t="s">
        <v>455</v>
      </c>
      <c r="J1103" s="2">
        <f>H1082*I1082</f>
        <v>1</v>
      </c>
    </row>
    <row r="1104" spans="1:11" x14ac:dyDescent="0.25">
      <c r="I1104" s="332" t="s">
        <v>329</v>
      </c>
      <c r="J1104" s="332">
        <f>SUM(J1102:J1103)</f>
        <v>2</v>
      </c>
    </row>
    <row r="1106" spans="1:28" x14ac:dyDescent="0.25">
      <c r="A1106" s="4" t="s">
        <v>350</v>
      </c>
      <c r="B1106" s="2" t="s">
        <v>351</v>
      </c>
    </row>
    <row r="1107" spans="1:28" x14ac:dyDescent="0.25">
      <c r="B1107" s="2" t="s">
        <v>344</v>
      </c>
    </row>
    <row r="1109" spans="1:28" x14ac:dyDescent="0.25">
      <c r="A1109" s="4" t="s">
        <v>197</v>
      </c>
      <c r="B1109" s="2" t="s">
        <v>352</v>
      </c>
    </row>
    <row r="1110" spans="1:28" x14ac:dyDescent="0.25">
      <c r="A1110" s="4" t="s">
        <v>450</v>
      </c>
      <c r="B1110" s="2" t="s">
        <v>433</v>
      </c>
    </row>
    <row r="1111" spans="1:28" x14ac:dyDescent="0.25">
      <c r="A1111" s="4"/>
      <c r="B1111" s="2" t="s">
        <v>1035</v>
      </c>
    </row>
    <row r="1112" spans="1:28" x14ac:dyDescent="0.25">
      <c r="B1112" s="2" t="s">
        <v>1124</v>
      </c>
    </row>
    <row r="1113" spans="1:28" x14ac:dyDescent="0.25">
      <c r="B1113" s="2" t="s">
        <v>15</v>
      </c>
      <c r="E1113" s="2" t="s">
        <v>357</v>
      </c>
      <c r="F1113" s="2" t="s">
        <v>202</v>
      </c>
    </row>
    <row r="1114" spans="1:28" x14ac:dyDescent="0.25">
      <c r="B1114" s="2" t="s">
        <v>248</v>
      </c>
      <c r="E1114" s="238">
        <f>Listas!$D$19</f>
        <v>250</v>
      </c>
    </row>
    <row r="1115" spans="1:28" x14ac:dyDescent="0.25">
      <c r="B1115" s="2" t="s">
        <v>252</v>
      </c>
      <c r="E1115" s="238">
        <f>E1114/2</f>
        <v>125</v>
      </c>
      <c r="F1115" s="2">
        <f>J1076</f>
        <v>7</v>
      </c>
      <c r="P1115" s="84"/>
      <c r="Q1115" s="84"/>
      <c r="R1115" s="84"/>
      <c r="S1115" s="84"/>
      <c r="T1115" s="84"/>
      <c r="U1115" s="84"/>
      <c r="V1115" s="84"/>
      <c r="W1115" s="84"/>
      <c r="X1115" s="84"/>
      <c r="Y1115" s="84"/>
      <c r="Z1115" s="84"/>
      <c r="AA1115" s="84"/>
      <c r="AB1115" s="84"/>
    </row>
    <row r="1116" spans="1:28" x14ac:dyDescent="0.25">
      <c r="B1116" s="2" t="s">
        <v>255</v>
      </c>
      <c r="E1116" s="238">
        <f>E1115</f>
        <v>125</v>
      </c>
      <c r="F1116" s="2">
        <f>F1115-1</f>
        <v>6</v>
      </c>
      <c r="P1116" s="84"/>
      <c r="Q1116" s="84"/>
      <c r="R1116" s="84"/>
      <c r="S1116" s="84"/>
      <c r="T1116" s="84"/>
      <c r="U1116" s="84"/>
      <c r="V1116" s="84"/>
      <c r="W1116" s="84"/>
      <c r="X1116" s="84"/>
      <c r="Y1116" s="84"/>
      <c r="Z1116" s="84"/>
      <c r="AA1116" s="84"/>
      <c r="AB1116" s="84"/>
    </row>
    <row r="1117" spans="1:28" x14ac:dyDescent="0.25">
      <c r="P1117" s="84"/>
      <c r="Q1117" s="84"/>
      <c r="R1117" s="84"/>
      <c r="S1117" s="84"/>
      <c r="T1117" s="84"/>
      <c r="U1117" s="84"/>
      <c r="V1117" s="84"/>
      <c r="W1117" s="84"/>
      <c r="X1117" s="84"/>
      <c r="Y1117" s="84"/>
      <c r="Z1117" s="84"/>
      <c r="AA1117" s="84"/>
      <c r="AB1117" s="84"/>
    </row>
    <row r="1118" spans="1:28" x14ac:dyDescent="0.25">
      <c r="B1118" s="4" t="s">
        <v>360</v>
      </c>
      <c r="C1118" s="2" t="s">
        <v>15</v>
      </c>
      <c r="D1118" s="4"/>
      <c r="E1118" s="4"/>
      <c r="F1118" s="4" t="s">
        <v>321</v>
      </c>
      <c r="G1118" s="4"/>
      <c r="H1118" s="4" t="s">
        <v>434</v>
      </c>
      <c r="I1118" s="4" t="s">
        <v>435</v>
      </c>
      <c r="J1118" s="330" t="s">
        <v>329</v>
      </c>
      <c r="P1118" s="84"/>
      <c r="Q1118" s="84"/>
      <c r="R1118" s="84"/>
      <c r="S1118" s="84"/>
      <c r="T1118" s="84"/>
      <c r="U1118" s="84"/>
      <c r="V1118" s="84"/>
      <c r="W1118" s="84"/>
      <c r="X1118" s="84"/>
      <c r="Y1118" s="84"/>
      <c r="Z1118" s="84"/>
      <c r="AA1118" s="84"/>
      <c r="AB1118" s="84"/>
    </row>
    <row r="1119" spans="1:28" x14ac:dyDescent="0.25">
      <c r="B1119" s="4"/>
      <c r="C1119" s="4"/>
      <c r="D1119" s="4"/>
      <c r="E1119" s="4"/>
      <c r="F1119" s="4"/>
      <c r="G1119" s="4"/>
      <c r="H1119" s="4" t="s">
        <v>363</v>
      </c>
      <c r="I1119" s="4" t="s">
        <v>330</v>
      </c>
      <c r="J1119" s="330" t="s">
        <v>436</v>
      </c>
      <c r="P1119" s="84"/>
      <c r="Q1119" s="84"/>
      <c r="R1119" s="84"/>
      <c r="S1119" s="84"/>
      <c r="T1119" s="84"/>
      <c r="U1119" s="84"/>
      <c r="V1119" s="84"/>
      <c r="W1119" s="84"/>
      <c r="X1119" s="84"/>
      <c r="Y1119" s="84"/>
      <c r="Z1119" s="84"/>
      <c r="AA1119" s="84"/>
      <c r="AB1119" s="84"/>
    </row>
    <row r="1120" spans="1:28" x14ac:dyDescent="0.25">
      <c r="B1120" s="4" t="str">
        <f>B1081</f>
        <v>P8061</v>
      </c>
      <c r="C1120" s="2" t="str">
        <f ca="1">IFERROR(VLOOKUP(B1120,MO_Matriz,2,0),"")</f>
        <v>Engenheiro coordenador</v>
      </c>
      <c r="F1120" s="4" t="str">
        <f ca="1">IFERROR(VLOOKUP(B1120,MO_Matriz,3,0),"")</f>
        <v>S</v>
      </c>
      <c r="H1120" s="310">
        <f>$E$1115*$F$1115</f>
        <v>875</v>
      </c>
      <c r="I1120" s="310">
        <f>$E$1116*$F$1116</f>
        <v>750</v>
      </c>
      <c r="J1120" s="331">
        <f>H1120+I1120</f>
        <v>1625</v>
      </c>
      <c r="P1120" s="84"/>
      <c r="Q1120" s="84"/>
      <c r="R1120" s="84"/>
      <c r="S1120" s="84"/>
      <c r="T1120" s="84"/>
      <c r="U1120" s="84"/>
      <c r="V1120" s="84"/>
      <c r="W1120" s="84"/>
      <c r="X1120" s="84"/>
      <c r="Y1120" s="84"/>
      <c r="Z1120" s="84"/>
      <c r="AA1120" s="84"/>
      <c r="AB1120" s="84"/>
    </row>
    <row r="1121" spans="1:28" x14ac:dyDescent="0.25">
      <c r="B1121" s="4" t="str">
        <f>B1082</f>
        <v>P8147</v>
      </c>
      <c r="C1121" s="2" t="str">
        <f ca="1">IFERROR(VLOOKUP(B1121,MO_Matriz,2,0),"")</f>
        <v>Técnico de obras</v>
      </c>
      <c r="F1121" s="4" t="str">
        <f ca="1">IFERROR(VLOOKUP(B1121,MO_Matriz,3,0),"")</f>
        <v>T</v>
      </c>
      <c r="H1121" s="310">
        <f>$E$1115*$F$1115</f>
        <v>875</v>
      </c>
      <c r="I1121" s="310">
        <f>$E$1116*$F$1116</f>
        <v>750</v>
      </c>
      <c r="J1121" s="331">
        <f t="shared" ref="J1121" si="35">H1121+I1121</f>
        <v>1625</v>
      </c>
      <c r="P1121" s="84"/>
      <c r="Q1121" s="84"/>
      <c r="R1121" s="84"/>
      <c r="S1121" s="84"/>
      <c r="T1121" s="84"/>
      <c r="U1121" s="84"/>
      <c r="V1121" s="84"/>
      <c r="W1121" s="84"/>
      <c r="X1121" s="84"/>
      <c r="Y1121" s="84"/>
      <c r="Z1121" s="84"/>
      <c r="AA1121" s="84"/>
      <c r="AB1121" s="84"/>
    </row>
    <row r="1122" spans="1:28" x14ac:dyDescent="0.25">
      <c r="B1122" s="4"/>
      <c r="F1122" s="4"/>
      <c r="H1122" s="310"/>
      <c r="I1122" s="331" t="s">
        <v>329</v>
      </c>
      <c r="J1122" s="331">
        <f>SUM(J1120:J1121)</f>
        <v>3250</v>
      </c>
      <c r="P1122" s="84"/>
      <c r="Q1122" s="84"/>
      <c r="R1122" s="84"/>
      <c r="S1122" s="84"/>
      <c r="T1122" s="84"/>
      <c r="U1122" s="84"/>
      <c r="V1122" s="84"/>
      <c r="W1122" s="84"/>
      <c r="X1122" s="84"/>
      <c r="Y1122" s="84"/>
      <c r="Z1122" s="84"/>
      <c r="AA1122" s="84"/>
      <c r="AB1122" s="84"/>
    </row>
    <row r="1123" spans="1:28" x14ac:dyDescent="0.25">
      <c r="P1123" s="84"/>
      <c r="Q1123" s="84"/>
      <c r="R1123" s="84"/>
      <c r="S1123" s="84"/>
      <c r="T1123" s="84"/>
      <c r="U1123" s="84"/>
      <c r="V1123" s="84"/>
      <c r="W1123" s="84"/>
      <c r="X1123" s="84"/>
      <c r="Y1123" s="84"/>
      <c r="Z1123" s="84"/>
      <c r="AA1123" s="84"/>
      <c r="AB1123" s="84"/>
    </row>
    <row r="1124" spans="1:28" x14ac:dyDescent="0.25">
      <c r="A1124" s="4" t="s">
        <v>459</v>
      </c>
      <c r="B1124" s="2" t="s">
        <v>437</v>
      </c>
      <c r="P1124" s="84"/>
      <c r="Q1124" s="84"/>
      <c r="R1124" s="84"/>
      <c r="S1124" s="84"/>
      <c r="T1124" s="84"/>
      <c r="U1124" s="84"/>
      <c r="V1124" s="84"/>
      <c r="W1124" s="84"/>
      <c r="X1124" s="84"/>
      <c r="Y1124" s="84"/>
      <c r="Z1124" s="84"/>
      <c r="AA1124" s="84"/>
      <c r="AB1124" s="84"/>
    </row>
    <row r="1125" spans="1:28" x14ac:dyDescent="0.25">
      <c r="B1125" s="2" t="s">
        <v>438</v>
      </c>
      <c r="P1125" s="84"/>
      <c r="Q1125" s="84"/>
      <c r="R1125" s="84"/>
      <c r="S1125" s="84"/>
      <c r="T1125" s="84"/>
      <c r="U1125" s="84"/>
      <c r="V1125" s="84"/>
      <c r="W1125" s="84"/>
      <c r="X1125" s="84"/>
      <c r="Y1125" s="84"/>
      <c r="Z1125" s="84"/>
      <c r="AA1125" s="84"/>
      <c r="AB1125" s="84"/>
    </row>
    <row r="1126" spans="1:28" x14ac:dyDescent="0.25">
      <c r="P1126" s="84"/>
      <c r="Q1126" s="84"/>
      <c r="R1126" s="84"/>
      <c r="S1126" s="84"/>
      <c r="T1126" s="84"/>
      <c r="U1126" s="84"/>
      <c r="V1126" s="84"/>
      <c r="W1126" s="84"/>
      <c r="X1126" s="84"/>
      <c r="Y1126" s="84"/>
      <c r="Z1126" s="84"/>
      <c r="AA1126" s="84"/>
      <c r="AB1126" s="84"/>
    </row>
    <row r="1127" spans="1:28" x14ac:dyDescent="0.25">
      <c r="A1127" s="4" t="s">
        <v>353</v>
      </c>
      <c r="B1127" s="2" t="s">
        <v>354</v>
      </c>
      <c r="P1127" s="84"/>
      <c r="Q1127" s="84"/>
      <c r="R1127" s="84"/>
      <c r="S1127" s="84"/>
      <c r="T1127" s="84"/>
      <c r="U1127" s="84"/>
      <c r="V1127" s="84"/>
      <c r="W1127" s="84"/>
      <c r="X1127" s="84"/>
      <c r="Y1127" s="84"/>
      <c r="Z1127" s="84"/>
      <c r="AA1127" s="84"/>
      <c r="AB1127" s="84"/>
    </row>
    <row r="1128" spans="1:28" x14ac:dyDescent="0.25">
      <c r="A1128" s="4" t="s">
        <v>385</v>
      </c>
      <c r="B1128" s="2" t="s">
        <v>317</v>
      </c>
      <c r="P1128" s="84"/>
      <c r="Q1128" s="84"/>
      <c r="R1128" s="84"/>
      <c r="S1128" s="84"/>
      <c r="T1128" s="84"/>
      <c r="U1128" s="84"/>
      <c r="V1128" s="84"/>
      <c r="W1128" s="84"/>
      <c r="X1128" s="84"/>
      <c r="Y1128" s="84"/>
      <c r="Z1128" s="84"/>
      <c r="AA1128" s="84"/>
      <c r="AB1128" s="84"/>
    </row>
    <row r="1129" spans="1:28" x14ac:dyDescent="0.25">
      <c r="A1129" s="4"/>
      <c r="B1129" s="2" t="s">
        <v>589</v>
      </c>
    </row>
    <row r="1131" spans="1:28" x14ac:dyDescent="0.25">
      <c r="A1131" s="4" t="s">
        <v>386</v>
      </c>
      <c r="B1131" s="2" t="s">
        <v>366</v>
      </c>
    </row>
    <row r="1132" spans="1:28" x14ac:dyDescent="0.25">
      <c r="B1132" s="2" t="s">
        <v>367</v>
      </c>
      <c r="D1132" s="2" t="s">
        <v>237</v>
      </c>
      <c r="F1132" s="4" t="s">
        <v>387</v>
      </c>
      <c r="H1132" s="4" t="s">
        <v>13</v>
      </c>
      <c r="I1132" s="4" t="s">
        <v>414</v>
      </c>
      <c r="K1132" s="2" t="s">
        <v>15</v>
      </c>
      <c r="L1132" s="84"/>
      <c r="M1132" s="84"/>
      <c r="N1132" s="4" t="s">
        <v>368</v>
      </c>
      <c r="O1132" s="4" t="s">
        <v>357</v>
      </c>
    </row>
    <row r="1133" spans="1:28" x14ac:dyDescent="0.25">
      <c r="B1133" s="2" t="s">
        <v>245</v>
      </c>
      <c r="D1133" s="2" t="s">
        <v>245</v>
      </c>
      <c r="F1133" s="238">
        <f>Listas!$J$3</f>
        <v>60</v>
      </c>
      <c r="H1133" s="238">
        <f>Listas!$L$3</f>
        <v>305</v>
      </c>
      <c r="I1133" s="311">
        <f>H1133/H1136</f>
        <v>1</v>
      </c>
      <c r="K1133" s="2" t="s">
        <v>369</v>
      </c>
      <c r="L1133" s="84"/>
      <c r="M1133" s="84"/>
      <c r="N1133" s="336" t="str">
        <f>Listas!$D$21</f>
        <v>ABRIL/25</v>
      </c>
      <c r="O1133" s="84">
        <f>Listas!$D$23</f>
        <v>303.67500000000001</v>
      </c>
    </row>
    <row r="1134" spans="1:28" x14ac:dyDescent="0.25">
      <c r="D1134" s="2" t="s">
        <v>251</v>
      </c>
      <c r="F1134" s="238">
        <f>Listas!$J$4</f>
        <v>50</v>
      </c>
      <c r="H1134" s="238">
        <f>Listas!$L$4</f>
        <v>0</v>
      </c>
      <c r="I1134" s="311">
        <f>H1134/H1136</f>
        <v>0</v>
      </c>
      <c r="K1134" s="2" t="s">
        <v>369</v>
      </c>
      <c r="L1134" s="84"/>
      <c r="M1134" s="84"/>
      <c r="N1134" s="336" t="str">
        <f>Listas!$D$21</f>
        <v>ABRIL/25</v>
      </c>
      <c r="O1134" s="84">
        <f>Listas!$D$23</f>
        <v>303.67500000000001</v>
      </c>
    </row>
    <row r="1135" spans="1:28" x14ac:dyDescent="0.25">
      <c r="D1135" s="2" t="s">
        <v>254</v>
      </c>
      <c r="F1135" s="238">
        <f>Listas!$J$5</f>
        <v>40</v>
      </c>
      <c r="H1135" s="238">
        <f>Listas!$L$5</f>
        <v>0</v>
      </c>
      <c r="I1135" s="311">
        <f>H1135/H1136</f>
        <v>0</v>
      </c>
      <c r="K1135" s="2" t="s">
        <v>370</v>
      </c>
      <c r="L1135" s="84"/>
      <c r="M1135" s="84"/>
      <c r="N1135" s="329" t="s">
        <v>259</v>
      </c>
      <c r="O1135" s="337">
        <f>O1134/O1133-1</f>
        <v>0</v>
      </c>
    </row>
    <row r="1136" spans="1:28" x14ac:dyDescent="0.25">
      <c r="G1136" s="2" t="s">
        <v>329</v>
      </c>
      <c r="H1136" s="238">
        <f>SUM(H1133:H1135)</f>
        <v>305</v>
      </c>
      <c r="I1136" s="311">
        <f>SUM(I1133:I1135)</f>
        <v>1</v>
      </c>
      <c r="K1136" s="2" t="s">
        <v>867</v>
      </c>
      <c r="L1136" s="84"/>
      <c r="M1136" s="84"/>
      <c r="N1136" s="338">
        <v>45839</v>
      </c>
      <c r="O1136" s="339">
        <v>36.9</v>
      </c>
    </row>
    <row r="1137" spans="1:29" x14ac:dyDescent="0.25">
      <c r="K1137" s="2" t="s">
        <v>868</v>
      </c>
      <c r="L1137" s="84"/>
      <c r="M1137" s="84"/>
      <c r="N1137" s="338">
        <v>45839</v>
      </c>
      <c r="O1137" s="339">
        <f>Listas!$D$26</f>
        <v>36.9</v>
      </c>
    </row>
    <row r="1138" spans="1:29" x14ac:dyDescent="0.25">
      <c r="B1138" s="2" t="s">
        <v>1124</v>
      </c>
      <c r="K1138" s="2" t="s">
        <v>869</v>
      </c>
      <c r="L1138" s="84"/>
      <c r="M1138" s="84"/>
      <c r="N1138" s="336" t="s">
        <v>1156</v>
      </c>
      <c r="O1138" s="310">
        <f>ROUND(O1136*(1+O1135), 2)</f>
        <v>36.9</v>
      </c>
    </row>
    <row r="1139" spans="1:29" x14ac:dyDescent="0.25">
      <c r="B1139" s="2" t="s">
        <v>15</v>
      </c>
      <c r="E1139" s="2" t="s">
        <v>357</v>
      </c>
      <c r="F1139" s="2" t="s">
        <v>202</v>
      </c>
      <c r="K1139" s="2" t="s">
        <v>870</v>
      </c>
      <c r="L1139" s="84"/>
      <c r="M1139" s="84"/>
      <c r="N1139" s="336" t="s">
        <v>1156</v>
      </c>
      <c r="O1139" s="310">
        <f>ROUND(O1137*(1+O1135), 2)</f>
        <v>36.9</v>
      </c>
    </row>
    <row r="1140" spans="1:29" x14ac:dyDescent="0.25">
      <c r="B1140" s="2" t="s">
        <v>248</v>
      </c>
      <c r="E1140" s="238">
        <f>Listas!$D$19</f>
        <v>250</v>
      </c>
      <c r="L1140" s="84"/>
      <c r="M1140" s="84"/>
      <c r="N1140" s="84"/>
      <c r="O1140" s="84"/>
    </row>
    <row r="1141" spans="1:29" x14ac:dyDescent="0.25">
      <c r="B1141" s="2" t="s">
        <v>252</v>
      </c>
      <c r="E1141" s="238">
        <f>E1140/2</f>
        <v>125</v>
      </c>
      <c r="F1141" s="238">
        <v>0</v>
      </c>
      <c r="L1141" s="84"/>
      <c r="M1141" s="84"/>
      <c r="N1141" s="84"/>
      <c r="O1141" s="84"/>
    </row>
    <row r="1142" spans="1:29" x14ac:dyDescent="0.25">
      <c r="B1142" s="2" t="s">
        <v>255</v>
      </c>
      <c r="E1142" s="238">
        <f>E1141</f>
        <v>125</v>
      </c>
      <c r="F1142" s="238">
        <v>0</v>
      </c>
      <c r="L1142" s="84"/>
      <c r="M1142" s="84"/>
      <c r="N1142" s="84"/>
      <c r="O1142" s="84"/>
    </row>
    <row r="1143" spans="1:29" x14ac:dyDescent="0.25">
      <c r="L1143" s="84"/>
      <c r="M1143" s="84"/>
      <c r="N1143" s="84"/>
      <c r="O1143" s="84"/>
    </row>
    <row r="1144" spans="1:29" s="326" customFormat="1" ht="21" x14ac:dyDescent="0.25">
      <c r="A1144" s="2"/>
      <c r="B1144" s="2" t="s">
        <v>360</v>
      </c>
      <c r="C1144" s="2" t="s">
        <v>15</v>
      </c>
      <c r="D1144" s="2"/>
      <c r="E1144" s="2"/>
      <c r="F1144" s="2"/>
      <c r="G1144" s="4" t="s">
        <v>202</v>
      </c>
      <c r="H1144" s="2"/>
      <c r="I1144" s="4" t="s">
        <v>401</v>
      </c>
      <c r="J1144" s="2"/>
      <c r="K1144" s="4" t="s">
        <v>402</v>
      </c>
      <c r="L1144" s="2"/>
      <c r="M1144" s="4" t="s">
        <v>371</v>
      </c>
      <c r="N1144" s="2"/>
      <c r="O1144" s="4" t="s">
        <v>372</v>
      </c>
      <c r="P1144" s="4" t="s">
        <v>373</v>
      </c>
      <c r="Q1144" s="2" t="s">
        <v>236</v>
      </c>
      <c r="R1144" s="2"/>
      <c r="S1144" s="4" t="s">
        <v>183</v>
      </c>
      <c r="T1144" s="4"/>
      <c r="U1144" s="4" t="s">
        <v>374</v>
      </c>
      <c r="V1144" s="4"/>
      <c r="W1144" s="4" t="s">
        <v>375</v>
      </c>
      <c r="X1144" s="2"/>
      <c r="Y1144" s="4" t="s">
        <v>376</v>
      </c>
      <c r="Z1144" s="4"/>
      <c r="AA1144" s="4" t="s">
        <v>377</v>
      </c>
      <c r="AB1144" s="4" t="s">
        <v>388</v>
      </c>
      <c r="AC1144" s="330" t="s">
        <v>362</v>
      </c>
    </row>
    <row r="1145" spans="1:29" x14ac:dyDescent="0.25">
      <c r="G1145" s="4" t="s">
        <v>363</v>
      </c>
      <c r="I1145" s="4" t="s">
        <v>330</v>
      </c>
      <c r="K1145" s="4" t="s">
        <v>331</v>
      </c>
      <c r="M1145" s="4" t="s">
        <v>403</v>
      </c>
      <c r="O1145" s="4" t="s">
        <v>372</v>
      </c>
      <c r="P1145" s="4" t="s">
        <v>333</v>
      </c>
      <c r="Q1145" s="4"/>
      <c r="S1145" s="4" t="s">
        <v>378</v>
      </c>
      <c r="T1145" s="4"/>
      <c r="U1145" s="4" t="s">
        <v>407</v>
      </c>
      <c r="V1145" s="4"/>
      <c r="W1145" s="4" t="s">
        <v>389</v>
      </c>
      <c r="Y1145" s="4" t="s">
        <v>413</v>
      </c>
      <c r="Z1145" s="4"/>
      <c r="AA1145" s="4" t="s">
        <v>410</v>
      </c>
      <c r="AB1145" s="4" t="s">
        <v>411</v>
      </c>
      <c r="AC1145" s="330" t="s">
        <v>412</v>
      </c>
    </row>
    <row r="1146" spans="1:29" x14ac:dyDescent="0.25">
      <c r="B1146" s="43" t="str">
        <f>B1088</f>
        <v>E8889</v>
      </c>
      <c r="C1146" s="2" t="str">
        <f ca="1">IFERROR(VLOOKUP(B1146,Veiculo_Equip_Matriz,2,0),"")</f>
        <v>Veículo leve - 53 kW (sem motorista)</v>
      </c>
      <c r="G1146" s="2">
        <f>G1088</f>
        <v>7</v>
      </c>
      <c r="I1146" s="238">
        <f>H1136</f>
        <v>305</v>
      </c>
      <c r="K1146" s="2">
        <f>F1133*I1133+F1134*I1134+F1135*I1135</f>
        <v>60</v>
      </c>
      <c r="M1146" s="2">
        <f>I1146/K1146</f>
        <v>5.083333333333333</v>
      </c>
      <c r="N1146" s="84"/>
      <c r="O1146" s="84">
        <v>2</v>
      </c>
      <c r="P1146" s="84">
        <v>1</v>
      </c>
      <c r="Q1146" s="4" t="str">
        <f>B1088</f>
        <v>E8889</v>
      </c>
      <c r="R1146" s="84"/>
      <c r="S1146" s="238">
        <f ca="1">IFERROR(VLOOKUP(Q1146,Veiculo_Equip_Matriz,4,0),"")</f>
        <v>36.69</v>
      </c>
      <c r="T1146" s="84"/>
      <c r="U1146" s="310">
        <f ca="1">G1146*M1146*O1146*P1146*S1146</f>
        <v>2611.1049999999996</v>
      </c>
      <c r="V1146" s="84"/>
      <c r="W1146" s="2">
        <f>((INT(M1146/4))*30)/60</f>
        <v>0.5</v>
      </c>
      <c r="X1146" s="84"/>
      <c r="Y1146" s="2">
        <f>M1146+W1146</f>
        <v>5.583333333333333</v>
      </c>
      <c r="Z1146" s="84"/>
      <c r="AA1146" s="310">
        <f>E1141*F1141+E1142*F1142</f>
        <v>0</v>
      </c>
      <c r="AB1146" s="310">
        <f>O1138*O1146</f>
        <v>73.8</v>
      </c>
      <c r="AC1146" s="331">
        <f ca="1">U1146+AA1146+AB1146</f>
        <v>2684.9049999999997</v>
      </c>
    </row>
    <row r="1147" spans="1:29" s="28" customFormat="1" ht="17.25" x14ac:dyDescent="0.25">
      <c r="A1147" s="2"/>
      <c r="B1147" s="43"/>
      <c r="C1147" s="2"/>
      <c r="D1147" s="2"/>
      <c r="E1147" s="2"/>
      <c r="F1147" s="2"/>
      <c r="G1147" s="2"/>
      <c r="H1147" s="2"/>
      <c r="I1147" s="238"/>
      <c r="J1147" s="2"/>
      <c r="K1147" s="2"/>
      <c r="L1147" s="2"/>
      <c r="M1147" s="2"/>
      <c r="N1147" s="84"/>
      <c r="O1147" s="84"/>
      <c r="P1147" s="84"/>
      <c r="Q1147" s="4"/>
      <c r="R1147" s="84"/>
      <c r="S1147" s="238"/>
      <c r="T1147" s="84"/>
      <c r="U1147" s="310"/>
      <c r="V1147" s="84"/>
      <c r="W1147" s="2"/>
      <c r="X1147" s="84"/>
      <c r="Y1147" s="2"/>
      <c r="Z1147" s="84"/>
      <c r="AA1147" s="310"/>
      <c r="AB1147" s="332" t="s">
        <v>329</v>
      </c>
      <c r="AC1147" s="331">
        <f ca="1">SUM(AC1146:AC1146)</f>
        <v>2684.9049999999997</v>
      </c>
    </row>
    <row r="1149" spans="1:29" x14ac:dyDescent="0.25">
      <c r="A1149" s="4" t="s">
        <v>355</v>
      </c>
      <c r="B1149" s="2" t="s">
        <v>356</v>
      </c>
    </row>
    <row r="1150" spans="1:29" x14ac:dyDescent="0.25">
      <c r="B1150" s="2" t="s">
        <v>15</v>
      </c>
      <c r="F1150" s="2" t="s">
        <v>357</v>
      </c>
    </row>
    <row r="1151" spans="1:29" x14ac:dyDescent="0.25">
      <c r="B1151" s="2" t="s">
        <v>317</v>
      </c>
      <c r="F1151" s="310">
        <f ca="1">T1083</f>
        <v>9849.762999999999</v>
      </c>
    </row>
    <row r="1152" spans="1:29" x14ac:dyDescent="0.25">
      <c r="B1152" s="2" t="s">
        <v>276</v>
      </c>
      <c r="F1152" s="310">
        <f ca="1">K1089</f>
        <v>1487.2103400000001</v>
      </c>
    </row>
    <row r="1153" spans="1:16" x14ac:dyDescent="0.25">
      <c r="B1153" s="2" t="s">
        <v>342</v>
      </c>
      <c r="F1153" s="310">
        <v>0</v>
      </c>
    </row>
    <row r="1154" spans="1:16" x14ac:dyDescent="0.25">
      <c r="B1154" s="2" t="s">
        <v>343</v>
      </c>
      <c r="F1154" s="310">
        <v>0</v>
      </c>
    </row>
    <row r="1155" spans="1:16" x14ac:dyDescent="0.25">
      <c r="B1155" s="2" t="s">
        <v>345</v>
      </c>
      <c r="F1155" s="310">
        <f>J1122</f>
        <v>3250</v>
      </c>
      <c r="P1155" s="4"/>
    </row>
    <row r="1156" spans="1:16" x14ac:dyDescent="0.25">
      <c r="B1156" s="2" t="s">
        <v>516</v>
      </c>
      <c r="F1156" s="310">
        <f ca="1">AC1147</f>
        <v>2684.9049999999997</v>
      </c>
      <c r="P1156" s="4"/>
    </row>
    <row r="1157" spans="1:16" x14ac:dyDescent="0.25">
      <c r="E1157" s="332" t="s">
        <v>329</v>
      </c>
      <c r="F1157" s="331">
        <f ca="1">SUM(F1151:F1156)</f>
        <v>17271.878339999999</v>
      </c>
    </row>
    <row r="1159" spans="1:16" ht="21" x14ac:dyDescent="0.25">
      <c r="A1159" s="326" t="s">
        <v>931</v>
      </c>
      <c r="B1159" s="327" t="s">
        <v>487</v>
      </c>
      <c r="C1159" s="327"/>
      <c r="D1159" s="327"/>
      <c r="E1159" s="326"/>
      <c r="F1159" s="326"/>
      <c r="G1159" s="28"/>
      <c r="H1159" s="326"/>
      <c r="I1159" s="326"/>
      <c r="J1159" s="326"/>
      <c r="K1159" s="326"/>
      <c r="L1159" s="326"/>
      <c r="M1159" s="326"/>
      <c r="N1159" s="326"/>
      <c r="O1159" s="326"/>
    </row>
    <row r="1160" spans="1:16" x14ac:dyDescent="0.25">
      <c r="B1160" s="84" t="s">
        <v>857</v>
      </c>
    </row>
    <row r="1162" spans="1:16" ht="17.25" x14ac:dyDescent="0.25">
      <c r="A1162" s="328" t="s">
        <v>657</v>
      </c>
      <c r="B1162" s="328" t="s">
        <v>213</v>
      </c>
      <c r="C1162" s="328"/>
      <c r="D1162" s="328"/>
      <c r="E1162" s="28"/>
      <c r="F1162" s="28"/>
      <c r="H1162" s="28"/>
      <c r="I1162" s="28"/>
      <c r="J1162" s="28"/>
      <c r="K1162" s="28"/>
      <c r="L1162" s="28"/>
      <c r="M1162" s="28"/>
      <c r="N1162" s="28"/>
      <c r="O1162" s="28"/>
    </row>
    <row r="1163" spans="1:16" x14ac:dyDescent="0.25">
      <c r="A1163" s="4" t="s">
        <v>61</v>
      </c>
      <c r="B1163" s="2" t="s">
        <v>338</v>
      </c>
    </row>
    <row r="1164" spans="1:16" x14ac:dyDescent="0.25">
      <c r="A1164" s="4"/>
      <c r="B1164" s="2" t="s">
        <v>15</v>
      </c>
      <c r="F1164" s="4" t="s">
        <v>414</v>
      </c>
      <c r="H1164" s="4" t="s">
        <v>856</v>
      </c>
      <c r="J1164" s="4" t="s">
        <v>224</v>
      </c>
      <c r="K1164" s="2" t="s">
        <v>855</v>
      </c>
      <c r="M1164" s="2" t="s">
        <v>325</v>
      </c>
      <c r="O1164" s="2" t="s">
        <v>381</v>
      </c>
    </row>
    <row r="1165" spans="1:16" x14ac:dyDescent="0.25">
      <c r="A1165" s="4"/>
      <c r="B1165" s="2" t="s">
        <v>591</v>
      </c>
      <c r="F1165" s="350">
        <v>1</v>
      </c>
      <c r="H1165" s="238">
        <v>1</v>
      </c>
      <c r="I1165" s="4"/>
      <c r="J1165" s="2">
        <f>1.5/H1165</f>
        <v>1.5</v>
      </c>
      <c r="K1165" s="238">
        <f>'Carac trecho'!$C$59</f>
        <v>3</v>
      </c>
      <c r="M1165" s="238">
        <f>J1165+K1165</f>
        <v>4.5</v>
      </c>
      <c r="O1165" s="2">
        <f>ROUNDUP(M1165*Listas!$E$5,0)</f>
        <v>6</v>
      </c>
    </row>
    <row r="1166" spans="1:16" x14ac:dyDescent="0.25">
      <c r="A1166" s="4"/>
      <c r="B1166" s="2" t="s">
        <v>487</v>
      </c>
      <c r="F1166" s="350">
        <v>0.5</v>
      </c>
      <c r="H1166" s="351">
        <v>0</v>
      </c>
      <c r="I1166" s="4"/>
      <c r="J1166" s="351">
        <v>0</v>
      </c>
      <c r="K1166" s="351">
        <v>0</v>
      </c>
      <c r="M1166" s="238">
        <f>M1165*F1166</f>
        <v>2.25</v>
      </c>
      <c r="O1166" s="2">
        <f>ROUNDUP(O1165*F1166,0)</f>
        <v>3</v>
      </c>
    </row>
    <row r="1167" spans="1:16" x14ac:dyDescent="0.25">
      <c r="A1167" s="4"/>
      <c r="B1167" s="2" t="s">
        <v>592</v>
      </c>
      <c r="F1167" s="350">
        <v>0.5</v>
      </c>
      <c r="H1167" s="351">
        <v>0</v>
      </c>
      <c r="I1167" s="4"/>
      <c r="J1167" s="351">
        <v>0</v>
      </c>
      <c r="K1167" s="351">
        <v>0</v>
      </c>
      <c r="M1167" s="238">
        <f>M1165-M1166</f>
        <v>2.25</v>
      </c>
      <c r="O1167" s="238">
        <f>O1165-O1166</f>
        <v>3</v>
      </c>
    </row>
    <row r="1168" spans="1:16" x14ac:dyDescent="0.25">
      <c r="A1168" s="4"/>
      <c r="F1168" s="350"/>
      <c r="H1168" s="351"/>
      <c r="I1168" s="4"/>
      <c r="J1168" s="351"/>
      <c r="K1168" s="351"/>
      <c r="L1168" s="2" t="s">
        <v>329</v>
      </c>
      <c r="M1168" s="238">
        <f>SUM(M1165:M1167)</f>
        <v>9</v>
      </c>
      <c r="O1168" s="238"/>
    </row>
    <row r="1169" spans="1:20" x14ac:dyDescent="0.25">
      <c r="A1169" s="4"/>
    </row>
    <row r="1170" spans="1:20" x14ac:dyDescent="0.25">
      <c r="A1170" s="4"/>
      <c r="B1170" s="4" t="s">
        <v>360</v>
      </c>
      <c r="C1170" s="2" t="s">
        <v>15</v>
      </c>
      <c r="F1170" s="4" t="s">
        <v>321</v>
      </c>
      <c r="G1170" s="4"/>
      <c r="H1170" s="4" t="s">
        <v>322</v>
      </c>
      <c r="I1170" s="4" t="s">
        <v>323</v>
      </c>
      <c r="J1170" s="4"/>
      <c r="K1170" s="4" t="s">
        <v>324</v>
      </c>
      <c r="L1170" s="4"/>
      <c r="M1170" s="4" t="s">
        <v>325</v>
      </c>
      <c r="N1170" s="4"/>
      <c r="O1170" s="4" t="s">
        <v>326</v>
      </c>
      <c r="Q1170" s="4" t="s">
        <v>327</v>
      </c>
      <c r="R1170" s="4"/>
      <c r="S1170" s="4" t="s">
        <v>328</v>
      </c>
      <c r="T1170" s="329" t="s">
        <v>329</v>
      </c>
    </row>
    <row r="1171" spans="1:20" x14ac:dyDescent="0.25">
      <c r="A1171" s="4"/>
      <c r="B1171" s="4"/>
      <c r="F1171" s="4"/>
      <c r="G1171" s="4"/>
      <c r="H1171" s="4" t="s">
        <v>330</v>
      </c>
      <c r="I1171" s="4" t="s">
        <v>331</v>
      </c>
      <c r="J1171" s="4"/>
      <c r="K1171" s="4" t="s">
        <v>332</v>
      </c>
      <c r="L1171" s="4"/>
      <c r="M1171" s="4" t="s">
        <v>333</v>
      </c>
      <c r="N1171" s="4"/>
      <c r="O1171" s="4" t="s">
        <v>334</v>
      </c>
      <c r="Q1171" s="4" t="s">
        <v>335</v>
      </c>
      <c r="R1171" s="4"/>
      <c r="S1171" s="4" t="s">
        <v>336</v>
      </c>
      <c r="T1171" s="329" t="s">
        <v>337</v>
      </c>
    </row>
    <row r="1172" spans="1:20" x14ac:dyDescent="0.25">
      <c r="A1172" s="4"/>
      <c r="B1172" s="4" t="s">
        <v>112</v>
      </c>
      <c r="C1172" s="2" t="str">
        <f ca="1">IFERROR(VLOOKUP(B1172,MO_Matriz,2,0),"")</f>
        <v>Engenheiro de projetos júnior</v>
      </c>
      <c r="F1172" s="4" t="str">
        <f ca="1">IFERROR(VLOOKUP(B1172,MO_Matriz,3,0),"")</f>
        <v>S</v>
      </c>
      <c r="H1172" s="2">
        <v>1</v>
      </c>
      <c r="I1172" s="2">
        <v>1</v>
      </c>
      <c r="K1172" s="2">
        <f>Listas!$B$6</f>
        <v>7.333333333333333</v>
      </c>
      <c r="M1172" s="238">
        <f>M1165</f>
        <v>4.5</v>
      </c>
      <c r="O1172" s="2">
        <f>H1172*I1172*K1172*M1172</f>
        <v>33</v>
      </c>
      <c r="Q1172" s="2">
        <f>O1172/220</f>
        <v>0.15</v>
      </c>
      <c r="S1172" s="310">
        <f ca="1">IFERROR(VLOOKUP(B1172,MO_Matriz,5,0),"")</f>
        <v>24288.81</v>
      </c>
      <c r="T1172" s="339">
        <f ca="1">Q1172*S1172</f>
        <v>3643.3215</v>
      </c>
    </row>
    <row r="1173" spans="1:20" x14ac:dyDescent="0.25">
      <c r="A1173" s="4"/>
      <c r="B1173" s="4" t="s">
        <v>181</v>
      </c>
      <c r="C1173" s="2" t="str">
        <f ca="1">IFERROR(VLOOKUP(B1173,MO_Matriz,2,0),"")</f>
        <v>Desenhista</v>
      </c>
      <c r="F1173" s="4" t="str">
        <f ca="1">IFERROR(VLOOKUP(B1173,MO_Matriz,3,0),"")</f>
        <v>T</v>
      </c>
      <c r="H1173" s="2">
        <v>1</v>
      </c>
      <c r="I1173" s="2">
        <v>1</v>
      </c>
      <c r="K1173" s="2">
        <f>Listas!$B$6</f>
        <v>7.333333333333333</v>
      </c>
      <c r="M1173" s="238">
        <f>M1165</f>
        <v>4.5</v>
      </c>
      <c r="O1173" s="2">
        <f>H1173*I1173*K1173*M1173</f>
        <v>33</v>
      </c>
      <c r="Q1173" s="2">
        <f>O1173/220</f>
        <v>0.15</v>
      </c>
      <c r="S1173" s="310">
        <f ca="1">IFERROR(VLOOKUP(B1173,MO_Matriz,5,0),"")</f>
        <v>7821.6815999999999</v>
      </c>
      <c r="T1173" s="339">
        <f ca="1">Q1173*S1173</f>
        <v>1173.25224</v>
      </c>
    </row>
    <row r="1174" spans="1:20" x14ac:dyDescent="0.25">
      <c r="A1174" s="4"/>
      <c r="S1174" s="332" t="s">
        <v>329</v>
      </c>
      <c r="T1174" s="331">
        <f ca="1">SUM(T1172:T1173)</f>
        <v>4816.5737399999998</v>
      </c>
    </row>
    <row r="1175" spans="1:20" x14ac:dyDescent="0.25">
      <c r="A1175" s="4"/>
    </row>
    <row r="1176" spans="1:20" x14ac:dyDescent="0.25">
      <c r="A1176" s="329" t="s">
        <v>339</v>
      </c>
      <c r="B1176" s="2" t="s">
        <v>340</v>
      </c>
    </row>
    <row r="1177" spans="1:20" x14ac:dyDescent="0.25">
      <c r="B1177" s="2" t="s">
        <v>341</v>
      </c>
    </row>
    <row r="1179" spans="1:20" x14ac:dyDescent="0.25">
      <c r="A1179" s="4" t="s">
        <v>348</v>
      </c>
      <c r="B1179" s="2" t="s">
        <v>349</v>
      </c>
    </row>
    <row r="1180" spans="1:20" x14ac:dyDescent="0.25">
      <c r="A1180" s="4" t="s">
        <v>451</v>
      </c>
      <c r="B1180" s="2" t="s">
        <v>452</v>
      </c>
    </row>
    <row r="1181" spans="1:20" x14ac:dyDescent="0.25">
      <c r="B1181" s="4" t="s">
        <v>360</v>
      </c>
      <c r="C1181" s="2" t="s">
        <v>15</v>
      </c>
      <c r="F1181" s="4" t="s">
        <v>321</v>
      </c>
      <c r="G1181" s="4"/>
      <c r="H1181" s="4" t="s">
        <v>453</v>
      </c>
      <c r="I1181" s="4"/>
      <c r="J1181" s="4" t="s">
        <v>454</v>
      </c>
    </row>
    <row r="1182" spans="1:20" x14ac:dyDescent="0.25">
      <c r="B1182" s="4" t="str">
        <f>B1172</f>
        <v>P8065</v>
      </c>
      <c r="C1182" s="2" t="str">
        <f ca="1">IFERROR(VLOOKUP(B1182,MO_Matriz,2,0),"")</f>
        <v>Engenheiro de projetos júnior</v>
      </c>
      <c r="F1182" s="4" t="str">
        <f ca="1">IFERROR(VLOOKUP(B1182,MO_Matriz,3,0),"")</f>
        <v>S</v>
      </c>
      <c r="H1182" s="2" t="s">
        <v>455</v>
      </c>
      <c r="J1182" s="2">
        <v>1</v>
      </c>
    </row>
    <row r="1183" spans="1:20" x14ac:dyDescent="0.25">
      <c r="B1183" s="4" t="str">
        <f>B1173</f>
        <v>P9848</v>
      </c>
      <c r="C1183" s="2" t="str">
        <f ca="1">IFERROR(VLOOKUP(B1183,MO_Matriz,2,0),"")</f>
        <v>Desenhista</v>
      </c>
      <c r="F1183" s="4" t="str">
        <f ca="1">IFERROR(VLOOKUP(B1183,MO_Matriz,3,0),"")</f>
        <v>T</v>
      </c>
      <c r="H1183" s="2" t="s">
        <v>455</v>
      </c>
      <c r="J1183" s="2">
        <v>1</v>
      </c>
    </row>
    <row r="1184" spans="1:20" x14ac:dyDescent="0.25">
      <c r="I1184" s="332" t="s">
        <v>329</v>
      </c>
      <c r="J1184" s="332">
        <f>SUM(J1182:J1183)</f>
        <v>2</v>
      </c>
    </row>
    <row r="1186" spans="1:15" x14ac:dyDescent="0.25">
      <c r="A1186" s="4" t="s">
        <v>456</v>
      </c>
      <c r="B1186" s="2" t="s">
        <v>457</v>
      </c>
    </row>
    <row r="1187" spans="1:15" x14ac:dyDescent="0.25">
      <c r="A1187" s="4"/>
      <c r="B1187" s="2" t="s">
        <v>1032</v>
      </c>
    </row>
    <row r="1189" spans="1:15" x14ac:dyDescent="0.25">
      <c r="A1189" s="4" t="s">
        <v>350</v>
      </c>
      <c r="B1189" s="2" t="s">
        <v>351</v>
      </c>
    </row>
    <row r="1190" spans="1:15" x14ac:dyDescent="0.25">
      <c r="B1190" s="2" t="s">
        <v>344</v>
      </c>
    </row>
    <row r="1192" spans="1:15" x14ac:dyDescent="0.25">
      <c r="A1192" s="4" t="s">
        <v>197</v>
      </c>
      <c r="B1192" s="2" t="s">
        <v>352</v>
      </c>
    </row>
    <row r="1193" spans="1:15" s="28" customFormat="1" ht="17.25" x14ac:dyDescent="0.25">
      <c r="A1193" s="2"/>
      <c r="B1193" s="2" t="s">
        <v>346</v>
      </c>
      <c r="C1193" s="2"/>
      <c r="D1193" s="2"/>
      <c r="E1193" s="2"/>
      <c r="F1193" s="2"/>
      <c r="G1193" s="2"/>
      <c r="H1193" s="2"/>
      <c r="I1193" s="2"/>
      <c r="J1193" s="2"/>
      <c r="K1193" s="2"/>
      <c r="L1193" s="2"/>
      <c r="M1193" s="2"/>
      <c r="N1193" s="2"/>
      <c r="O1193" s="2"/>
    </row>
    <row r="1195" spans="1:15" x14ac:dyDescent="0.25">
      <c r="A1195" s="4" t="s">
        <v>353</v>
      </c>
      <c r="B1195" s="2" t="s">
        <v>354</v>
      </c>
    </row>
    <row r="1196" spans="1:15" x14ac:dyDescent="0.25">
      <c r="B1196" s="2" t="s">
        <v>347</v>
      </c>
    </row>
    <row r="1198" spans="1:15" x14ac:dyDescent="0.25">
      <c r="A1198" s="4" t="s">
        <v>355</v>
      </c>
      <c r="B1198" s="2" t="s">
        <v>356</v>
      </c>
    </row>
    <row r="1199" spans="1:15" x14ac:dyDescent="0.25">
      <c r="B1199" s="2" t="s">
        <v>15</v>
      </c>
      <c r="F1199" s="2" t="s">
        <v>357</v>
      </c>
    </row>
    <row r="1200" spans="1:15" x14ac:dyDescent="0.25">
      <c r="B1200" s="2" t="s">
        <v>317</v>
      </c>
      <c r="F1200" s="310">
        <f ca="1">T1174</f>
        <v>4816.5737399999998</v>
      </c>
    </row>
    <row r="1201" spans="1:20" x14ac:dyDescent="0.25">
      <c r="B1201" s="2" t="s">
        <v>276</v>
      </c>
      <c r="F1201" s="310">
        <v>0</v>
      </c>
      <c r="P1201" s="4"/>
    </row>
    <row r="1202" spans="1:20" x14ac:dyDescent="0.25">
      <c r="B1202" s="2" t="s">
        <v>342</v>
      </c>
      <c r="F1202" s="310">
        <v>0</v>
      </c>
      <c r="P1202" s="4"/>
    </row>
    <row r="1203" spans="1:20" x14ac:dyDescent="0.25">
      <c r="B1203" s="2" t="s">
        <v>343</v>
      </c>
      <c r="F1203" s="310">
        <v>0</v>
      </c>
    </row>
    <row r="1204" spans="1:20" x14ac:dyDescent="0.25">
      <c r="B1204" s="2" t="s">
        <v>345</v>
      </c>
      <c r="F1204" s="310">
        <v>0</v>
      </c>
    </row>
    <row r="1205" spans="1:20" x14ac:dyDescent="0.25">
      <c r="B1205" s="2" t="s">
        <v>516</v>
      </c>
      <c r="F1205" s="310">
        <v>0</v>
      </c>
    </row>
    <row r="1206" spans="1:20" x14ac:dyDescent="0.25">
      <c r="E1206" s="332" t="s">
        <v>329</v>
      </c>
      <c r="F1206" s="331">
        <f ca="1">SUM(F1200:F1205)</f>
        <v>4816.5737399999998</v>
      </c>
    </row>
    <row r="1207" spans="1:20" x14ac:dyDescent="0.25">
      <c r="A1207" s="4"/>
    </row>
    <row r="1208" spans="1:20" ht="17.25" x14ac:dyDescent="0.25">
      <c r="A1208" s="328" t="s">
        <v>935</v>
      </c>
      <c r="B1208" s="328" t="s">
        <v>214</v>
      </c>
      <c r="C1208" s="328"/>
      <c r="D1208" s="328"/>
      <c r="E1208" s="28"/>
      <c r="F1208" s="28"/>
      <c r="G1208" s="28"/>
      <c r="H1208" s="28"/>
      <c r="I1208" s="28"/>
      <c r="J1208" s="28"/>
      <c r="K1208" s="28"/>
      <c r="L1208" s="28"/>
      <c r="M1208" s="28"/>
      <c r="N1208" s="28"/>
      <c r="O1208" s="28"/>
    </row>
    <row r="1209" spans="1:20" x14ac:dyDescent="0.25">
      <c r="A1209" s="4" t="s">
        <v>61</v>
      </c>
      <c r="B1209" s="2" t="s">
        <v>338</v>
      </c>
    </row>
    <row r="1210" spans="1:20" x14ac:dyDescent="0.25">
      <c r="A1210" s="4"/>
      <c r="B1210" s="2" t="s">
        <v>15</v>
      </c>
      <c r="F1210" s="4" t="s">
        <v>414</v>
      </c>
      <c r="H1210" s="4" t="s">
        <v>856</v>
      </c>
      <c r="J1210" s="4" t="s">
        <v>224</v>
      </c>
      <c r="K1210" s="2" t="s">
        <v>855</v>
      </c>
      <c r="M1210" s="2" t="s">
        <v>325</v>
      </c>
      <c r="O1210" s="2" t="s">
        <v>381</v>
      </c>
    </row>
    <row r="1211" spans="1:20" x14ac:dyDescent="0.25">
      <c r="A1211" s="4"/>
      <c r="B1211" s="2" t="s">
        <v>594</v>
      </c>
      <c r="F1211" s="350">
        <v>1</v>
      </c>
      <c r="H1211" s="238">
        <v>0.35</v>
      </c>
      <c r="I1211" s="4"/>
      <c r="J1211" s="2">
        <f>1.5/H1211</f>
        <v>4.2857142857142856</v>
      </c>
      <c r="K1211" s="238">
        <f>'Carac trecho'!$C$59</f>
        <v>3</v>
      </c>
      <c r="M1211" s="238">
        <f>J1211+K1211</f>
        <v>7.2857142857142856</v>
      </c>
      <c r="O1211" s="2">
        <f>ROUNDUP(M1211*Listas!$E$5,0)</f>
        <v>9</v>
      </c>
    </row>
    <row r="1212" spans="1:20" x14ac:dyDescent="0.25">
      <c r="A1212" s="4"/>
      <c r="B1212" s="2" t="s">
        <v>487</v>
      </c>
      <c r="F1212" s="350">
        <v>0.6</v>
      </c>
      <c r="H1212" s="351">
        <v>0</v>
      </c>
      <c r="I1212" s="4"/>
      <c r="J1212" s="351">
        <v>0</v>
      </c>
      <c r="K1212" s="351">
        <v>0</v>
      </c>
      <c r="M1212" s="238">
        <f>M1211*F1212</f>
        <v>4.371428571428571</v>
      </c>
      <c r="O1212" s="238">
        <f>ROUNDUP(O1211*F1212,0)</f>
        <v>6</v>
      </c>
    </row>
    <row r="1213" spans="1:20" x14ac:dyDescent="0.25">
      <c r="A1213" s="4"/>
      <c r="B1213" s="2" t="s">
        <v>592</v>
      </c>
      <c r="F1213" s="350">
        <v>0.4</v>
      </c>
      <c r="H1213" s="351">
        <v>0</v>
      </c>
      <c r="I1213" s="4"/>
      <c r="J1213" s="351">
        <v>0</v>
      </c>
      <c r="K1213" s="351">
        <v>0</v>
      </c>
      <c r="M1213" s="238">
        <f>M1211-M1212</f>
        <v>2.9142857142857146</v>
      </c>
      <c r="O1213" s="238">
        <f>O1211-O1212</f>
        <v>3</v>
      </c>
    </row>
    <row r="1214" spans="1:20" x14ac:dyDescent="0.25">
      <c r="A1214" s="4"/>
      <c r="F1214" s="350"/>
      <c r="H1214" s="351"/>
      <c r="I1214" s="4"/>
      <c r="J1214" s="351"/>
      <c r="K1214" s="351"/>
      <c r="L1214" s="2" t="s">
        <v>329</v>
      </c>
      <c r="M1214" s="238">
        <f>SUM(M1211:M1213)</f>
        <v>14.571428571428571</v>
      </c>
      <c r="O1214" s="238"/>
    </row>
    <row r="1215" spans="1:20" x14ac:dyDescent="0.25">
      <c r="A1215" s="4"/>
    </row>
    <row r="1216" spans="1:20" x14ac:dyDescent="0.25">
      <c r="A1216" s="4"/>
      <c r="B1216" s="4" t="s">
        <v>360</v>
      </c>
      <c r="C1216" s="2" t="s">
        <v>15</v>
      </c>
      <c r="F1216" s="4" t="s">
        <v>321</v>
      </c>
      <c r="G1216" s="4"/>
      <c r="H1216" s="4" t="s">
        <v>322</v>
      </c>
      <c r="I1216" s="4" t="s">
        <v>323</v>
      </c>
      <c r="J1216" s="4"/>
      <c r="K1216" s="4" t="s">
        <v>324</v>
      </c>
      <c r="L1216" s="4"/>
      <c r="M1216" s="4" t="s">
        <v>325</v>
      </c>
      <c r="N1216" s="4"/>
      <c r="O1216" s="4" t="s">
        <v>326</v>
      </c>
      <c r="Q1216" s="4" t="s">
        <v>327</v>
      </c>
      <c r="R1216" s="4"/>
      <c r="S1216" s="4" t="s">
        <v>328</v>
      </c>
      <c r="T1216" s="329" t="s">
        <v>329</v>
      </c>
    </row>
    <row r="1217" spans="1:20" x14ac:dyDescent="0.25">
      <c r="A1217" s="4"/>
      <c r="B1217" s="4"/>
      <c r="F1217" s="4"/>
      <c r="G1217" s="4"/>
      <c r="H1217" s="4" t="s">
        <v>330</v>
      </c>
      <c r="I1217" s="4" t="s">
        <v>331</v>
      </c>
      <c r="J1217" s="4"/>
      <c r="K1217" s="4" t="s">
        <v>332</v>
      </c>
      <c r="L1217" s="4"/>
      <c r="M1217" s="4" t="s">
        <v>333</v>
      </c>
      <c r="N1217" s="4"/>
      <c r="O1217" s="4" t="s">
        <v>334</v>
      </c>
      <c r="Q1217" s="4" t="s">
        <v>335</v>
      </c>
      <c r="R1217" s="4"/>
      <c r="S1217" s="4" t="s">
        <v>336</v>
      </c>
      <c r="T1217" s="329" t="s">
        <v>337</v>
      </c>
    </row>
    <row r="1218" spans="1:20" x14ac:dyDescent="0.25">
      <c r="A1218" s="4"/>
      <c r="B1218" s="4" t="s">
        <v>112</v>
      </c>
      <c r="C1218" s="2" t="str">
        <f ca="1">IFERROR(VLOOKUP(B1218,MO_Matriz,2,0),"")</f>
        <v>Engenheiro de projetos júnior</v>
      </c>
      <c r="F1218" s="4" t="str">
        <f ca="1">IFERROR(VLOOKUP(B1218,MO_Matriz,3,0),"")</f>
        <v>S</v>
      </c>
      <c r="H1218" s="2">
        <v>1</v>
      </c>
      <c r="I1218" s="2">
        <v>1</v>
      </c>
      <c r="K1218" s="2">
        <f>Listas!$B$6</f>
        <v>7.333333333333333</v>
      </c>
      <c r="M1218" s="238">
        <f>M1211</f>
        <v>7.2857142857142856</v>
      </c>
      <c r="O1218" s="2">
        <f>H1218*I1218*K1218*M1218</f>
        <v>53.428571428571423</v>
      </c>
      <c r="Q1218" s="2">
        <f>O1218/220</f>
        <v>0.24285714285714283</v>
      </c>
      <c r="S1218" s="310">
        <f ca="1">IFERROR(VLOOKUP(B1218,MO_Matriz,5,0),"")</f>
        <v>24288.81</v>
      </c>
      <c r="T1218" s="339">
        <f ca="1">Q1218*S1218</f>
        <v>5898.7109999999993</v>
      </c>
    </row>
    <row r="1219" spans="1:20" x14ac:dyDescent="0.25">
      <c r="A1219" s="4"/>
      <c r="B1219" s="4" t="s">
        <v>181</v>
      </c>
      <c r="C1219" s="2" t="str">
        <f ca="1">IFERROR(VLOOKUP(B1219,MO_Matriz,2,0),"")</f>
        <v>Desenhista</v>
      </c>
      <c r="F1219" s="4" t="str">
        <f ca="1">IFERROR(VLOOKUP(B1219,MO_Matriz,3,0),"")</f>
        <v>T</v>
      </c>
      <c r="H1219" s="2">
        <v>1</v>
      </c>
      <c r="I1219" s="2">
        <v>1</v>
      </c>
      <c r="K1219" s="2">
        <f>Listas!$B$6</f>
        <v>7.333333333333333</v>
      </c>
      <c r="M1219" s="238">
        <f>M1211</f>
        <v>7.2857142857142856</v>
      </c>
      <c r="O1219" s="2">
        <f>H1219*I1219*K1219*M1219</f>
        <v>53.428571428571423</v>
      </c>
      <c r="Q1219" s="2">
        <f>O1219/220</f>
        <v>0.24285714285714283</v>
      </c>
      <c r="S1219" s="310">
        <f ca="1">IFERROR(VLOOKUP(B1219,MO_Matriz,5,0),"")</f>
        <v>7821.6815999999999</v>
      </c>
      <c r="T1219" s="339">
        <f ca="1">Q1219*S1219</f>
        <v>1899.5512457142854</v>
      </c>
    </row>
    <row r="1220" spans="1:20" x14ac:dyDescent="0.25">
      <c r="A1220" s="4"/>
      <c r="S1220" s="332" t="s">
        <v>329</v>
      </c>
      <c r="T1220" s="331">
        <f ca="1">SUM(T1218:T1219)</f>
        <v>7798.2622457142843</v>
      </c>
    </row>
    <row r="1221" spans="1:20" x14ac:dyDescent="0.25">
      <c r="A1221" s="4"/>
    </row>
    <row r="1222" spans="1:20" x14ac:dyDescent="0.25">
      <c r="A1222" s="329" t="s">
        <v>339</v>
      </c>
      <c r="B1222" s="2" t="s">
        <v>340</v>
      </c>
    </row>
    <row r="1223" spans="1:20" x14ac:dyDescent="0.25">
      <c r="B1223" s="2" t="s">
        <v>341</v>
      </c>
    </row>
    <row r="1225" spans="1:20" x14ac:dyDescent="0.25">
      <c r="A1225" s="4" t="s">
        <v>348</v>
      </c>
      <c r="B1225" s="2" t="s">
        <v>349</v>
      </c>
    </row>
    <row r="1226" spans="1:20" x14ac:dyDescent="0.25">
      <c r="A1226" s="4" t="s">
        <v>451</v>
      </c>
      <c r="B1226" s="2" t="s">
        <v>452</v>
      </c>
    </row>
    <row r="1227" spans="1:20" x14ac:dyDescent="0.25">
      <c r="B1227" s="4" t="s">
        <v>360</v>
      </c>
      <c r="C1227" s="2" t="s">
        <v>15</v>
      </c>
      <c r="F1227" s="4" t="s">
        <v>321</v>
      </c>
      <c r="G1227" s="4"/>
      <c r="H1227" s="4" t="s">
        <v>453</v>
      </c>
      <c r="I1227" s="4"/>
      <c r="J1227" s="4" t="s">
        <v>454</v>
      </c>
    </row>
    <row r="1228" spans="1:20" x14ac:dyDescent="0.25">
      <c r="B1228" s="4" t="str">
        <f>B1218</f>
        <v>P8065</v>
      </c>
      <c r="C1228" s="2" t="str">
        <f ca="1">IFERROR(VLOOKUP(B1228,MO_Matriz,2,0),"")</f>
        <v>Engenheiro de projetos júnior</v>
      </c>
      <c r="F1228" s="4" t="str">
        <f ca="1">IFERROR(VLOOKUP(B1228,MO_Matriz,3,0),"")</f>
        <v>S</v>
      </c>
      <c r="H1228" s="2" t="s">
        <v>455</v>
      </c>
      <c r="J1228" s="2">
        <v>1</v>
      </c>
    </row>
    <row r="1229" spans="1:20" x14ac:dyDescent="0.25">
      <c r="B1229" s="4" t="str">
        <f>B1219</f>
        <v>P9848</v>
      </c>
      <c r="C1229" s="2" t="str">
        <f ca="1">IFERROR(VLOOKUP(B1229,MO_Matriz,2,0),"")</f>
        <v>Desenhista</v>
      </c>
      <c r="F1229" s="4" t="str">
        <f ca="1">IFERROR(VLOOKUP(B1229,MO_Matriz,3,0),"")</f>
        <v>T</v>
      </c>
      <c r="H1229" s="2" t="s">
        <v>455</v>
      </c>
      <c r="J1229" s="2">
        <v>1</v>
      </c>
    </row>
    <row r="1230" spans="1:20" x14ac:dyDescent="0.25">
      <c r="I1230" s="332" t="s">
        <v>329</v>
      </c>
      <c r="J1230" s="332">
        <f>SUM(J1228:J1229)</f>
        <v>2</v>
      </c>
    </row>
    <row r="1232" spans="1:20" x14ac:dyDescent="0.25">
      <c r="A1232" s="4" t="s">
        <v>456</v>
      </c>
      <c r="B1232" s="2" t="s">
        <v>457</v>
      </c>
    </row>
    <row r="1233" spans="1:20" x14ac:dyDescent="0.25">
      <c r="A1233" s="4"/>
      <c r="B1233" s="2" t="s">
        <v>1032</v>
      </c>
    </row>
    <row r="1235" spans="1:20" x14ac:dyDescent="0.25">
      <c r="A1235" s="4" t="s">
        <v>350</v>
      </c>
      <c r="B1235" s="2" t="s">
        <v>351</v>
      </c>
    </row>
    <row r="1236" spans="1:20" x14ac:dyDescent="0.25">
      <c r="B1236" s="2" t="s">
        <v>344</v>
      </c>
    </row>
    <row r="1238" spans="1:20" x14ac:dyDescent="0.25">
      <c r="A1238" s="4" t="s">
        <v>197</v>
      </c>
      <c r="B1238" s="2" t="s">
        <v>352</v>
      </c>
    </row>
    <row r="1239" spans="1:20" ht="17.25" x14ac:dyDescent="0.25">
      <c r="B1239" s="2" t="s">
        <v>346</v>
      </c>
      <c r="P1239" s="28"/>
      <c r="Q1239" s="28"/>
      <c r="R1239" s="28"/>
      <c r="S1239" s="28"/>
      <c r="T1239" s="28"/>
    </row>
    <row r="1241" spans="1:20" x14ac:dyDescent="0.25">
      <c r="A1241" s="4" t="s">
        <v>353</v>
      </c>
      <c r="B1241" s="2" t="s">
        <v>354</v>
      </c>
    </row>
    <row r="1242" spans="1:20" x14ac:dyDescent="0.25">
      <c r="B1242" s="2" t="s">
        <v>347</v>
      </c>
    </row>
    <row r="1244" spans="1:20" x14ac:dyDescent="0.25">
      <c r="A1244" s="4" t="s">
        <v>355</v>
      </c>
      <c r="B1244" s="2" t="s">
        <v>356</v>
      </c>
    </row>
    <row r="1245" spans="1:20" x14ac:dyDescent="0.25">
      <c r="B1245" s="2" t="s">
        <v>15</v>
      </c>
      <c r="F1245" s="2" t="s">
        <v>357</v>
      </c>
    </row>
    <row r="1246" spans="1:20" x14ac:dyDescent="0.25">
      <c r="B1246" s="2" t="s">
        <v>317</v>
      </c>
      <c r="F1246" s="310">
        <f ca="1">T1220</f>
        <v>7798.2622457142843</v>
      </c>
    </row>
    <row r="1247" spans="1:20" x14ac:dyDescent="0.25">
      <c r="B1247" s="2" t="s">
        <v>276</v>
      </c>
      <c r="F1247" s="310">
        <v>0</v>
      </c>
      <c r="P1247" s="4"/>
    </row>
    <row r="1248" spans="1:20" x14ac:dyDescent="0.25">
      <c r="B1248" s="2" t="s">
        <v>342</v>
      </c>
      <c r="F1248" s="310">
        <v>0</v>
      </c>
      <c r="P1248" s="4"/>
    </row>
    <row r="1249" spans="1:20" x14ac:dyDescent="0.25">
      <c r="B1249" s="2" t="s">
        <v>343</v>
      </c>
      <c r="F1249" s="310">
        <v>0</v>
      </c>
    </row>
    <row r="1250" spans="1:20" x14ac:dyDescent="0.25">
      <c r="B1250" s="2" t="s">
        <v>345</v>
      </c>
      <c r="F1250" s="310">
        <v>0</v>
      </c>
    </row>
    <row r="1251" spans="1:20" x14ac:dyDescent="0.25">
      <c r="B1251" s="2" t="s">
        <v>516</v>
      </c>
      <c r="F1251" s="310">
        <v>0</v>
      </c>
    </row>
    <row r="1252" spans="1:20" x14ac:dyDescent="0.25">
      <c r="E1252" s="332" t="s">
        <v>329</v>
      </c>
      <c r="F1252" s="331">
        <f ca="1">SUM(F1246:F1251)</f>
        <v>7798.2622457142843</v>
      </c>
    </row>
    <row r="1254" spans="1:20" ht="17.25" x14ac:dyDescent="0.25">
      <c r="A1254" s="328" t="s">
        <v>936</v>
      </c>
      <c r="B1254" s="328" t="s">
        <v>783</v>
      </c>
      <c r="C1254" s="328"/>
      <c r="D1254" s="328"/>
      <c r="E1254" s="328"/>
      <c r="F1254" s="328"/>
      <c r="G1254" s="28"/>
      <c r="H1254" s="28"/>
      <c r="I1254" s="28"/>
      <c r="J1254" s="28"/>
      <c r="K1254" s="28"/>
      <c r="L1254" s="28"/>
      <c r="M1254" s="28"/>
      <c r="N1254" s="28"/>
      <c r="O1254" s="28"/>
    </row>
    <row r="1255" spans="1:20" x14ac:dyDescent="0.25">
      <c r="A1255" s="4" t="s">
        <v>61</v>
      </c>
      <c r="B1255" s="2" t="s">
        <v>338</v>
      </c>
    </row>
    <row r="1256" spans="1:20" x14ac:dyDescent="0.25">
      <c r="A1256" s="4"/>
      <c r="B1256" s="2" t="s">
        <v>15</v>
      </c>
      <c r="F1256" s="4" t="s">
        <v>414</v>
      </c>
      <c r="H1256" s="4" t="s">
        <v>856</v>
      </c>
      <c r="J1256" s="4" t="s">
        <v>224</v>
      </c>
      <c r="K1256" s="2" t="s">
        <v>855</v>
      </c>
      <c r="M1256" s="2" t="s">
        <v>325</v>
      </c>
      <c r="O1256" s="2" t="s">
        <v>381</v>
      </c>
    </row>
    <row r="1257" spans="1:20" x14ac:dyDescent="0.25">
      <c r="A1257" s="4"/>
      <c r="B1257" s="2" t="s">
        <v>595</v>
      </c>
      <c r="F1257" s="350">
        <v>1</v>
      </c>
      <c r="H1257" s="238">
        <v>0.35</v>
      </c>
      <c r="I1257" s="4"/>
      <c r="J1257" s="2">
        <f>1.5/H1257</f>
        <v>4.2857142857142856</v>
      </c>
      <c r="K1257" s="238">
        <f>'Carac trecho'!$C$59</f>
        <v>3</v>
      </c>
      <c r="M1257" s="238">
        <f>J1257+K1257</f>
        <v>7.2857142857142856</v>
      </c>
      <c r="O1257" s="2">
        <f>ROUNDUP(M1257*Listas!$E$5,0)</f>
        <v>9</v>
      </c>
    </row>
    <row r="1258" spans="1:20" x14ac:dyDescent="0.25">
      <c r="A1258" s="4"/>
      <c r="B1258" s="2" t="s">
        <v>487</v>
      </c>
      <c r="F1258" s="350">
        <v>0.6</v>
      </c>
      <c r="H1258" s="351">
        <v>0</v>
      </c>
      <c r="I1258" s="4"/>
      <c r="J1258" s="351">
        <v>0</v>
      </c>
      <c r="K1258" s="351">
        <v>0</v>
      </c>
      <c r="M1258" s="238">
        <f>M1257*F1258</f>
        <v>4.371428571428571</v>
      </c>
      <c r="O1258" s="238">
        <f>ROUNDUP(O1257*F1258,0)</f>
        <v>6</v>
      </c>
    </row>
    <row r="1259" spans="1:20" x14ac:dyDescent="0.25">
      <c r="A1259" s="4"/>
      <c r="B1259" s="2" t="s">
        <v>592</v>
      </c>
      <c r="F1259" s="350">
        <v>0.4</v>
      </c>
      <c r="H1259" s="351">
        <v>0</v>
      </c>
      <c r="I1259" s="4"/>
      <c r="J1259" s="351">
        <v>0</v>
      </c>
      <c r="K1259" s="351">
        <v>0</v>
      </c>
      <c r="M1259" s="238">
        <f>M1257-M1258</f>
        <v>2.9142857142857146</v>
      </c>
      <c r="O1259" s="238">
        <f>O1257-O1258</f>
        <v>3</v>
      </c>
    </row>
    <row r="1260" spans="1:20" x14ac:dyDescent="0.25">
      <c r="A1260" s="4"/>
      <c r="F1260" s="350"/>
      <c r="H1260" s="351"/>
      <c r="I1260" s="4"/>
      <c r="J1260" s="351"/>
      <c r="K1260" s="351"/>
      <c r="L1260" s="2" t="s">
        <v>329</v>
      </c>
      <c r="M1260" s="238">
        <f>SUM(M1257:M1259)</f>
        <v>14.571428571428571</v>
      </c>
      <c r="O1260" s="238"/>
    </row>
    <row r="1261" spans="1:20" x14ac:dyDescent="0.25">
      <c r="A1261" s="4"/>
    </row>
    <row r="1262" spans="1:20" x14ac:dyDescent="0.25">
      <c r="A1262" s="4"/>
      <c r="B1262" s="4" t="s">
        <v>360</v>
      </c>
      <c r="C1262" s="2" t="s">
        <v>15</v>
      </c>
      <c r="F1262" s="4" t="s">
        <v>321</v>
      </c>
      <c r="G1262" s="4"/>
      <c r="H1262" s="4" t="s">
        <v>322</v>
      </c>
      <c r="I1262" s="4" t="s">
        <v>323</v>
      </c>
      <c r="J1262" s="4"/>
      <c r="K1262" s="4" t="s">
        <v>324</v>
      </c>
      <c r="L1262" s="4"/>
      <c r="M1262" s="4" t="s">
        <v>325</v>
      </c>
      <c r="N1262" s="4"/>
      <c r="O1262" s="4" t="s">
        <v>326</v>
      </c>
      <c r="Q1262" s="4" t="s">
        <v>327</v>
      </c>
      <c r="R1262" s="4"/>
      <c r="S1262" s="4" t="s">
        <v>328</v>
      </c>
      <c r="T1262" s="329" t="s">
        <v>329</v>
      </c>
    </row>
    <row r="1263" spans="1:20" x14ac:dyDescent="0.25">
      <c r="A1263" s="4"/>
      <c r="B1263" s="4"/>
      <c r="F1263" s="4"/>
      <c r="G1263" s="4"/>
      <c r="H1263" s="4" t="s">
        <v>330</v>
      </c>
      <c r="I1263" s="4" t="s">
        <v>331</v>
      </c>
      <c r="J1263" s="4"/>
      <c r="K1263" s="4" t="s">
        <v>332</v>
      </c>
      <c r="L1263" s="4"/>
      <c r="M1263" s="4" t="s">
        <v>333</v>
      </c>
      <c r="N1263" s="4"/>
      <c r="O1263" s="4" t="s">
        <v>334</v>
      </c>
      <c r="Q1263" s="4" t="s">
        <v>335</v>
      </c>
      <c r="R1263" s="4"/>
      <c r="S1263" s="4" t="s">
        <v>336</v>
      </c>
      <c r="T1263" s="329" t="s">
        <v>337</v>
      </c>
    </row>
    <row r="1264" spans="1:20" x14ac:dyDescent="0.25">
      <c r="A1264" s="4"/>
      <c r="B1264" s="4" t="s">
        <v>112</v>
      </c>
      <c r="C1264" s="2" t="str">
        <f ca="1">IFERROR(VLOOKUP(B1264,MO_Matriz,2,0),"")</f>
        <v>Engenheiro de projetos júnior</v>
      </c>
      <c r="F1264" s="4" t="str">
        <f ca="1">IFERROR(VLOOKUP(B1264,MO_Matriz,3,0),"")</f>
        <v>S</v>
      </c>
      <c r="H1264" s="2">
        <v>1</v>
      </c>
      <c r="I1264" s="2">
        <v>1</v>
      </c>
      <c r="K1264" s="2">
        <f>Listas!$B$6</f>
        <v>7.333333333333333</v>
      </c>
      <c r="M1264" s="238">
        <f>M1257</f>
        <v>7.2857142857142856</v>
      </c>
      <c r="O1264" s="2">
        <f>H1264*I1264*K1264*M1264</f>
        <v>53.428571428571423</v>
      </c>
      <c r="Q1264" s="2">
        <f>O1264/220</f>
        <v>0.24285714285714283</v>
      </c>
      <c r="S1264" s="310">
        <f ca="1">IFERROR(VLOOKUP(B1264,MO_Matriz,5,0),"")</f>
        <v>24288.81</v>
      </c>
      <c r="T1264" s="339">
        <f ca="1">Q1264*S1264</f>
        <v>5898.7109999999993</v>
      </c>
    </row>
    <row r="1265" spans="1:20" x14ac:dyDescent="0.25">
      <c r="A1265" s="4"/>
      <c r="B1265" s="4" t="s">
        <v>181</v>
      </c>
      <c r="C1265" s="2" t="str">
        <f ca="1">IFERROR(VLOOKUP(B1265,MO_Matriz,2,0),"")</f>
        <v>Desenhista</v>
      </c>
      <c r="F1265" s="4" t="str">
        <f ca="1">IFERROR(VLOOKUP(B1265,MO_Matriz,3,0),"")</f>
        <v>T</v>
      </c>
      <c r="H1265" s="2">
        <v>1</v>
      </c>
      <c r="I1265" s="2">
        <v>1</v>
      </c>
      <c r="K1265" s="2">
        <f>Listas!$B$6</f>
        <v>7.333333333333333</v>
      </c>
      <c r="M1265" s="238">
        <f>M1257</f>
        <v>7.2857142857142856</v>
      </c>
      <c r="O1265" s="2">
        <f>H1265*I1265*K1265*M1265</f>
        <v>53.428571428571423</v>
      </c>
      <c r="Q1265" s="2">
        <f>O1265/220</f>
        <v>0.24285714285714283</v>
      </c>
      <c r="S1265" s="310">
        <f ca="1">IFERROR(VLOOKUP(B1265,MO_Matriz,5,0),"")</f>
        <v>7821.6815999999999</v>
      </c>
      <c r="T1265" s="339">
        <f ca="1">Q1265*S1265</f>
        <v>1899.5512457142854</v>
      </c>
    </row>
    <row r="1266" spans="1:20" x14ac:dyDescent="0.25">
      <c r="A1266" s="4"/>
      <c r="S1266" s="332" t="s">
        <v>329</v>
      </c>
      <c r="T1266" s="331">
        <f ca="1">SUM(T1264:T1265)</f>
        <v>7798.2622457142843</v>
      </c>
    </row>
    <row r="1267" spans="1:20" x14ac:dyDescent="0.25">
      <c r="A1267" s="4"/>
    </row>
    <row r="1268" spans="1:20" x14ac:dyDescent="0.25">
      <c r="A1268" s="329" t="s">
        <v>339</v>
      </c>
      <c r="B1268" s="2" t="s">
        <v>340</v>
      </c>
    </row>
    <row r="1269" spans="1:20" x14ac:dyDescent="0.25">
      <c r="B1269" s="2" t="s">
        <v>341</v>
      </c>
    </row>
    <row r="1271" spans="1:20" x14ac:dyDescent="0.25">
      <c r="A1271" s="4" t="s">
        <v>348</v>
      </c>
      <c r="B1271" s="2" t="s">
        <v>349</v>
      </c>
    </row>
    <row r="1272" spans="1:20" x14ac:dyDescent="0.25">
      <c r="A1272" s="4" t="s">
        <v>451</v>
      </c>
      <c r="B1272" s="2" t="s">
        <v>452</v>
      </c>
    </row>
    <row r="1273" spans="1:20" x14ac:dyDescent="0.25">
      <c r="B1273" s="4" t="s">
        <v>360</v>
      </c>
      <c r="C1273" s="2" t="s">
        <v>15</v>
      </c>
      <c r="F1273" s="4" t="s">
        <v>321</v>
      </c>
      <c r="G1273" s="4"/>
      <c r="H1273" s="4" t="s">
        <v>453</v>
      </c>
      <c r="I1273" s="4"/>
      <c r="J1273" s="4" t="s">
        <v>454</v>
      </c>
    </row>
    <row r="1274" spans="1:20" x14ac:dyDescent="0.25">
      <c r="B1274" s="4" t="str">
        <f>B1264</f>
        <v>P8065</v>
      </c>
      <c r="C1274" s="2" t="str">
        <f ca="1">IFERROR(VLOOKUP(B1274,MO_Matriz,2,0),"")</f>
        <v>Engenheiro de projetos júnior</v>
      </c>
      <c r="F1274" s="4" t="str">
        <f ca="1">IFERROR(VLOOKUP(B1274,MO_Matriz,3,0),"")</f>
        <v>S</v>
      </c>
      <c r="H1274" s="2" t="s">
        <v>455</v>
      </c>
      <c r="J1274" s="2">
        <v>1</v>
      </c>
    </row>
    <row r="1275" spans="1:20" x14ac:dyDescent="0.25">
      <c r="B1275" s="4" t="str">
        <f>B1265</f>
        <v>P9848</v>
      </c>
      <c r="C1275" s="2" t="str">
        <f ca="1">IFERROR(VLOOKUP(B1275,MO_Matriz,2,0),"")</f>
        <v>Desenhista</v>
      </c>
      <c r="F1275" s="4" t="str">
        <f ca="1">IFERROR(VLOOKUP(B1275,MO_Matriz,3,0),"")</f>
        <v>T</v>
      </c>
      <c r="H1275" s="2" t="s">
        <v>455</v>
      </c>
      <c r="J1275" s="2">
        <v>1</v>
      </c>
    </row>
    <row r="1276" spans="1:20" x14ac:dyDescent="0.25">
      <c r="I1276" s="332" t="s">
        <v>329</v>
      </c>
      <c r="J1276" s="332">
        <f>SUM(J1274:J1275)</f>
        <v>2</v>
      </c>
    </row>
    <row r="1278" spans="1:20" x14ac:dyDescent="0.25">
      <c r="A1278" s="4" t="s">
        <v>456</v>
      </c>
      <c r="B1278" s="2" t="s">
        <v>457</v>
      </c>
    </row>
    <row r="1279" spans="1:20" x14ac:dyDescent="0.25">
      <c r="A1279" s="4"/>
      <c r="B1279" s="2" t="s">
        <v>1032</v>
      </c>
    </row>
    <row r="1280" spans="1:20" x14ac:dyDescent="0.25">
      <c r="A1280" s="4"/>
    </row>
    <row r="1281" spans="1:20" x14ac:dyDescent="0.25">
      <c r="A1281" s="4" t="s">
        <v>350</v>
      </c>
      <c r="B1281" s="2" t="s">
        <v>351</v>
      </c>
    </row>
    <row r="1282" spans="1:20" x14ac:dyDescent="0.25">
      <c r="B1282" s="2" t="s">
        <v>344</v>
      </c>
    </row>
    <row r="1284" spans="1:20" x14ac:dyDescent="0.25">
      <c r="A1284" s="4" t="s">
        <v>197</v>
      </c>
      <c r="B1284" s="2" t="s">
        <v>352</v>
      </c>
    </row>
    <row r="1285" spans="1:20" ht="17.25" x14ac:dyDescent="0.25">
      <c r="B1285" s="2" t="s">
        <v>346</v>
      </c>
      <c r="P1285" s="28"/>
      <c r="Q1285" s="28"/>
      <c r="R1285" s="28"/>
      <c r="S1285" s="28"/>
      <c r="T1285" s="28"/>
    </row>
    <row r="1287" spans="1:20" x14ac:dyDescent="0.25">
      <c r="A1287" s="4" t="s">
        <v>353</v>
      </c>
      <c r="B1287" s="2" t="s">
        <v>354</v>
      </c>
    </row>
    <row r="1288" spans="1:20" x14ac:dyDescent="0.25">
      <c r="B1288" s="2" t="s">
        <v>347</v>
      </c>
    </row>
    <row r="1290" spans="1:20" x14ac:dyDescent="0.25">
      <c r="A1290" s="4" t="s">
        <v>355</v>
      </c>
      <c r="B1290" s="2" t="s">
        <v>356</v>
      </c>
    </row>
    <row r="1291" spans="1:20" x14ac:dyDescent="0.25">
      <c r="B1291" s="2" t="s">
        <v>15</v>
      </c>
      <c r="F1291" s="2" t="s">
        <v>357</v>
      </c>
    </row>
    <row r="1292" spans="1:20" x14ac:dyDescent="0.25">
      <c r="B1292" s="2" t="s">
        <v>317</v>
      </c>
      <c r="F1292" s="310">
        <f ca="1">T1266</f>
        <v>7798.2622457142843</v>
      </c>
    </row>
    <row r="1293" spans="1:20" x14ac:dyDescent="0.25">
      <c r="B1293" s="2" t="s">
        <v>276</v>
      </c>
      <c r="F1293" s="310">
        <v>0</v>
      </c>
      <c r="P1293" s="4"/>
    </row>
    <row r="1294" spans="1:20" x14ac:dyDescent="0.25">
      <c r="B1294" s="2" t="s">
        <v>342</v>
      </c>
      <c r="F1294" s="310">
        <v>0</v>
      </c>
      <c r="P1294" s="4"/>
    </row>
    <row r="1295" spans="1:20" x14ac:dyDescent="0.25">
      <c r="B1295" s="2" t="s">
        <v>343</v>
      </c>
      <c r="F1295" s="310">
        <v>0</v>
      </c>
    </row>
    <row r="1296" spans="1:20" x14ac:dyDescent="0.25">
      <c r="B1296" s="2" t="s">
        <v>345</v>
      </c>
      <c r="F1296" s="310">
        <v>0</v>
      </c>
    </row>
    <row r="1297" spans="1:20" x14ac:dyDescent="0.25">
      <c r="B1297" s="2" t="s">
        <v>516</v>
      </c>
      <c r="F1297" s="310">
        <v>0</v>
      </c>
    </row>
    <row r="1298" spans="1:20" x14ac:dyDescent="0.25">
      <c r="E1298" s="332" t="s">
        <v>329</v>
      </c>
      <c r="F1298" s="331">
        <f ca="1">SUM(F1292:F1297)</f>
        <v>7798.2622457142843</v>
      </c>
    </row>
    <row r="1300" spans="1:20" ht="17.25" x14ac:dyDescent="0.25">
      <c r="A1300" s="328" t="s">
        <v>937</v>
      </c>
      <c r="B1300" s="328" t="s">
        <v>216</v>
      </c>
      <c r="C1300" s="328"/>
      <c r="D1300" s="328"/>
      <c r="E1300" s="28"/>
      <c r="F1300" s="28"/>
      <c r="G1300" s="28"/>
      <c r="H1300" s="28"/>
      <c r="I1300" s="28"/>
      <c r="J1300" s="28"/>
      <c r="K1300" s="28"/>
      <c r="L1300" s="28"/>
      <c r="M1300" s="28"/>
      <c r="N1300" s="28"/>
      <c r="O1300" s="28"/>
    </row>
    <row r="1301" spans="1:20" x14ac:dyDescent="0.25">
      <c r="A1301" s="4" t="s">
        <v>61</v>
      </c>
      <c r="B1301" s="2" t="s">
        <v>338</v>
      </c>
    </row>
    <row r="1302" spans="1:20" x14ac:dyDescent="0.25">
      <c r="A1302" s="4"/>
      <c r="B1302" s="2" t="s">
        <v>15</v>
      </c>
      <c r="F1302" s="4" t="s">
        <v>414</v>
      </c>
      <c r="H1302" s="4" t="s">
        <v>856</v>
      </c>
      <c r="J1302" s="4" t="s">
        <v>224</v>
      </c>
      <c r="K1302" s="2" t="s">
        <v>855</v>
      </c>
      <c r="M1302" s="2" t="s">
        <v>325</v>
      </c>
      <c r="O1302" s="2" t="s">
        <v>381</v>
      </c>
    </row>
    <row r="1303" spans="1:20" x14ac:dyDescent="0.25">
      <c r="A1303" s="4"/>
      <c r="B1303" s="2" t="s">
        <v>596</v>
      </c>
      <c r="F1303" s="350">
        <v>1</v>
      </c>
      <c r="H1303" s="238">
        <v>1</v>
      </c>
      <c r="I1303" s="4"/>
      <c r="J1303" s="2">
        <f>1.5/H1303</f>
        <v>1.5</v>
      </c>
      <c r="K1303" s="238">
        <f>'Carac trecho'!$C$59</f>
        <v>3</v>
      </c>
      <c r="M1303" s="238">
        <f>J1303+K1303</f>
        <v>4.5</v>
      </c>
      <c r="O1303" s="2">
        <f>ROUNDUP(M1303*Listas!$E$5,0)</f>
        <v>6</v>
      </c>
    </row>
    <row r="1304" spans="1:20" x14ac:dyDescent="0.25">
      <c r="A1304" s="4"/>
      <c r="B1304" s="2" t="s">
        <v>487</v>
      </c>
      <c r="F1304" s="350">
        <v>0.6</v>
      </c>
      <c r="H1304" s="351">
        <v>0</v>
      </c>
      <c r="I1304" s="4"/>
      <c r="J1304" s="351">
        <v>0</v>
      </c>
      <c r="K1304" s="351">
        <v>0</v>
      </c>
      <c r="M1304" s="238">
        <f>M1303*F1304</f>
        <v>2.6999999999999997</v>
      </c>
      <c r="O1304" s="238">
        <f>ROUNDUP(O1303*F1304,0)</f>
        <v>4</v>
      </c>
    </row>
    <row r="1305" spans="1:20" x14ac:dyDescent="0.25">
      <c r="A1305" s="4"/>
      <c r="B1305" s="2" t="s">
        <v>592</v>
      </c>
      <c r="F1305" s="350">
        <v>0.4</v>
      </c>
      <c r="H1305" s="351">
        <v>0</v>
      </c>
      <c r="I1305" s="4"/>
      <c r="J1305" s="351">
        <v>0</v>
      </c>
      <c r="K1305" s="351">
        <v>0</v>
      </c>
      <c r="M1305" s="238">
        <f>M1303-M1304</f>
        <v>1.8000000000000003</v>
      </c>
      <c r="O1305" s="238">
        <f>O1303-O1304</f>
        <v>2</v>
      </c>
    </row>
    <row r="1306" spans="1:20" x14ac:dyDescent="0.25">
      <c r="A1306" s="4"/>
      <c r="F1306" s="350"/>
      <c r="H1306" s="351"/>
      <c r="I1306" s="4"/>
      <c r="J1306" s="351"/>
      <c r="K1306" s="351"/>
      <c r="L1306" s="2" t="s">
        <v>329</v>
      </c>
      <c r="M1306" s="238">
        <f>SUM(M1303:M1305)</f>
        <v>9</v>
      </c>
      <c r="O1306" s="238"/>
    </row>
    <row r="1307" spans="1:20" x14ac:dyDescent="0.25">
      <c r="A1307" s="4"/>
    </row>
    <row r="1308" spans="1:20" x14ac:dyDescent="0.25">
      <c r="A1308" s="4"/>
      <c r="B1308" s="4" t="s">
        <v>360</v>
      </c>
      <c r="C1308" s="2" t="s">
        <v>15</v>
      </c>
      <c r="F1308" s="4" t="s">
        <v>321</v>
      </c>
      <c r="G1308" s="4"/>
      <c r="H1308" s="4" t="s">
        <v>322</v>
      </c>
      <c r="I1308" s="4" t="s">
        <v>323</v>
      </c>
      <c r="J1308" s="4"/>
      <c r="K1308" s="4" t="s">
        <v>324</v>
      </c>
      <c r="L1308" s="4"/>
      <c r="M1308" s="4" t="s">
        <v>325</v>
      </c>
      <c r="N1308" s="4"/>
      <c r="O1308" s="4" t="s">
        <v>326</v>
      </c>
      <c r="Q1308" s="4" t="s">
        <v>327</v>
      </c>
      <c r="R1308" s="4"/>
      <c r="S1308" s="4" t="s">
        <v>328</v>
      </c>
      <c r="T1308" s="329" t="s">
        <v>329</v>
      </c>
    </row>
    <row r="1309" spans="1:20" x14ac:dyDescent="0.25">
      <c r="A1309" s="4"/>
      <c r="B1309" s="4"/>
      <c r="F1309" s="4"/>
      <c r="G1309" s="4"/>
      <c r="H1309" s="4" t="s">
        <v>330</v>
      </c>
      <c r="I1309" s="4" t="s">
        <v>331</v>
      </c>
      <c r="J1309" s="4"/>
      <c r="K1309" s="4" t="s">
        <v>332</v>
      </c>
      <c r="L1309" s="4"/>
      <c r="M1309" s="4" t="s">
        <v>333</v>
      </c>
      <c r="N1309" s="4"/>
      <c r="O1309" s="4" t="s">
        <v>334</v>
      </c>
      <c r="Q1309" s="4" t="s">
        <v>335</v>
      </c>
      <c r="R1309" s="4"/>
      <c r="S1309" s="4" t="s">
        <v>336</v>
      </c>
      <c r="T1309" s="329" t="s">
        <v>337</v>
      </c>
    </row>
    <row r="1310" spans="1:20" x14ac:dyDescent="0.25">
      <c r="A1310" s="4"/>
      <c r="B1310" s="4" t="s">
        <v>112</v>
      </c>
      <c r="C1310" s="2" t="str">
        <f ca="1">IFERROR(VLOOKUP(B1310,MO_Matriz,2,0),"")</f>
        <v>Engenheiro de projetos júnior</v>
      </c>
      <c r="F1310" s="4" t="str">
        <f ca="1">IFERROR(VLOOKUP(B1310,MO_Matriz,3,0),"")</f>
        <v>S</v>
      </c>
      <c r="H1310" s="2">
        <v>1</v>
      </c>
      <c r="I1310" s="2">
        <v>1</v>
      </c>
      <c r="K1310" s="2">
        <f>Listas!$B$6</f>
        <v>7.333333333333333</v>
      </c>
      <c r="M1310" s="238">
        <f>M1303</f>
        <v>4.5</v>
      </c>
      <c r="O1310" s="2">
        <f>H1310*I1310*K1310*M1310</f>
        <v>33</v>
      </c>
      <c r="Q1310" s="2">
        <f>O1310/220</f>
        <v>0.15</v>
      </c>
      <c r="S1310" s="310">
        <f ca="1">IFERROR(VLOOKUP(B1310,MO_Matriz,5,0),"")</f>
        <v>24288.81</v>
      </c>
      <c r="T1310" s="339">
        <f ca="1">Q1310*S1310</f>
        <v>3643.3215</v>
      </c>
    </row>
    <row r="1311" spans="1:20" x14ac:dyDescent="0.25">
      <c r="A1311" s="4"/>
      <c r="B1311" s="4" t="s">
        <v>181</v>
      </c>
      <c r="C1311" s="2" t="str">
        <f ca="1">IFERROR(VLOOKUP(B1311,MO_Matriz,2,0),"")</f>
        <v>Desenhista</v>
      </c>
      <c r="F1311" s="4" t="str">
        <f ca="1">IFERROR(VLOOKUP(B1311,MO_Matriz,3,0),"")</f>
        <v>T</v>
      </c>
      <c r="H1311" s="2">
        <v>1</v>
      </c>
      <c r="I1311" s="2">
        <v>1</v>
      </c>
      <c r="K1311" s="2">
        <f>Listas!$B$6</f>
        <v>7.333333333333333</v>
      </c>
      <c r="M1311" s="238">
        <f>M1303</f>
        <v>4.5</v>
      </c>
      <c r="O1311" s="2">
        <f>H1311*I1311*K1311*M1311</f>
        <v>33</v>
      </c>
      <c r="Q1311" s="2">
        <f>O1311/220</f>
        <v>0.15</v>
      </c>
      <c r="S1311" s="310">
        <f ca="1">IFERROR(VLOOKUP(B1311,MO_Matriz,5,0),"")</f>
        <v>7821.6815999999999</v>
      </c>
      <c r="T1311" s="339">
        <f ca="1">Q1311*S1311</f>
        <v>1173.25224</v>
      </c>
    </row>
    <row r="1312" spans="1:20" x14ac:dyDescent="0.25">
      <c r="A1312" s="4"/>
      <c r="S1312" s="332" t="s">
        <v>329</v>
      </c>
      <c r="T1312" s="331">
        <f ca="1">SUM(T1310:T1311)</f>
        <v>4816.5737399999998</v>
      </c>
    </row>
    <row r="1313" spans="1:10" x14ac:dyDescent="0.25">
      <c r="A1313" s="4"/>
    </row>
    <row r="1314" spans="1:10" x14ac:dyDescent="0.25">
      <c r="A1314" s="329" t="s">
        <v>339</v>
      </c>
      <c r="B1314" s="2" t="s">
        <v>340</v>
      </c>
    </row>
    <row r="1315" spans="1:10" x14ac:dyDescent="0.25">
      <c r="B1315" s="2" t="s">
        <v>341</v>
      </c>
    </row>
    <row r="1317" spans="1:10" x14ac:dyDescent="0.25">
      <c r="A1317" s="4" t="s">
        <v>348</v>
      </c>
      <c r="B1317" s="2" t="s">
        <v>349</v>
      </c>
    </row>
    <row r="1318" spans="1:10" x14ac:dyDescent="0.25">
      <c r="A1318" s="4" t="s">
        <v>451</v>
      </c>
      <c r="B1318" s="2" t="s">
        <v>452</v>
      </c>
    </row>
    <row r="1319" spans="1:10" x14ac:dyDescent="0.25">
      <c r="B1319" s="4" t="s">
        <v>360</v>
      </c>
      <c r="C1319" s="2" t="s">
        <v>15</v>
      </c>
      <c r="F1319" s="4" t="s">
        <v>321</v>
      </c>
      <c r="G1319" s="4"/>
      <c r="H1319" s="4" t="s">
        <v>453</v>
      </c>
      <c r="I1319" s="4"/>
      <c r="J1319" s="4" t="s">
        <v>454</v>
      </c>
    </row>
    <row r="1320" spans="1:10" x14ac:dyDescent="0.25">
      <c r="B1320" s="4" t="str">
        <f>B1310</f>
        <v>P8065</v>
      </c>
      <c r="C1320" s="2" t="str">
        <f ca="1">IFERROR(VLOOKUP(B1320,MO_Matriz,2,0),"")</f>
        <v>Engenheiro de projetos júnior</v>
      </c>
      <c r="F1320" s="4" t="str">
        <f ca="1">IFERROR(VLOOKUP(B1320,MO_Matriz,3,0),"")</f>
        <v>S</v>
      </c>
      <c r="H1320" s="2" t="s">
        <v>455</v>
      </c>
      <c r="J1320" s="2">
        <v>1</v>
      </c>
    </row>
    <row r="1321" spans="1:10" x14ac:dyDescent="0.25">
      <c r="B1321" s="4" t="str">
        <f>B1311</f>
        <v>P9848</v>
      </c>
      <c r="C1321" s="2" t="str">
        <f ca="1">IFERROR(VLOOKUP(B1321,MO_Matriz,2,0),"")</f>
        <v>Desenhista</v>
      </c>
      <c r="F1321" s="4" t="str">
        <f ca="1">IFERROR(VLOOKUP(B1321,MO_Matriz,3,0),"")</f>
        <v>T</v>
      </c>
      <c r="H1321" s="2" t="s">
        <v>455</v>
      </c>
      <c r="J1321" s="2">
        <v>1</v>
      </c>
    </row>
    <row r="1322" spans="1:10" x14ac:dyDescent="0.25">
      <c r="I1322" s="332" t="s">
        <v>329</v>
      </c>
      <c r="J1322" s="332">
        <f>SUM(J1320:J1321)</f>
        <v>2</v>
      </c>
    </row>
    <row r="1324" spans="1:10" x14ac:dyDescent="0.25">
      <c r="A1324" s="4" t="s">
        <v>456</v>
      </c>
      <c r="B1324" s="2" t="s">
        <v>457</v>
      </c>
    </row>
    <row r="1325" spans="1:10" x14ac:dyDescent="0.25">
      <c r="A1325" s="4"/>
      <c r="B1325" s="2" t="s">
        <v>1032</v>
      </c>
    </row>
    <row r="1327" spans="1:10" x14ac:dyDescent="0.25">
      <c r="A1327" s="4" t="s">
        <v>350</v>
      </c>
      <c r="B1327" s="2" t="s">
        <v>351</v>
      </c>
    </row>
    <row r="1328" spans="1:10" x14ac:dyDescent="0.25">
      <c r="B1328" s="2" t="s">
        <v>344</v>
      </c>
    </row>
    <row r="1330" spans="1:20" x14ac:dyDescent="0.25">
      <c r="A1330" s="4" t="s">
        <v>197</v>
      </c>
      <c r="B1330" s="2" t="s">
        <v>352</v>
      </c>
    </row>
    <row r="1331" spans="1:20" ht="17.25" x14ac:dyDescent="0.25">
      <c r="B1331" s="2" t="s">
        <v>346</v>
      </c>
      <c r="P1331" s="28"/>
      <c r="Q1331" s="28"/>
      <c r="R1331" s="28"/>
      <c r="S1331" s="28"/>
      <c r="T1331" s="28"/>
    </row>
    <row r="1333" spans="1:20" x14ac:dyDescent="0.25">
      <c r="A1333" s="4" t="s">
        <v>353</v>
      </c>
      <c r="B1333" s="2" t="s">
        <v>354</v>
      </c>
    </row>
    <row r="1334" spans="1:20" x14ac:dyDescent="0.25">
      <c r="B1334" s="2" t="s">
        <v>347</v>
      </c>
    </row>
    <row r="1336" spans="1:20" x14ac:dyDescent="0.25">
      <c r="A1336" s="4" t="s">
        <v>355</v>
      </c>
      <c r="B1336" s="2" t="s">
        <v>356</v>
      </c>
    </row>
    <row r="1337" spans="1:20" x14ac:dyDescent="0.25">
      <c r="B1337" s="2" t="s">
        <v>15</v>
      </c>
      <c r="F1337" s="2" t="s">
        <v>357</v>
      </c>
    </row>
    <row r="1338" spans="1:20" x14ac:dyDescent="0.25">
      <c r="B1338" s="2" t="s">
        <v>317</v>
      </c>
      <c r="F1338" s="310">
        <f ca="1">T1312</f>
        <v>4816.5737399999998</v>
      </c>
    </row>
    <row r="1339" spans="1:20" x14ac:dyDescent="0.25">
      <c r="B1339" s="2" t="s">
        <v>276</v>
      </c>
      <c r="F1339" s="310">
        <v>0</v>
      </c>
      <c r="P1339" s="4"/>
    </row>
    <row r="1340" spans="1:20" x14ac:dyDescent="0.25">
      <c r="B1340" s="2" t="s">
        <v>342</v>
      </c>
      <c r="F1340" s="310">
        <v>0</v>
      </c>
      <c r="P1340" s="4"/>
    </row>
    <row r="1341" spans="1:20" x14ac:dyDescent="0.25">
      <c r="B1341" s="2" t="s">
        <v>343</v>
      </c>
      <c r="F1341" s="310">
        <v>0</v>
      </c>
    </row>
    <row r="1342" spans="1:20" x14ac:dyDescent="0.25">
      <c r="B1342" s="2" t="s">
        <v>345</v>
      </c>
      <c r="F1342" s="310">
        <v>0</v>
      </c>
    </row>
    <row r="1343" spans="1:20" x14ac:dyDescent="0.25">
      <c r="B1343" s="2" t="s">
        <v>516</v>
      </c>
      <c r="F1343" s="310">
        <v>0</v>
      </c>
    </row>
    <row r="1344" spans="1:20" x14ac:dyDescent="0.25">
      <c r="E1344" s="332" t="s">
        <v>329</v>
      </c>
      <c r="F1344" s="331">
        <f ca="1">SUM(F1338:F1343)</f>
        <v>4816.5737399999998</v>
      </c>
    </row>
    <row r="1346" spans="1:20" ht="17.25" x14ac:dyDescent="0.25">
      <c r="A1346" s="328" t="s">
        <v>938</v>
      </c>
      <c r="B1346" s="328" t="s">
        <v>217</v>
      </c>
      <c r="C1346" s="328"/>
      <c r="D1346" s="328"/>
      <c r="E1346" s="28"/>
      <c r="F1346" s="28"/>
      <c r="G1346" s="28"/>
      <c r="H1346" s="28"/>
      <c r="I1346" s="28"/>
      <c r="J1346" s="28"/>
      <c r="K1346" s="28"/>
      <c r="L1346" s="28"/>
      <c r="M1346" s="28"/>
      <c r="N1346" s="28"/>
      <c r="O1346" s="28"/>
    </row>
    <row r="1347" spans="1:20" x14ac:dyDescent="0.25">
      <c r="A1347" s="4" t="s">
        <v>61</v>
      </c>
      <c r="B1347" s="2" t="s">
        <v>338</v>
      </c>
    </row>
    <row r="1348" spans="1:20" x14ac:dyDescent="0.25">
      <c r="A1348" s="4"/>
      <c r="B1348" s="2" t="s">
        <v>15</v>
      </c>
      <c r="F1348" s="4" t="s">
        <v>414</v>
      </c>
      <c r="H1348" s="4" t="s">
        <v>856</v>
      </c>
      <c r="J1348" s="4" t="s">
        <v>224</v>
      </c>
      <c r="K1348" s="2" t="s">
        <v>855</v>
      </c>
      <c r="M1348" s="2" t="s">
        <v>325</v>
      </c>
      <c r="O1348" s="2" t="s">
        <v>381</v>
      </c>
    </row>
    <row r="1349" spans="1:20" x14ac:dyDescent="0.25">
      <c r="A1349" s="4"/>
      <c r="B1349" s="2" t="s">
        <v>601</v>
      </c>
      <c r="F1349" s="350">
        <v>1</v>
      </c>
      <c r="H1349" s="238">
        <v>0.6</v>
      </c>
      <c r="I1349" s="4"/>
      <c r="J1349" s="2">
        <f>1.5/H1349</f>
        <v>2.5</v>
      </c>
      <c r="K1349" s="238">
        <f>'Carac trecho'!C63</f>
        <v>1</v>
      </c>
      <c r="M1349" s="238">
        <f>J1349+K1349</f>
        <v>3.5</v>
      </c>
      <c r="O1349" s="2">
        <f>ROUNDUP(M1349*Listas!$E$5,0)</f>
        <v>5</v>
      </c>
    </row>
    <row r="1350" spans="1:20" x14ac:dyDescent="0.25">
      <c r="A1350" s="4"/>
      <c r="B1350" s="2" t="s">
        <v>487</v>
      </c>
      <c r="F1350" s="350">
        <v>0.6</v>
      </c>
      <c r="H1350" s="351">
        <v>0</v>
      </c>
      <c r="I1350" s="4"/>
      <c r="J1350" s="351">
        <v>0</v>
      </c>
      <c r="K1350" s="351">
        <v>0</v>
      </c>
      <c r="M1350" s="238">
        <f>M1349*F1350</f>
        <v>2.1</v>
      </c>
      <c r="O1350" s="238">
        <v>1</v>
      </c>
    </row>
    <row r="1351" spans="1:20" x14ac:dyDescent="0.25">
      <c r="A1351" s="4"/>
      <c r="B1351" s="2" t="s">
        <v>592</v>
      </c>
      <c r="F1351" s="350">
        <v>0.4</v>
      </c>
      <c r="H1351" s="351">
        <v>0</v>
      </c>
      <c r="I1351" s="4"/>
      <c r="J1351" s="351">
        <v>0</v>
      </c>
      <c r="K1351" s="351">
        <v>0</v>
      </c>
      <c r="M1351" s="238">
        <f>M1349-M1350</f>
        <v>1.4</v>
      </c>
      <c r="O1351" s="238">
        <f>O1349-O1350</f>
        <v>4</v>
      </c>
    </row>
    <row r="1352" spans="1:20" x14ac:dyDescent="0.25">
      <c r="A1352" s="4"/>
      <c r="F1352" s="350"/>
      <c r="H1352" s="351"/>
      <c r="I1352" s="4"/>
      <c r="J1352" s="351"/>
      <c r="K1352" s="351"/>
      <c r="L1352" s="2" t="s">
        <v>329</v>
      </c>
      <c r="M1352" s="238">
        <f>SUM(M1349:M1351)</f>
        <v>7</v>
      </c>
      <c r="O1352" s="238"/>
    </row>
    <row r="1353" spans="1:20" x14ac:dyDescent="0.25">
      <c r="A1353" s="4"/>
    </row>
    <row r="1354" spans="1:20" x14ac:dyDescent="0.25">
      <c r="A1354" s="4"/>
      <c r="B1354" s="4" t="s">
        <v>360</v>
      </c>
      <c r="C1354" s="2" t="s">
        <v>15</v>
      </c>
      <c r="F1354" s="4" t="s">
        <v>321</v>
      </c>
      <c r="G1354" s="4"/>
      <c r="H1354" s="4" t="s">
        <v>322</v>
      </c>
      <c r="I1354" s="4" t="s">
        <v>323</v>
      </c>
      <c r="J1354" s="4"/>
      <c r="K1354" s="4" t="s">
        <v>324</v>
      </c>
      <c r="L1354" s="4"/>
      <c r="M1354" s="4" t="s">
        <v>325</v>
      </c>
      <c r="N1354" s="4"/>
      <c r="O1354" s="4" t="s">
        <v>326</v>
      </c>
      <c r="Q1354" s="4" t="s">
        <v>327</v>
      </c>
      <c r="R1354" s="4"/>
      <c r="S1354" s="4" t="s">
        <v>328</v>
      </c>
      <c r="T1354" s="329" t="s">
        <v>329</v>
      </c>
    </row>
    <row r="1355" spans="1:20" x14ac:dyDescent="0.25">
      <c r="A1355" s="4"/>
      <c r="B1355" s="4"/>
      <c r="F1355" s="4"/>
      <c r="G1355" s="4"/>
      <c r="H1355" s="4" t="s">
        <v>330</v>
      </c>
      <c r="I1355" s="4" t="s">
        <v>331</v>
      </c>
      <c r="J1355" s="4"/>
      <c r="K1355" s="4" t="s">
        <v>332</v>
      </c>
      <c r="L1355" s="4"/>
      <c r="M1355" s="4" t="s">
        <v>333</v>
      </c>
      <c r="N1355" s="4"/>
      <c r="O1355" s="4" t="s">
        <v>334</v>
      </c>
      <c r="Q1355" s="4" t="s">
        <v>335</v>
      </c>
      <c r="R1355" s="4"/>
      <c r="S1355" s="4" t="s">
        <v>336</v>
      </c>
      <c r="T1355" s="329" t="s">
        <v>337</v>
      </c>
    </row>
    <row r="1356" spans="1:20" x14ac:dyDescent="0.25">
      <c r="A1356" s="4"/>
      <c r="B1356" s="4" t="s">
        <v>112</v>
      </c>
      <c r="C1356" s="2" t="str">
        <f ca="1">IFERROR(VLOOKUP(B1356,MO_Matriz,2,0),"")</f>
        <v>Engenheiro de projetos júnior</v>
      </c>
      <c r="F1356" s="4" t="str">
        <f ca="1">IFERROR(VLOOKUP(B1356,MO_Matriz,3,0),"")</f>
        <v>S</v>
      </c>
      <c r="H1356" s="2">
        <v>1</v>
      </c>
      <c r="I1356" s="2">
        <v>1</v>
      </c>
      <c r="K1356" s="2">
        <f>Listas!$B$6</f>
        <v>7.333333333333333</v>
      </c>
      <c r="M1356" s="238">
        <f>M1349</f>
        <v>3.5</v>
      </c>
      <c r="O1356" s="2">
        <f>H1356*I1356*K1356*M1356</f>
        <v>25.666666666666664</v>
      </c>
      <c r="Q1356" s="2">
        <f>O1356/220</f>
        <v>0.11666666666666665</v>
      </c>
      <c r="S1356" s="310">
        <f ca="1">IFERROR(VLOOKUP(B1356,MO_Matriz,5,0),"")</f>
        <v>24288.81</v>
      </c>
      <c r="T1356" s="339">
        <f ca="1">Q1356*S1356</f>
        <v>2833.6945000000001</v>
      </c>
    </row>
    <row r="1357" spans="1:20" x14ac:dyDescent="0.25">
      <c r="A1357" s="4"/>
      <c r="B1357" s="4" t="s">
        <v>181</v>
      </c>
      <c r="C1357" s="2" t="str">
        <f ca="1">IFERROR(VLOOKUP(B1357,MO_Matriz,2,0),"")</f>
        <v>Desenhista</v>
      </c>
      <c r="F1357" s="4" t="str">
        <f ca="1">IFERROR(VLOOKUP(B1357,MO_Matriz,3,0),"")</f>
        <v>T</v>
      </c>
      <c r="H1357" s="2">
        <v>1</v>
      </c>
      <c r="I1357" s="2">
        <v>1</v>
      </c>
      <c r="K1357" s="2">
        <f>Listas!$B$6</f>
        <v>7.333333333333333</v>
      </c>
      <c r="M1357" s="238">
        <f>M1349</f>
        <v>3.5</v>
      </c>
      <c r="O1357" s="2">
        <f>H1357*I1357*K1357*M1357</f>
        <v>25.666666666666664</v>
      </c>
      <c r="Q1357" s="2">
        <f>O1357/220</f>
        <v>0.11666666666666665</v>
      </c>
      <c r="S1357" s="310">
        <f ca="1">IFERROR(VLOOKUP(B1357,MO_Matriz,5,0),"")</f>
        <v>7821.6815999999999</v>
      </c>
      <c r="T1357" s="339">
        <f ca="1">Q1357*S1357</f>
        <v>912.52951999999993</v>
      </c>
    </row>
    <row r="1358" spans="1:20" x14ac:dyDescent="0.25">
      <c r="A1358" s="4"/>
      <c r="S1358" s="332" t="s">
        <v>329</v>
      </c>
      <c r="T1358" s="331">
        <f ca="1">SUM(T1356:T1357)</f>
        <v>3746.2240200000001</v>
      </c>
    </row>
    <row r="1359" spans="1:20" x14ac:dyDescent="0.25">
      <c r="A1359" s="4"/>
    </row>
    <row r="1360" spans="1:20" x14ac:dyDescent="0.25">
      <c r="A1360" s="329" t="s">
        <v>339</v>
      </c>
      <c r="B1360" s="2" t="s">
        <v>340</v>
      </c>
    </row>
    <row r="1361" spans="1:10" x14ac:dyDescent="0.25">
      <c r="B1361" s="2" t="s">
        <v>341</v>
      </c>
    </row>
    <row r="1363" spans="1:10" x14ac:dyDescent="0.25">
      <c r="A1363" s="4" t="s">
        <v>348</v>
      </c>
      <c r="B1363" s="2" t="s">
        <v>349</v>
      </c>
    </row>
    <row r="1364" spans="1:10" x14ac:dyDescent="0.25">
      <c r="A1364" s="4" t="s">
        <v>451</v>
      </c>
      <c r="B1364" s="2" t="s">
        <v>452</v>
      </c>
    </row>
    <row r="1365" spans="1:10" x14ac:dyDescent="0.25">
      <c r="B1365" s="4" t="s">
        <v>360</v>
      </c>
      <c r="C1365" s="2" t="s">
        <v>15</v>
      </c>
      <c r="F1365" s="4" t="s">
        <v>321</v>
      </c>
      <c r="G1365" s="4"/>
      <c r="H1365" s="4" t="s">
        <v>453</v>
      </c>
      <c r="I1365" s="4"/>
      <c r="J1365" s="4" t="s">
        <v>454</v>
      </c>
    </row>
    <row r="1366" spans="1:10" x14ac:dyDescent="0.25">
      <c r="B1366" s="4" t="str">
        <f>B1356</f>
        <v>P8065</v>
      </c>
      <c r="C1366" s="2" t="str">
        <f ca="1">IFERROR(VLOOKUP(B1366,MO_Matriz,2,0),"")</f>
        <v>Engenheiro de projetos júnior</v>
      </c>
      <c r="F1366" s="4" t="str">
        <f ca="1">IFERROR(VLOOKUP(B1366,MO_Matriz,3,0),"")</f>
        <v>S</v>
      </c>
      <c r="H1366" s="2" t="s">
        <v>455</v>
      </c>
      <c r="J1366" s="2">
        <v>1</v>
      </c>
    </row>
    <row r="1367" spans="1:10" x14ac:dyDescent="0.25">
      <c r="B1367" s="4" t="str">
        <f>B1357</f>
        <v>P9848</v>
      </c>
      <c r="C1367" s="2" t="str">
        <f ca="1">IFERROR(VLOOKUP(B1367,MO_Matriz,2,0),"")</f>
        <v>Desenhista</v>
      </c>
      <c r="F1367" s="4" t="str">
        <f ca="1">IFERROR(VLOOKUP(B1367,MO_Matriz,3,0),"")</f>
        <v>T</v>
      </c>
      <c r="H1367" s="2" t="s">
        <v>455</v>
      </c>
      <c r="J1367" s="2">
        <v>1</v>
      </c>
    </row>
    <row r="1368" spans="1:10" x14ac:dyDescent="0.25">
      <c r="I1368" s="332" t="s">
        <v>329</v>
      </c>
      <c r="J1368" s="332">
        <f>SUM(J1366:J1367)</f>
        <v>2</v>
      </c>
    </row>
    <row r="1370" spans="1:10" x14ac:dyDescent="0.25">
      <c r="A1370" s="4" t="s">
        <v>456</v>
      </c>
      <c r="B1370" s="2" t="s">
        <v>457</v>
      </c>
    </row>
    <row r="1371" spans="1:10" x14ac:dyDescent="0.25">
      <c r="A1371" s="4"/>
      <c r="B1371" s="2" t="s">
        <v>1032</v>
      </c>
    </row>
    <row r="1373" spans="1:10" x14ac:dyDescent="0.25">
      <c r="A1373" s="4" t="s">
        <v>350</v>
      </c>
      <c r="B1373" s="2" t="s">
        <v>351</v>
      </c>
    </row>
    <row r="1374" spans="1:10" x14ac:dyDescent="0.25">
      <c r="B1374" s="2" t="s">
        <v>344</v>
      </c>
    </row>
    <row r="1376" spans="1:10" x14ac:dyDescent="0.25">
      <c r="A1376" s="4" t="s">
        <v>197</v>
      </c>
      <c r="B1376" s="2" t="s">
        <v>352</v>
      </c>
    </row>
    <row r="1377" spans="1:20" ht="17.25" x14ac:dyDescent="0.25">
      <c r="B1377" s="2" t="s">
        <v>346</v>
      </c>
      <c r="P1377" s="28"/>
      <c r="Q1377" s="28"/>
      <c r="R1377" s="28"/>
      <c r="S1377" s="28"/>
      <c r="T1377" s="28"/>
    </row>
    <row r="1379" spans="1:20" x14ac:dyDescent="0.25">
      <c r="A1379" s="4" t="s">
        <v>353</v>
      </c>
      <c r="B1379" s="2" t="s">
        <v>354</v>
      </c>
    </row>
    <row r="1380" spans="1:20" x14ac:dyDescent="0.25">
      <c r="B1380" s="2" t="s">
        <v>347</v>
      </c>
    </row>
    <row r="1382" spans="1:20" x14ac:dyDescent="0.25">
      <c r="A1382" s="4" t="s">
        <v>355</v>
      </c>
      <c r="B1382" s="2" t="s">
        <v>356</v>
      </c>
    </row>
    <row r="1383" spans="1:20" x14ac:dyDescent="0.25">
      <c r="B1383" s="2" t="s">
        <v>15</v>
      </c>
      <c r="F1383" s="2" t="s">
        <v>357</v>
      </c>
    </row>
    <row r="1384" spans="1:20" x14ac:dyDescent="0.25">
      <c r="B1384" s="2" t="s">
        <v>317</v>
      </c>
      <c r="F1384" s="310">
        <f ca="1">T1358</f>
        <v>3746.2240200000001</v>
      </c>
    </row>
    <row r="1385" spans="1:20" x14ac:dyDescent="0.25">
      <c r="B1385" s="2" t="s">
        <v>276</v>
      </c>
      <c r="F1385" s="310">
        <v>0</v>
      </c>
    </row>
    <row r="1386" spans="1:20" x14ac:dyDescent="0.25">
      <c r="B1386" s="2" t="s">
        <v>342</v>
      </c>
      <c r="F1386" s="310">
        <v>0</v>
      </c>
    </row>
    <row r="1387" spans="1:20" x14ac:dyDescent="0.25">
      <c r="B1387" s="2" t="s">
        <v>343</v>
      </c>
      <c r="F1387" s="310">
        <v>0</v>
      </c>
    </row>
    <row r="1388" spans="1:20" x14ac:dyDescent="0.25">
      <c r="B1388" s="2" t="s">
        <v>345</v>
      </c>
      <c r="F1388" s="310">
        <v>0</v>
      </c>
    </row>
    <row r="1389" spans="1:20" x14ac:dyDescent="0.25">
      <c r="B1389" s="2" t="s">
        <v>516</v>
      </c>
      <c r="F1389" s="310">
        <v>0</v>
      </c>
    </row>
    <row r="1390" spans="1:20" x14ac:dyDescent="0.25">
      <c r="E1390" s="332" t="s">
        <v>329</v>
      </c>
      <c r="F1390" s="331">
        <f ca="1">SUM(F1384:F1389)</f>
        <v>3746.2240200000001</v>
      </c>
    </row>
    <row r="1392" spans="1:20" ht="17.25" x14ac:dyDescent="0.25">
      <c r="A1392" s="328" t="s">
        <v>939</v>
      </c>
      <c r="B1392" s="328" t="s">
        <v>218</v>
      </c>
      <c r="C1392" s="328"/>
      <c r="D1392" s="328"/>
      <c r="E1392" s="328"/>
      <c r="F1392" s="28"/>
      <c r="G1392" s="28"/>
      <c r="H1392" s="28"/>
      <c r="I1392" s="28"/>
      <c r="J1392" s="28"/>
      <c r="K1392" s="28"/>
      <c r="L1392" s="28"/>
      <c r="M1392" s="28"/>
      <c r="N1392" s="28"/>
      <c r="O1392" s="28"/>
    </row>
    <row r="1393" spans="1:20" x14ac:dyDescent="0.25">
      <c r="A1393" s="4" t="s">
        <v>61</v>
      </c>
      <c r="B1393" s="2" t="s">
        <v>338</v>
      </c>
    </row>
    <row r="1394" spans="1:20" x14ac:dyDescent="0.25">
      <c r="A1394" s="4"/>
      <c r="B1394" s="2" t="s">
        <v>15</v>
      </c>
      <c r="G1394" s="4" t="s">
        <v>414</v>
      </c>
      <c r="I1394" s="4" t="s">
        <v>856</v>
      </c>
      <c r="K1394" s="4" t="s">
        <v>224</v>
      </c>
      <c r="L1394" s="2" t="s">
        <v>855</v>
      </c>
      <c r="N1394" s="2" t="s">
        <v>325</v>
      </c>
      <c r="P1394" s="2" t="s">
        <v>381</v>
      </c>
    </row>
    <row r="1395" spans="1:20" x14ac:dyDescent="0.25">
      <c r="A1395" s="4"/>
      <c r="B1395" s="2" t="s">
        <v>603</v>
      </c>
      <c r="G1395" s="350">
        <v>1</v>
      </c>
      <c r="I1395" s="238">
        <v>1.42</v>
      </c>
      <c r="J1395" s="4"/>
      <c r="K1395" s="2">
        <f>1.5/I1395</f>
        <v>1.0563380281690142</v>
      </c>
      <c r="L1395" s="238">
        <f>'Carac trecho'!$C$59</f>
        <v>3</v>
      </c>
      <c r="N1395" s="238">
        <f>ROUNDUP(K1395+L1395,0)</f>
        <v>5</v>
      </c>
      <c r="P1395" s="2">
        <f>ROUNDUP(N1395*Listas!$E$5,0)</f>
        <v>6</v>
      </c>
    </row>
    <row r="1396" spans="1:20" x14ac:dyDescent="0.25">
      <c r="A1396" s="4"/>
      <c r="B1396" s="2" t="s">
        <v>487</v>
      </c>
      <c r="G1396" s="350">
        <v>0.6</v>
      </c>
      <c r="I1396" s="351">
        <v>0</v>
      </c>
      <c r="J1396" s="4"/>
      <c r="K1396" s="351">
        <v>0</v>
      </c>
      <c r="L1396" s="351">
        <v>0</v>
      </c>
      <c r="N1396" s="238">
        <f>ROUNDUP(N1395*G1396,0)</f>
        <v>3</v>
      </c>
      <c r="P1396" s="238">
        <f>ROUNDUP(P1395*G1396,)</f>
        <v>4</v>
      </c>
    </row>
    <row r="1397" spans="1:20" x14ac:dyDescent="0.25">
      <c r="A1397" s="4"/>
      <c r="B1397" s="2" t="s">
        <v>592</v>
      </c>
      <c r="G1397" s="350">
        <v>0.4</v>
      </c>
      <c r="I1397" s="351">
        <v>0</v>
      </c>
      <c r="J1397" s="4"/>
      <c r="K1397" s="351">
        <v>0</v>
      </c>
      <c r="L1397" s="351">
        <v>0</v>
      </c>
      <c r="N1397" s="238">
        <f>N1395-N1396</f>
        <v>2</v>
      </c>
      <c r="P1397" s="238">
        <f>P1395-P1396</f>
        <v>2</v>
      </c>
    </row>
    <row r="1398" spans="1:20" x14ac:dyDescent="0.25">
      <c r="A1398" s="4"/>
      <c r="G1398" s="350"/>
      <c r="I1398" s="351"/>
      <c r="J1398" s="4"/>
      <c r="K1398" s="351"/>
      <c r="L1398" s="351"/>
      <c r="M1398" s="2" t="s">
        <v>329</v>
      </c>
      <c r="N1398" s="238">
        <f>SUM(N1395:N1397)</f>
        <v>10</v>
      </c>
      <c r="P1398" s="238"/>
    </row>
    <row r="1399" spans="1:20" x14ac:dyDescent="0.25">
      <c r="A1399" s="4"/>
    </row>
    <row r="1400" spans="1:20" x14ac:dyDescent="0.25">
      <c r="A1400" s="4"/>
      <c r="B1400" s="4" t="s">
        <v>360</v>
      </c>
      <c r="C1400" s="2" t="s">
        <v>15</v>
      </c>
      <c r="F1400" s="4" t="s">
        <v>321</v>
      </c>
      <c r="G1400" s="4"/>
      <c r="H1400" s="4" t="s">
        <v>322</v>
      </c>
      <c r="I1400" s="4" t="s">
        <v>323</v>
      </c>
      <c r="J1400" s="4"/>
      <c r="K1400" s="4" t="s">
        <v>324</v>
      </c>
      <c r="L1400" s="4"/>
      <c r="M1400" s="4" t="s">
        <v>325</v>
      </c>
      <c r="N1400" s="4"/>
      <c r="O1400" s="4" t="s">
        <v>326</v>
      </c>
      <c r="P1400" s="4"/>
      <c r="Q1400" s="4" t="s">
        <v>327</v>
      </c>
      <c r="R1400" s="4"/>
      <c r="S1400" s="4" t="s">
        <v>328</v>
      </c>
      <c r="T1400" s="329" t="s">
        <v>329</v>
      </c>
    </row>
    <row r="1401" spans="1:20" x14ac:dyDescent="0.25">
      <c r="A1401" s="4"/>
      <c r="B1401" s="4"/>
      <c r="F1401" s="4"/>
      <c r="G1401" s="4"/>
      <c r="H1401" s="4" t="s">
        <v>330</v>
      </c>
      <c r="I1401" s="4" t="s">
        <v>331</v>
      </c>
      <c r="J1401" s="4"/>
      <c r="K1401" s="4" t="s">
        <v>332</v>
      </c>
      <c r="L1401" s="4"/>
      <c r="M1401" s="4" t="s">
        <v>333</v>
      </c>
      <c r="N1401" s="4"/>
      <c r="O1401" s="4" t="s">
        <v>334</v>
      </c>
      <c r="P1401" s="4"/>
      <c r="Q1401" s="4" t="s">
        <v>335</v>
      </c>
      <c r="R1401" s="4"/>
      <c r="S1401" s="4" t="s">
        <v>336</v>
      </c>
      <c r="T1401" s="329" t="s">
        <v>337</v>
      </c>
    </row>
    <row r="1402" spans="1:20" x14ac:dyDescent="0.25">
      <c r="A1402" s="4"/>
      <c r="B1402" s="4" t="s">
        <v>112</v>
      </c>
      <c r="C1402" s="2" t="str">
        <f ca="1">IFERROR(VLOOKUP(B1402,MO_Matriz,2,0),"")</f>
        <v>Engenheiro de projetos júnior</v>
      </c>
      <c r="F1402" s="4" t="str">
        <f ca="1">IFERROR(VLOOKUP(B1402,MO_Matriz,3,0),"")</f>
        <v>S</v>
      </c>
      <c r="H1402" s="2">
        <v>1</v>
      </c>
      <c r="I1402" s="2">
        <v>1</v>
      </c>
      <c r="K1402" s="2">
        <f>Listas!$B$6</f>
        <v>7.333333333333333</v>
      </c>
      <c r="M1402" s="238">
        <v>3.9506299999999999</v>
      </c>
      <c r="O1402" s="2">
        <f>H1402*I1402*K1402*M1402</f>
        <v>28.971286666666664</v>
      </c>
      <c r="Q1402" s="2">
        <f>O1402/220</f>
        <v>0.13168766666666665</v>
      </c>
      <c r="S1402" s="310">
        <f ca="1">IFERROR(VLOOKUP(B1402,MO_Matriz,5,0),"")</f>
        <v>24288.81</v>
      </c>
      <c r="T1402" s="339">
        <f ca="1">Q1402*S1402</f>
        <v>3198.5367150099996</v>
      </c>
    </row>
    <row r="1403" spans="1:20" x14ac:dyDescent="0.25">
      <c r="A1403" s="4"/>
      <c r="B1403" s="4" t="s">
        <v>181</v>
      </c>
      <c r="C1403" s="2" t="str">
        <f ca="1">IFERROR(VLOOKUP(B1403,MO_Matriz,2,0),"")</f>
        <v>Desenhista</v>
      </c>
      <c r="F1403" s="4" t="str">
        <f ca="1">IFERROR(VLOOKUP(B1403,MO_Matriz,3,0),"")</f>
        <v>T</v>
      </c>
      <c r="H1403" s="2">
        <v>1</v>
      </c>
      <c r="I1403" s="2">
        <v>1</v>
      </c>
      <c r="K1403" s="2">
        <f>Listas!$B$6</f>
        <v>7.333333333333333</v>
      </c>
      <c r="M1403" s="238">
        <v>3.9506299999999999</v>
      </c>
      <c r="O1403" s="2">
        <f>H1403*I1403*K1403*M1403</f>
        <v>28.971286666666664</v>
      </c>
      <c r="Q1403" s="2">
        <f>O1403/220</f>
        <v>0.13168766666666665</v>
      </c>
      <c r="S1403" s="310">
        <f ca="1">IFERROR(VLOOKUP(B1403,MO_Matriz,5,0),"")</f>
        <v>7821.6815999999999</v>
      </c>
      <c r="T1403" s="339">
        <f ca="1">Q1403*S1403</f>
        <v>1030.0189993135998</v>
      </c>
    </row>
    <row r="1404" spans="1:20" x14ac:dyDescent="0.25">
      <c r="A1404" s="4"/>
      <c r="S1404" s="332" t="s">
        <v>329</v>
      </c>
      <c r="T1404" s="331">
        <f ca="1">SUM(T1402:T1403)</f>
        <v>4228.5557143235992</v>
      </c>
    </row>
    <row r="1405" spans="1:20" x14ac:dyDescent="0.25">
      <c r="A1405" s="4"/>
    </row>
    <row r="1406" spans="1:20" x14ac:dyDescent="0.25">
      <c r="A1406" s="329" t="s">
        <v>339</v>
      </c>
      <c r="B1406" s="2" t="s">
        <v>340</v>
      </c>
    </row>
    <row r="1407" spans="1:20" x14ac:dyDescent="0.25">
      <c r="B1407" s="2" t="s">
        <v>341</v>
      </c>
    </row>
    <row r="1409" spans="1:20" x14ac:dyDescent="0.25">
      <c r="A1409" s="4" t="s">
        <v>348</v>
      </c>
      <c r="B1409" s="2" t="s">
        <v>349</v>
      </c>
    </row>
    <row r="1410" spans="1:20" x14ac:dyDescent="0.25">
      <c r="A1410" s="4" t="s">
        <v>451</v>
      </c>
      <c r="B1410" s="2" t="s">
        <v>452</v>
      </c>
    </row>
    <row r="1411" spans="1:20" x14ac:dyDescent="0.25">
      <c r="B1411" s="4" t="s">
        <v>360</v>
      </c>
      <c r="C1411" s="2" t="s">
        <v>15</v>
      </c>
      <c r="F1411" s="4" t="s">
        <v>321</v>
      </c>
      <c r="G1411" s="4"/>
      <c r="H1411" s="4" t="s">
        <v>453</v>
      </c>
      <c r="I1411" s="4"/>
      <c r="J1411" s="4" t="s">
        <v>454</v>
      </c>
    </row>
    <row r="1412" spans="1:20" x14ac:dyDescent="0.25">
      <c r="B1412" s="4" t="str">
        <f>B1402</f>
        <v>P8065</v>
      </c>
      <c r="C1412" s="2" t="str">
        <f ca="1">IFERROR(VLOOKUP(B1412,MO_Matriz,2,0),"")</f>
        <v>Engenheiro de projetos júnior</v>
      </c>
      <c r="F1412" s="4" t="str">
        <f ca="1">IFERROR(VLOOKUP(B1412,MO_Matriz,3,0),"")</f>
        <v>S</v>
      </c>
      <c r="H1412" s="2" t="s">
        <v>455</v>
      </c>
      <c r="J1412" s="2">
        <v>1</v>
      </c>
    </row>
    <row r="1413" spans="1:20" x14ac:dyDescent="0.25">
      <c r="B1413" s="4" t="str">
        <f>B1403</f>
        <v>P9848</v>
      </c>
      <c r="C1413" s="2" t="str">
        <f ca="1">IFERROR(VLOOKUP(B1413,MO_Matriz,2,0),"")</f>
        <v>Desenhista</v>
      </c>
      <c r="F1413" s="4" t="str">
        <f ca="1">IFERROR(VLOOKUP(B1413,MO_Matriz,3,0),"")</f>
        <v>T</v>
      </c>
      <c r="H1413" s="2" t="s">
        <v>455</v>
      </c>
      <c r="J1413" s="2">
        <v>1</v>
      </c>
    </row>
    <row r="1414" spans="1:20" x14ac:dyDescent="0.25">
      <c r="I1414" s="332" t="s">
        <v>329</v>
      </c>
      <c r="J1414" s="332">
        <f>SUM(J1412:J1413)</f>
        <v>2</v>
      </c>
    </row>
    <row r="1416" spans="1:20" x14ac:dyDescent="0.25">
      <c r="A1416" s="4" t="s">
        <v>456</v>
      </c>
      <c r="B1416" s="2" t="s">
        <v>457</v>
      </c>
    </row>
    <row r="1417" spans="1:20" x14ac:dyDescent="0.25">
      <c r="A1417" s="4"/>
      <c r="B1417" s="2" t="s">
        <v>1032</v>
      </c>
    </row>
    <row r="1419" spans="1:20" x14ac:dyDescent="0.25">
      <c r="A1419" s="4" t="s">
        <v>350</v>
      </c>
      <c r="B1419" s="2" t="s">
        <v>351</v>
      </c>
    </row>
    <row r="1420" spans="1:20" x14ac:dyDescent="0.25">
      <c r="B1420" s="2" t="s">
        <v>344</v>
      </c>
    </row>
    <row r="1422" spans="1:20" x14ac:dyDescent="0.25">
      <c r="A1422" s="4" t="s">
        <v>197</v>
      </c>
      <c r="B1422" s="2" t="s">
        <v>352</v>
      </c>
    </row>
    <row r="1423" spans="1:20" ht="17.25" x14ac:dyDescent="0.25">
      <c r="B1423" s="2" t="s">
        <v>346</v>
      </c>
      <c r="P1423" s="28"/>
      <c r="Q1423" s="28"/>
      <c r="R1423" s="28"/>
      <c r="S1423" s="28"/>
      <c r="T1423" s="28"/>
    </row>
    <row r="1425" spans="1:17" x14ac:dyDescent="0.25">
      <c r="A1425" s="4" t="s">
        <v>353</v>
      </c>
      <c r="B1425" s="2" t="s">
        <v>354</v>
      </c>
    </row>
    <row r="1426" spans="1:17" x14ac:dyDescent="0.25">
      <c r="B1426" s="2" t="s">
        <v>347</v>
      </c>
    </row>
    <row r="1428" spans="1:17" x14ac:dyDescent="0.25">
      <c r="A1428" s="4" t="s">
        <v>355</v>
      </c>
      <c r="B1428" s="2" t="s">
        <v>356</v>
      </c>
    </row>
    <row r="1429" spans="1:17" x14ac:dyDescent="0.25">
      <c r="B1429" s="2" t="s">
        <v>15</v>
      </c>
      <c r="F1429" s="2" t="s">
        <v>357</v>
      </c>
    </row>
    <row r="1430" spans="1:17" x14ac:dyDescent="0.25">
      <c r="B1430" s="2" t="s">
        <v>317</v>
      </c>
      <c r="F1430" s="310">
        <f ca="1">T1404</f>
        <v>4228.5557143235992</v>
      </c>
    </row>
    <row r="1431" spans="1:17" x14ac:dyDescent="0.25">
      <c r="B1431" s="2" t="s">
        <v>276</v>
      </c>
      <c r="F1431" s="310">
        <v>0</v>
      </c>
      <c r="P1431" s="4"/>
    </row>
    <row r="1432" spans="1:17" x14ac:dyDescent="0.25">
      <c r="B1432" s="2" t="s">
        <v>342</v>
      </c>
      <c r="F1432" s="310">
        <v>0</v>
      </c>
      <c r="P1432" s="4"/>
    </row>
    <row r="1433" spans="1:17" x14ac:dyDescent="0.25">
      <c r="B1433" s="2" t="s">
        <v>343</v>
      </c>
      <c r="F1433" s="310">
        <v>0</v>
      </c>
    </row>
    <row r="1434" spans="1:17" x14ac:dyDescent="0.25">
      <c r="B1434" s="2" t="s">
        <v>345</v>
      </c>
      <c r="F1434" s="310">
        <v>0</v>
      </c>
    </row>
    <row r="1435" spans="1:17" x14ac:dyDescent="0.25">
      <c r="B1435" s="2" t="s">
        <v>516</v>
      </c>
      <c r="F1435" s="310">
        <v>0</v>
      </c>
    </row>
    <row r="1436" spans="1:17" x14ac:dyDescent="0.25">
      <c r="E1436" s="332" t="s">
        <v>329</v>
      </c>
      <c r="F1436" s="331">
        <f ca="1">SUM(F1430:F1435)</f>
        <v>4228.5557143235992</v>
      </c>
    </row>
    <row r="1438" spans="1:17" ht="17.25" x14ac:dyDescent="0.25">
      <c r="A1438" s="328" t="s">
        <v>940</v>
      </c>
      <c r="B1438" s="328" t="s">
        <v>219</v>
      </c>
      <c r="C1438" s="328"/>
      <c r="D1438" s="328"/>
      <c r="E1438" s="328"/>
      <c r="F1438" s="328"/>
      <c r="G1438" s="28"/>
      <c r="H1438" s="28"/>
      <c r="I1438" s="28"/>
      <c r="J1438" s="28"/>
      <c r="K1438" s="28"/>
      <c r="L1438" s="28"/>
      <c r="M1438" s="28"/>
      <c r="N1438" s="28"/>
      <c r="O1438" s="28"/>
    </row>
    <row r="1439" spans="1:17" x14ac:dyDescent="0.25">
      <c r="A1439" s="4" t="s">
        <v>61</v>
      </c>
      <c r="B1439" s="2" t="s">
        <v>338</v>
      </c>
    </row>
    <row r="1440" spans="1:17" x14ac:dyDescent="0.25">
      <c r="A1440" s="4"/>
      <c r="B1440" s="2" t="s">
        <v>15</v>
      </c>
      <c r="H1440" s="4" t="s">
        <v>414</v>
      </c>
      <c r="J1440" s="4" t="s">
        <v>856</v>
      </c>
      <c r="L1440" s="4" t="s">
        <v>224</v>
      </c>
      <c r="M1440" s="2" t="s">
        <v>855</v>
      </c>
      <c r="O1440" s="2" t="s">
        <v>325</v>
      </c>
      <c r="Q1440" s="2" t="s">
        <v>381</v>
      </c>
    </row>
    <row r="1441" spans="1:20" x14ac:dyDescent="0.25">
      <c r="A1441" s="4"/>
      <c r="B1441" s="2" t="s">
        <v>605</v>
      </c>
      <c r="H1441" s="350">
        <v>1</v>
      </c>
      <c r="J1441" s="238">
        <f>'Carac trecho'!H86</f>
        <v>2</v>
      </c>
      <c r="K1441" s="4"/>
      <c r="L1441" s="2">
        <f>1/J1441</f>
        <v>0.5</v>
      </c>
      <c r="M1441" s="238">
        <f>'Carac trecho'!H86</f>
        <v>2</v>
      </c>
      <c r="O1441" s="238">
        <f>L1441+M1441</f>
        <v>2.5</v>
      </c>
      <c r="Q1441" s="2">
        <f>ROUNDUP(O1441*Listas!$E$5,0)</f>
        <v>3</v>
      </c>
    </row>
    <row r="1442" spans="1:20" x14ac:dyDescent="0.25">
      <c r="A1442" s="4"/>
      <c r="B1442" s="2" t="s">
        <v>487</v>
      </c>
      <c r="H1442" s="350">
        <v>0.6</v>
      </c>
      <c r="J1442" s="351">
        <v>0</v>
      </c>
      <c r="K1442" s="4"/>
      <c r="L1442" s="351">
        <v>0</v>
      </c>
      <c r="M1442" s="351">
        <v>0</v>
      </c>
      <c r="O1442" s="238">
        <f>O1441*H1442</f>
        <v>1.5</v>
      </c>
      <c r="Q1442" s="238">
        <f>ROUNDUP(Q1441*H1442,0)</f>
        <v>2</v>
      </c>
    </row>
    <row r="1443" spans="1:20" x14ac:dyDescent="0.25">
      <c r="A1443" s="4"/>
      <c r="B1443" s="2" t="s">
        <v>592</v>
      </c>
      <c r="H1443" s="350">
        <v>0.4</v>
      </c>
      <c r="J1443" s="351">
        <v>0</v>
      </c>
      <c r="K1443" s="4"/>
      <c r="L1443" s="351">
        <v>0</v>
      </c>
      <c r="M1443" s="351">
        <v>0</v>
      </c>
      <c r="O1443" s="238">
        <f>O1441-O1442</f>
        <v>1</v>
      </c>
      <c r="Q1443" s="238">
        <f>Q1441-Q1442</f>
        <v>1</v>
      </c>
    </row>
    <row r="1444" spans="1:20" x14ac:dyDescent="0.25">
      <c r="A1444" s="4"/>
      <c r="H1444" s="350"/>
      <c r="J1444" s="351"/>
      <c r="K1444" s="4"/>
      <c r="L1444" s="351" t="s">
        <v>329</v>
      </c>
      <c r="M1444" s="351"/>
      <c r="O1444" s="238">
        <f>SUM(O1441:O1443)</f>
        <v>5</v>
      </c>
      <c r="Q1444" s="238"/>
    </row>
    <row r="1445" spans="1:20" x14ac:dyDescent="0.25">
      <c r="A1445" s="4"/>
    </row>
    <row r="1446" spans="1:20" x14ac:dyDescent="0.25">
      <c r="A1446" s="4"/>
      <c r="B1446" s="4" t="s">
        <v>360</v>
      </c>
      <c r="C1446" s="2" t="s">
        <v>15</v>
      </c>
      <c r="F1446" s="4" t="s">
        <v>321</v>
      </c>
      <c r="G1446" s="4"/>
      <c r="H1446" s="4" t="s">
        <v>322</v>
      </c>
      <c r="I1446" s="4" t="s">
        <v>323</v>
      </c>
      <c r="J1446" s="4"/>
      <c r="K1446" s="4" t="s">
        <v>324</v>
      </c>
      <c r="L1446" s="4"/>
      <c r="M1446" s="4" t="s">
        <v>325</v>
      </c>
      <c r="N1446" s="4"/>
      <c r="O1446" s="4" t="s">
        <v>326</v>
      </c>
      <c r="Q1446" s="4" t="s">
        <v>327</v>
      </c>
      <c r="R1446" s="4"/>
      <c r="S1446" s="4" t="s">
        <v>328</v>
      </c>
      <c r="T1446" s="329" t="s">
        <v>329</v>
      </c>
    </row>
    <row r="1447" spans="1:20" x14ac:dyDescent="0.25">
      <c r="A1447" s="4"/>
      <c r="B1447" s="4"/>
      <c r="F1447" s="4"/>
      <c r="G1447" s="4"/>
      <c r="H1447" s="4" t="s">
        <v>330</v>
      </c>
      <c r="I1447" s="4" t="s">
        <v>331</v>
      </c>
      <c r="J1447" s="4"/>
      <c r="K1447" s="4" t="s">
        <v>332</v>
      </c>
      <c r="L1447" s="4"/>
      <c r="M1447" s="4" t="s">
        <v>333</v>
      </c>
      <c r="N1447" s="4"/>
      <c r="O1447" s="4" t="s">
        <v>334</v>
      </c>
      <c r="Q1447" s="4" t="s">
        <v>335</v>
      </c>
      <c r="R1447" s="4"/>
      <c r="S1447" s="4" t="s">
        <v>336</v>
      </c>
      <c r="T1447" s="329" t="s">
        <v>337</v>
      </c>
    </row>
    <row r="1448" spans="1:20" x14ac:dyDescent="0.25">
      <c r="A1448" s="4"/>
      <c r="B1448" s="4" t="s">
        <v>112</v>
      </c>
      <c r="C1448" s="2" t="str">
        <f ca="1">IFERROR(VLOOKUP(B1448,MO_Matriz,2,0),"")</f>
        <v>Engenheiro de projetos júnior</v>
      </c>
      <c r="F1448" s="4" t="str">
        <f ca="1">IFERROR(VLOOKUP(B1448,MO_Matriz,3,0),"")</f>
        <v>S</v>
      </c>
      <c r="H1448" s="2">
        <v>1</v>
      </c>
      <c r="I1448" s="2">
        <v>1</v>
      </c>
      <c r="K1448" s="2">
        <f>Listas!$B$6</f>
        <v>7.333333333333333</v>
      </c>
      <c r="M1448" s="238">
        <f>M1441</f>
        <v>2</v>
      </c>
      <c r="O1448" s="2">
        <f>H1448*I1448*K1448*M1448</f>
        <v>14.666666666666666</v>
      </c>
      <c r="Q1448" s="2">
        <f>O1448/220</f>
        <v>6.6666666666666666E-2</v>
      </c>
      <c r="S1448" s="310">
        <f ca="1">IFERROR(VLOOKUP(B1448,MO_Matriz,5,0),"")</f>
        <v>24288.81</v>
      </c>
      <c r="T1448" s="339">
        <f ca="1">Q1448*S1448</f>
        <v>1619.2540000000001</v>
      </c>
    </row>
    <row r="1449" spans="1:20" x14ac:dyDescent="0.25">
      <c r="A1449" s="4"/>
      <c r="B1449" s="4" t="s">
        <v>181</v>
      </c>
      <c r="C1449" s="2" t="str">
        <f ca="1">IFERROR(VLOOKUP(B1449,MO_Matriz,2,0),"")</f>
        <v>Desenhista</v>
      </c>
      <c r="F1449" s="4" t="str">
        <f ca="1">IFERROR(VLOOKUP(B1449,MO_Matriz,3,0),"")</f>
        <v>T</v>
      </c>
      <c r="H1449" s="2">
        <v>1</v>
      </c>
      <c r="I1449" s="2">
        <v>1</v>
      </c>
      <c r="K1449" s="2">
        <f>Listas!$B$6</f>
        <v>7.333333333333333</v>
      </c>
      <c r="M1449" s="238">
        <f>M1441</f>
        <v>2</v>
      </c>
      <c r="O1449" s="2">
        <f>H1449*I1449*K1449*M1449</f>
        <v>14.666666666666666</v>
      </c>
      <c r="Q1449" s="2">
        <f>O1449/220</f>
        <v>6.6666666666666666E-2</v>
      </c>
      <c r="S1449" s="310">
        <f ca="1">IFERROR(VLOOKUP(B1449,MO_Matriz,5,0),"")</f>
        <v>7821.6815999999999</v>
      </c>
      <c r="T1449" s="339">
        <f ca="1">Q1449*S1449</f>
        <v>521.44543999999996</v>
      </c>
    </row>
    <row r="1450" spans="1:20" x14ac:dyDescent="0.25">
      <c r="A1450" s="4"/>
      <c r="S1450" s="332" t="s">
        <v>329</v>
      </c>
      <c r="T1450" s="331">
        <f ca="1">SUM(T1448:T1449)</f>
        <v>2140.6994400000003</v>
      </c>
    </row>
    <row r="1451" spans="1:20" x14ac:dyDescent="0.25">
      <c r="A1451" s="4"/>
    </row>
    <row r="1452" spans="1:20" x14ac:dyDescent="0.25">
      <c r="A1452" s="329" t="s">
        <v>339</v>
      </c>
      <c r="B1452" s="2" t="s">
        <v>340</v>
      </c>
    </row>
    <row r="1453" spans="1:20" x14ac:dyDescent="0.25">
      <c r="B1453" s="2" t="s">
        <v>341</v>
      </c>
    </row>
    <row r="1455" spans="1:20" x14ac:dyDescent="0.25">
      <c r="A1455" s="4" t="s">
        <v>348</v>
      </c>
      <c r="B1455" s="2" t="s">
        <v>349</v>
      </c>
    </row>
    <row r="1456" spans="1:20" x14ac:dyDescent="0.25">
      <c r="A1456" s="4" t="s">
        <v>451</v>
      </c>
      <c r="B1456" s="2" t="s">
        <v>452</v>
      </c>
    </row>
    <row r="1457" spans="1:20" x14ac:dyDescent="0.25">
      <c r="B1457" s="4" t="s">
        <v>360</v>
      </c>
      <c r="C1457" s="2" t="s">
        <v>15</v>
      </c>
      <c r="F1457" s="4" t="s">
        <v>321</v>
      </c>
      <c r="G1457" s="4"/>
      <c r="H1457" s="4" t="s">
        <v>453</v>
      </c>
      <c r="I1457" s="4"/>
      <c r="J1457" s="4" t="s">
        <v>454</v>
      </c>
    </row>
    <row r="1458" spans="1:20" x14ac:dyDescent="0.25">
      <c r="B1458" s="4" t="str">
        <f>B1448</f>
        <v>P8065</v>
      </c>
      <c r="C1458" s="2" t="str">
        <f ca="1">IFERROR(VLOOKUP(B1458,MO_Matriz,2,0),"")</f>
        <v>Engenheiro de projetos júnior</v>
      </c>
      <c r="F1458" s="4" t="str">
        <f ca="1">IFERROR(VLOOKUP(B1458,MO_Matriz,3,0),"")</f>
        <v>S</v>
      </c>
      <c r="H1458" s="2" t="s">
        <v>455</v>
      </c>
      <c r="J1458" s="2">
        <v>1</v>
      </c>
    </row>
    <row r="1459" spans="1:20" x14ac:dyDescent="0.25">
      <c r="B1459" s="4" t="str">
        <f>B1449</f>
        <v>P9848</v>
      </c>
      <c r="C1459" s="2" t="str">
        <f ca="1">IFERROR(VLOOKUP(B1459,MO_Matriz,2,0),"")</f>
        <v>Desenhista</v>
      </c>
      <c r="F1459" s="4" t="str">
        <f ca="1">IFERROR(VLOOKUP(B1459,MO_Matriz,3,0),"")</f>
        <v>T</v>
      </c>
      <c r="H1459" s="2" t="s">
        <v>455</v>
      </c>
      <c r="J1459" s="2">
        <v>1</v>
      </c>
    </row>
    <row r="1460" spans="1:20" x14ac:dyDescent="0.25">
      <c r="I1460" s="332" t="s">
        <v>329</v>
      </c>
      <c r="J1460" s="332">
        <f>SUM(J1458:J1459)</f>
        <v>2</v>
      </c>
    </row>
    <row r="1462" spans="1:20" x14ac:dyDescent="0.25">
      <c r="A1462" s="4" t="s">
        <v>456</v>
      </c>
      <c r="B1462" s="2" t="s">
        <v>457</v>
      </c>
    </row>
    <row r="1463" spans="1:20" x14ac:dyDescent="0.25">
      <c r="A1463" s="4"/>
      <c r="B1463" s="2" t="s">
        <v>1032</v>
      </c>
    </row>
    <row r="1465" spans="1:20" x14ac:dyDescent="0.25">
      <c r="A1465" s="4" t="s">
        <v>350</v>
      </c>
      <c r="B1465" s="2" t="s">
        <v>351</v>
      </c>
    </row>
    <row r="1466" spans="1:20" x14ac:dyDescent="0.25">
      <c r="B1466" s="2" t="s">
        <v>344</v>
      </c>
    </row>
    <row r="1468" spans="1:20" x14ac:dyDescent="0.25">
      <c r="A1468" s="4" t="s">
        <v>197</v>
      </c>
      <c r="B1468" s="2" t="s">
        <v>352</v>
      </c>
    </row>
    <row r="1469" spans="1:20" ht="17.25" x14ac:dyDescent="0.25">
      <c r="B1469" s="2" t="s">
        <v>346</v>
      </c>
      <c r="P1469" s="28"/>
      <c r="Q1469" s="28"/>
      <c r="R1469" s="28"/>
      <c r="S1469" s="28"/>
      <c r="T1469" s="28"/>
    </row>
    <row r="1471" spans="1:20" x14ac:dyDescent="0.25">
      <c r="A1471" s="4" t="s">
        <v>353</v>
      </c>
      <c r="B1471" s="2" t="s">
        <v>354</v>
      </c>
    </row>
    <row r="1472" spans="1:20" x14ac:dyDescent="0.25">
      <c r="B1472" s="2" t="s">
        <v>347</v>
      </c>
    </row>
    <row r="1474" spans="1:18" x14ac:dyDescent="0.25">
      <c r="A1474" s="4" t="s">
        <v>355</v>
      </c>
      <c r="B1474" s="2" t="s">
        <v>356</v>
      </c>
    </row>
    <row r="1475" spans="1:18" x14ac:dyDescent="0.25">
      <c r="B1475" s="2" t="s">
        <v>15</v>
      </c>
      <c r="F1475" s="2" t="s">
        <v>357</v>
      </c>
    </row>
    <row r="1476" spans="1:18" x14ac:dyDescent="0.25">
      <c r="B1476" s="2" t="s">
        <v>317</v>
      </c>
      <c r="F1476" s="310">
        <f ca="1">T1450</f>
        <v>2140.6994400000003</v>
      </c>
    </row>
    <row r="1477" spans="1:18" x14ac:dyDescent="0.25">
      <c r="B1477" s="2" t="s">
        <v>276</v>
      </c>
      <c r="F1477" s="310">
        <v>0</v>
      </c>
      <c r="P1477" s="4"/>
    </row>
    <row r="1478" spans="1:18" x14ac:dyDescent="0.25">
      <c r="B1478" s="2" t="s">
        <v>342</v>
      </c>
      <c r="F1478" s="310">
        <v>0</v>
      </c>
      <c r="P1478" s="4"/>
    </row>
    <row r="1479" spans="1:18" x14ac:dyDescent="0.25">
      <c r="B1479" s="2" t="s">
        <v>343</v>
      </c>
      <c r="F1479" s="310">
        <v>0</v>
      </c>
    </row>
    <row r="1480" spans="1:18" x14ac:dyDescent="0.25">
      <c r="B1480" s="2" t="s">
        <v>345</v>
      </c>
      <c r="F1480" s="310">
        <v>0</v>
      </c>
    </row>
    <row r="1481" spans="1:18" x14ac:dyDescent="0.25">
      <c r="B1481" s="2" t="s">
        <v>516</v>
      </c>
      <c r="F1481" s="310">
        <v>0</v>
      </c>
    </row>
    <row r="1482" spans="1:18" x14ac:dyDescent="0.25">
      <c r="E1482" s="332" t="s">
        <v>329</v>
      </c>
      <c r="F1482" s="331">
        <f ca="1">SUM(F1476:F1481)</f>
        <v>2140.6994400000003</v>
      </c>
    </row>
    <row r="1484" spans="1:18" ht="17.25" x14ac:dyDescent="0.25">
      <c r="A1484" s="328" t="s">
        <v>941</v>
      </c>
      <c r="B1484" s="328" t="s">
        <v>220</v>
      </c>
      <c r="C1484" s="328"/>
      <c r="D1484" s="328"/>
      <c r="E1484" s="328"/>
      <c r="F1484" s="28"/>
      <c r="G1484" s="28"/>
      <c r="H1484" s="28"/>
      <c r="I1484" s="28"/>
      <c r="J1484" s="28"/>
      <c r="K1484" s="28"/>
      <c r="L1484" s="28"/>
      <c r="M1484" s="28"/>
      <c r="N1484" s="28"/>
      <c r="O1484" s="28"/>
    </row>
    <row r="1485" spans="1:18" x14ac:dyDescent="0.25">
      <c r="A1485" s="4" t="s">
        <v>61</v>
      </c>
      <c r="B1485" s="2" t="s">
        <v>338</v>
      </c>
    </row>
    <row r="1486" spans="1:18" x14ac:dyDescent="0.25">
      <c r="A1486" s="4"/>
      <c r="B1486" s="2" t="s">
        <v>15</v>
      </c>
      <c r="G1486" s="4" t="s">
        <v>414</v>
      </c>
      <c r="I1486" s="4" t="s">
        <v>859</v>
      </c>
      <c r="K1486" s="4" t="s">
        <v>860</v>
      </c>
      <c r="L1486" s="2" t="s">
        <v>224</v>
      </c>
      <c r="M1486" s="2" t="s">
        <v>855</v>
      </c>
      <c r="O1486" s="2" t="s">
        <v>325</v>
      </c>
      <c r="R1486" s="4" t="s">
        <v>381</v>
      </c>
    </row>
    <row r="1487" spans="1:18" x14ac:dyDescent="0.25">
      <c r="A1487" s="4"/>
      <c r="B1487" s="2" t="s">
        <v>607</v>
      </c>
      <c r="G1487" s="350">
        <v>1</v>
      </c>
      <c r="I1487" s="238">
        <f>'Carac trecho'!G74</f>
        <v>1</v>
      </c>
      <c r="J1487" s="4"/>
      <c r="K1487" s="2">
        <f>'Carac trecho'!F74</f>
        <v>1</v>
      </c>
      <c r="L1487" s="2">
        <f>K1487/I1487</f>
        <v>1</v>
      </c>
      <c r="M1487" s="351">
        <v>0</v>
      </c>
      <c r="O1487" s="238">
        <f>L1487+M1487</f>
        <v>1</v>
      </c>
      <c r="R1487" s="2">
        <f>ROUNDUP(O1487*Listas!$E$5,0)</f>
        <v>2</v>
      </c>
    </row>
    <row r="1488" spans="1:18" x14ac:dyDescent="0.25">
      <c r="A1488" s="4"/>
      <c r="B1488" s="2" t="s">
        <v>487</v>
      </c>
      <c r="G1488" s="350">
        <v>0.6</v>
      </c>
      <c r="I1488" s="351">
        <v>0</v>
      </c>
      <c r="J1488" s="4"/>
      <c r="K1488" s="351">
        <v>0</v>
      </c>
      <c r="L1488" s="351">
        <v>0</v>
      </c>
      <c r="M1488" s="351">
        <v>0</v>
      </c>
      <c r="O1488" s="238">
        <f>O1487*G1488</f>
        <v>0.6</v>
      </c>
      <c r="R1488" s="238">
        <v>1</v>
      </c>
    </row>
    <row r="1489" spans="1:20" x14ac:dyDescent="0.25">
      <c r="A1489" s="4"/>
      <c r="B1489" s="2" t="s">
        <v>592</v>
      </c>
      <c r="G1489" s="350">
        <v>0.4</v>
      </c>
      <c r="I1489" s="351">
        <v>0</v>
      </c>
      <c r="J1489" s="4"/>
      <c r="K1489" s="351">
        <v>0</v>
      </c>
      <c r="L1489" s="351">
        <v>0</v>
      </c>
      <c r="M1489" s="351">
        <v>0</v>
      </c>
      <c r="O1489" s="238">
        <f>O1487-O1488</f>
        <v>0.4</v>
      </c>
      <c r="R1489" s="238">
        <f>R1487-R1488</f>
        <v>1</v>
      </c>
    </row>
    <row r="1490" spans="1:20" x14ac:dyDescent="0.25">
      <c r="A1490" s="4"/>
      <c r="G1490" s="350"/>
      <c r="I1490" s="351"/>
      <c r="J1490" s="4"/>
      <c r="K1490" s="351"/>
      <c r="L1490" s="351"/>
      <c r="M1490" s="351"/>
      <c r="N1490" s="2" t="s">
        <v>329</v>
      </c>
      <c r="O1490" s="238">
        <f>SUM(O1487:O1489)</f>
        <v>2</v>
      </c>
      <c r="R1490" s="238"/>
    </row>
    <row r="1491" spans="1:20" x14ac:dyDescent="0.25">
      <c r="A1491" s="4"/>
    </row>
    <row r="1492" spans="1:20" x14ac:dyDescent="0.25">
      <c r="A1492" s="4"/>
      <c r="B1492" s="4" t="s">
        <v>360</v>
      </c>
      <c r="C1492" s="2" t="s">
        <v>15</v>
      </c>
      <c r="F1492" s="4" t="s">
        <v>321</v>
      </c>
      <c r="G1492" s="4"/>
      <c r="H1492" s="4" t="s">
        <v>322</v>
      </c>
      <c r="I1492" s="4" t="s">
        <v>323</v>
      </c>
      <c r="J1492" s="4"/>
      <c r="K1492" s="4" t="s">
        <v>324</v>
      </c>
      <c r="L1492" s="4"/>
      <c r="M1492" s="4" t="s">
        <v>325</v>
      </c>
      <c r="N1492" s="4"/>
      <c r="O1492" s="4" t="s">
        <v>326</v>
      </c>
      <c r="Q1492" s="4" t="s">
        <v>327</v>
      </c>
      <c r="R1492" s="4"/>
      <c r="S1492" s="4" t="s">
        <v>328</v>
      </c>
      <c r="T1492" s="329" t="s">
        <v>329</v>
      </c>
    </row>
    <row r="1493" spans="1:20" x14ac:dyDescent="0.25">
      <c r="A1493" s="4"/>
      <c r="B1493" s="4"/>
      <c r="F1493" s="4"/>
      <c r="G1493" s="4"/>
      <c r="H1493" s="4" t="s">
        <v>330</v>
      </c>
      <c r="I1493" s="4" t="s">
        <v>331</v>
      </c>
      <c r="J1493" s="4"/>
      <c r="K1493" s="4" t="s">
        <v>332</v>
      </c>
      <c r="L1493" s="4"/>
      <c r="M1493" s="4" t="s">
        <v>333</v>
      </c>
      <c r="N1493" s="4"/>
      <c r="O1493" s="4" t="s">
        <v>334</v>
      </c>
      <c r="Q1493" s="4" t="s">
        <v>335</v>
      </c>
      <c r="R1493" s="4"/>
      <c r="S1493" s="4" t="s">
        <v>336</v>
      </c>
      <c r="T1493" s="329" t="s">
        <v>337</v>
      </c>
    </row>
    <row r="1494" spans="1:20" x14ac:dyDescent="0.25">
      <c r="A1494" s="4"/>
      <c r="B1494" s="4" t="s">
        <v>126</v>
      </c>
      <c r="C1494" s="2" t="str">
        <f ca="1">IFERROR(VLOOKUP(B1494,MO_Matriz,2,0),"")</f>
        <v>Geólogo pleno</v>
      </c>
      <c r="F1494" s="4" t="str">
        <f ca="1">IFERROR(VLOOKUP(B1494,MO_Matriz,3,0),"")</f>
        <v>S</v>
      </c>
      <c r="H1494" s="2">
        <v>1</v>
      </c>
      <c r="I1494" s="2">
        <v>1</v>
      </c>
      <c r="K1494" s="2">
        <f>Listas!$B$6</f>
        <v>7.333333333333333</v>
      </c>
      <c r="M1494" s="238">
        <f>O1487</f>
        <v>1</v>
      </c>
      <c r="O1494" s="2">
        <f>H1494*I1494*K1494*M1494</f>
        <v>7.333333333333333</v>
      </c>
      <c r="Q1494" s="2">
        <f>O1494/220</f>
        <v>3.3333333333333333E-2</v>
      </c>
      <c r="S1494" s="310">
        <f ca="1">IFERROR(VLOOKUP(B1494,MO_Matriz,5,0),"")</f>
        <v>25780.18</v>
      </c>
      <c r="T1494" s="339">
        <f ca="1">Q1494*S1494</f>
        <v>859.33933333333334</v>
      </c>
    </row>
    <row r="1495" spans="1:20" x14ac:dyDescent="0.25">
      <c r="A1495" s="4"/>
      <c r="B1495" s="4" t="s">
        <v>167</v>
      </c>
      <c r="C1495" s="2" t="str">
        <f ca="1">IFERROR(VLOOKUP(B1495,MO_Matriz,2,0),"")</f>
        <v>Técnico ambiental</v>
      </c>
      <c r="F1495" s="4" t="str">
        <f ca="1">IFERROR(VLOOKUP(B1495,MO_Matriz,3,0),"")</f>
        <v>T</v>
      </c>
      <c r="H1495" s="2">
        <v>1</v>
      </c>
      <c r="I1495" s="2">
        <v>1</v>
      </c>
      <c r="K1495" s="2">
        <f>Listas!$B$6</f>
        <v>7.333333333333333</v>
      </c>
      <c r="M1495" s="238">
        <f>O1487</f>
        <v>1</v>
      </c>
      <c r="O1495" s="2">
        <f>H1495*I1495*K1495*M1495</f>
        <v>7.333333333333333</v>
      </c>
      <c r="Q1495" s="2">
        <f>O1495/220</f>
        <v>3.3333333333333333E-2</v>
      </c>
      <c r="S1495" s="310">
        <f ca="1">IFERROR(VLOOKUP(B1495,MO_Matriz,5,0),"")</f>
        <v>6565.04</v>
      </c>
      <c r="T1495" s="339">
        <f ca="1">Q1495*S1495</f>
        <v>218.83466666666666</v>
      </c>
    </row>
    <row r="1496" spans="1:20" x14ac:dyDescent="0.25">
      <c r="A1496" s="4"/>
      <c r="S1496" s="332" t="s">
        <v>329</v>
      </c>
      <c r="T1496" s="331">
        <f ca="1">SUM(T1494:T1495)</f>
        <v>1078.174</v>
      </c>
    </row>
    <row r="1497" spans="1:20" x14ac:dyDescent="0.25">
      <c r="A1497" s="4"/>
    </row>
    <row r="1498" spans="1:20" x14ac:dyDescent="0.25">
      <c r="A1498" s="329" t="s">
        <v>339</v>
      </c>
      <c r="B1498" s="2" t="s">
        <v>340</v>
      </c>
    </row>
    <row r="1499" spans="1:20" x14ac:dyDescent="0.25">
      <c r="B1499" s="2" t="s">
        <v>341</v>
      </c>
    </row>
    <row r="1501" spans="1:20" x14ac:dyDescent="0.25">
      <c r="A1501" s="4" t="s">
        <v>348</v>
      </c>
      <c r="B1501" s="2" t="s">
        <v>349</v>
      </c>
    </row>
    <row r="1502" spans="1:20" x14ac:dyDescent="0.25">
      <c r="A1502" s="4" t="s">
        <v>451</v>
      </c>
      <c r="B1502" s="2" t="s">
        <v>452</v>
      </c>
    </row>
    <row r="1503" spans="1:20" x14ac:dyDescent="0.25">
      <c r="B1503" s="4" t="s">
        <v>360</v>
      </c>
      <c r="C1503" s="2" t="s">
        <v>15</v>
      </c>
      <c r="F1503" s="4" t="s">
        <v>321</v>
      </c>
      <c r="G1503" s="4"/>
      <c r="H1503" s="4" t="s">
        <v>453</v>
      </c>
      <c r="I1503" s="4"/>
      <c r="J1503" s="4" t="s">
        <v>454</v>
      </c>
    </row>
    <row r="1504" spans="1:20" x14ac:dyDescent="0.25">
      <c r="B1504" s="4" t="str">
        <f>B1494</f>
        <v>P8081</v>
      </c>
      <c r="C1504" s="2" t="str">
        <f ca="1">IFERROR(VLOOKUP(B1504,MO_Matriz,2,0),"")</f>
        <v>Geólogo pleno</v>
      </c>
      <c r="F1504" s="4" t="str">
        <f ca="1">IFERROR(VLOOKUP(B1504,MO_Matriz,3,0),"")</f>
        <v>S</v>
      </c>
      <c r="H1504" s="2" t="s">
        <v>455</v>
      </c>
      <c r="J1504" s="2">
        <v>1</v>
      </c>
    </row>
    <row r="1505" spans="1:20" x14ac:dyDescent="0.25">
      <c r="B1505" s="4" t="str">
        <f>B1495</f>
        <v>P8143</v>
      </c>
      <c r="C1505" s="2" t="str">
        <f ca="1">IFERROR(VLOOKUP(B1505,MO_Matriz,2,0),"")</f>
        <v>Técnico ambiental</v>
      </c>
      <c r="F1505" s="4" t="str">
        <f ca="1">IFERROR(VLOOKUP(B1505,MO_Matriz,3,0),"")</f>
        <v>T</v>
      </c>
      <c r="H1505" s="2" t="s">
        <v>455</v>
      </c>
      <c r="J1505" s="2">
        <v>1</v>
      </c>
    </row>
    <row r="1506" spans="1:20" x14ac:dyDescent="0.25">
      <c r="I1506" s="332" t="s">
        <v>329</v>
      </c>
      <c r="J1506" s="332">
        <f>SUM(J1504:J1505)</f>
        <v>2</v>
      </c>
    </row>
    <row r="1508" spans="1:20" x14ac:dyDescent="0.25">
      <c r="A1508" s="4" t="s">
        <v>456</v>
      </c>
      <c r="B1508" s="2" t="s">
        <v>457</v>
      </c>
    </row>
    <row r="1509" spans="1:20" x14ac:dyDescent="0.25">
      <c r="A1509" s="4"/>
      <c r="B1509" s="2" t="s">
        <v>1032</v>
      </c>
    </row>
    <row r="1511" spans="1:20" x14ac:dyDescent="0.25">
      <c r="A1511" s="4" t="s">
        <v>350</v>
      </c>
      <c r="B1511" s="2" t="s">
        <v>351</v>
      </c>
    </row>
    <row r="1512" spans="1:20" x14ac:dyDescent="0.25">
      <c r="B1512" s="2" t="s">
        <v>344</v>
      </c>
    </row>
    <row r="1514" spans="1:20" x14ac:dyDescent="0.25">
      <c r="A1514" s="4" t="s">
        <v>197</v>
      </c>
      <c r="B1514" s="2" t="s">
        <v>352</v>
      </c>
    </row>
    <row r="1515" spans="1:20" ht="17.25" x14ac:dyDescent="0.25">
      <c r="B1515" s="2" t="s">
        <v>346</v>
      </c>
      <c r="P1515" s="28"/>
      <c r="Q1515" s="28"/>
      <c r="R1515" s="28"/>
      <c r="S1515" s="28"/>
      <c r="T1515" s="28"/>
    </row>
    <row r="1517" spans="1:20" x14ac:dyDescent="0.25">
      <c r="A1517" s="4" t="s">
        <v>353</v>
      </c>
      <c r="B1517" s="2" t="s">
        <v>354</v>
      </c>
    </row>
    <row r="1518" spans="1:20" x14ac:dyDescent="0.25">
      <c r="B1518" s="2" t="s">
        <v>347</v>
      </c>
    </row>
    <row r="1520" spans="1:20" x14ac:dyDescent="0.25">
      <c r="A1520" s="4" t="s">
        <v>355</v>
      </c>
      <c r="B1520" s="2" t="s">
        <v>356</v>
      </c>
    </row>
    <row r="1521" spans="1:16" x14ac:dyDescent="0.25">
      <c r="B1521" s="2" t="s">
        <v>15</v>
      </c>
      <c r="F1521" s="2" t="s">
        <v>357</v>
      </c>
    </row>
    <row r="1522" spans="1:16" x14ac:dyDescent="0.25">
      <c r="B1522" s="2" t="s">
        <v>317</v>
      </c>
      <c r="F1522" s="310">
        <f ca="1">T1496</f>
        <v>1078.174</v>
      </c>
    </row>
    <row r="1523" spans="1:16" x14ac:dyDescent="0.25">
      <c r="B1523" s="2" t="s">
        <v>276</v>
      </c>
      <c r="F1523" s="310">
        <v>0</v>
      </c>
      <c r="P1523" s="4"/>
    </row>
    <row r="1524" spans="1:16" x14ac:dyDescent="0.25">
      <c r="B1524" s="2" t="s">
        <v>342</v>
      </c>
      <c r="F1524" s="310">
        <v>0</v>
      </c>
      <c r="P1524" s="4"/>
    </row>
    <row r="1525" spans="1:16" x14ac:dyDescent="0.25">
      <c r="B1525" s="2" t="s">
        <v>343</v>
      </c>
      <c r="F1525" s="310">
        <v>0</v>
      </c>
    </row>
    <row r="1526" spans="1:16" x14ac:dyDescent="0.25">
      <c r="B1526" s="2" t="s">
        <v>345</v>
      </c>
      <c r="F1526" s="310">
        <v>0</v>
      </c>
    </row>
    <row r="1527" spans="1:16" x14ac:dyDescent="0.25">
      <c r="B1527" s="2" t="s">
        <v>516</v>
      </c>
      <c r="F1527" s="310">
        <v>0</v>
      </c>
    </row>
    <row r="1528" spans="1:16" x14ac:dyDescent="0.25">
      <c r="E1528" s="332" t="s">
        <v>329</v>
      </c>
      <c r="F1528" s="331">
        <f ca="1">SUM(F1522:F1527)</f>
        <v>1078.174</v>
      </c>
    </row>
    <row r="1530" spans="1:16" ht="17.25" x14ac:dyDescent="0.25">
      <c r="A1530" s="328" t="s">
        <v>942</v>
      </c>
      <c r="B1530" s="328" t="s">
        <v>221</v>
      </c>
      <c r="C1530" s="328"/>
      <c r="D1530" s="328"/>
      <c r="E1530" s="28"/>
      <c r="F1530" s="28"/>
      <c r="G1530" s="28"/>
      <c r="H1530" s="28"/>
      <c r="I1530" s="28"/>
      <c r="J1530" s="28"/>
      <c r="K1530" s="28"/>
      <c r="L1530" s="28"/>
      <c r="M1530" s="28"/>
      <c r="N1530" s="28"/>
      <c r="O1530" s="28"/>
    </row>
    <row r="1531" spans="1:16" x14ac:dyDescent="0.25">
      <c r="A1531" s="4" t="s">
        <v>61</v>
      </c>
      <c r="B1531" s="2" t="s">
        <v>338</v>
      </c>
    </row>
    <row r="1532" spans="1:16" x14ac:dyDescent="0.25">
      <c r="A1532" s="4"/>
      <c r="B1532" s="2" t="s">
        <v>15</v>
      </c>
      <c r="F1532" s="4" t="s">
        <v>414</v>
      </c>
      <c r="H1532" s="4" t="s">
        <v>856</v>
      </c>
      <c r="J1532" s="4" t="s">
        <v>224</v>
      </c>
      <c r="K1532" s="2" t="s">
        <v>855</v>
      </c>
      <c r="M1532" s="2" t="s">
        <v>325</v>
      </c>
      <c r="O1532" s="2" t="s">
        <v>381</v>
      </c>
    </row>
    <row r="1533" spans="1:16" x14ac:dyDescent="0.25">
      <c r="A1533" s="4"/>
      <c r="B1533" s="2" t="s">
        <v>610</v>
      </c>
      <c r="F1533" s="350">
        <v>1</v>
      </c>
      <c r="H1533" s="238">
        <f>'Carac trecho'!F93</f>
        <v>5</v>
      </c>
      <c r="I1533" s="4"/>
      <c r="J1533" s="2">
        <f>1.5/H1533</f>
        <v>0.3</v>
      </c>
      <c r="K1533" s="238">
        <f>'Carac trecho'!C93</f>
        <v>3</v>
      </c>
      <c r="M1533" s="238">
        <f>J1533+K1533</f>
        <v>3.3</v>
      </c>
      <c r="O1533" s="2">
        <f>ROUNDUP(M1533*Listas!$E$5,0)</f>
        <v>4</v>
      </c>
    </row>
    <row r="1534" spans="1:16" x14ac:dyDescent="0.25">
      <c r="A1534" s="4"/>
      <c r="B1534" s="2" t="s">
        <v>487</v>
      </c>
      <c r="F1534" s="350">
        <v>0.6</v>
      </c>
      <c r="H1534" s="351">
        <v>0</v>
      </c>
      <c r="I1534" s="4"/>
      <c r="J1534" s="351">
        <v>0</v>
      </c>
      <c r="K1534" s="351">
        <v>0</v>
      </c>
      <c r="M1534" s="238">
        <f>M1533*F1534</f>
        <v>1.9799999999999998</v>
      </c>
      <c r="O1534" s="238">
        <f>ROUNDUP(O1533*F1534,0)</f>
        <v>3</v>
      </c>
    </row>
    <row r="1535" spans="1:16" x14ac:dyDescent="0.25">
      <c r="A1535" s="4"/>
      <c r="B1535" s="2" t="s">
        <v>592</v>
      </c>
      <c r="F1535" s="350">
        <v>0.4</v>
      </c>
      <c r="H1535" s="351">
        <v>0</v>
      </c>
      <c r="I1535" s="4"/>
      <c r="J1535" s="351">
        <v>0</v>
      </c>
      <c r="K1535" s="351">
        <v>0</v>
      </c>
      <c r="M1535" s="238">
        <f>M1533-M1534</f>
        <v>1.32</v>
      </c>
      <c r="O1535" s="238">
        <f>O1533-O1534</f>
        <v>1</v>
      </c>
    </row>
    <row r="1536" spans="1:16" x14ac:dyDescent="0.25">
      <c r="A1536" s="4"/>
      <c r="F1536" s="350"/>
      <c r="H1536" s="351"/>
      <c r="I1536" s="4"/>
      <c r="J1536" s="351"/>
      <c r="K1536" s="351"/>
      <c r="L1536" s="2" t="s">
        <v>329</v>
      </c>
      <c r="M1536" s="238">
        <f>SUM(M1533:M1535)</f>
        <v>6.6</v>
      </c>
      <c r="O1536" s="238"/>
    </row>
    <row r="1537" spans="1:20" x14ac:dyDescent="0.25">
      <c r="A1537" s="4"/>
    </row>
    <row r="1538" spans="1:20" x14ac:dyDescent="0.25">
      <c r="A1538" s="4"/>
      <c r="B1538" s="4" t="s">
        <v>360</v>
      </c>
      <c r="C1538" s="2" t="s">
        <v>15</v>
      </c>
      <c r="F1538" s="4" t="s">
        <v>321</v>
      </c>
      <c r="G1538" s="4"/>
      <c r="H1538" s="4" t="s">
        <v>322</v>
      </c>
      <c r="I1538" s="4" t="s">
        <v>323</v>
      </c>
      <c r="J1538" s="4"/>
      <c r="K1538" s="4" t="s">
        <v>324</v>
      </c>
      <c r="L1538" s="4"/>
      <c r="M1538" s="4" t="s">
        <v>325</v>
      </c>
      <c r="N1538" s="4"/>
      <c r="O1538" s="4" t="s">
        <v>326</v>
      </c>
      <c r="Q1538" s="4" t="s">
        <v>327</v>
      </c>
      <c r="R1538" s="4"/>
      <c r="S1538" s="4" t="s">
        <v>328</v>
      </c>
      <c r="T1538" s="329" t="s">
        <v>329</v>
      </c>
    </row>
    <row r="1539" spans="1:20" x14ac:dyDescent="0.25">
      <c r="A1539" s="4"/>
      <c r="B1539" s="4"/>
      <c r="F1539" s="4"/>
      <c r="G1539" s="4"/>
      <c r="H1539" s="4" t="s">
        <v>330</v>
      </c>
      <c r="I1539" s="4" t="s">
        <v>331</v>
      </c>
      <c r="J1539" s="4"/>
      <c r="K1539" s="4" t="s">
        <v>332</v>
      </c>
      <c r="L1539" s="4"/>
      <c r="M1539" s="4" t="s">
        <v>333</v>
      </c>
      <c r="N1539" s="4"/>
      <c r="O1539" s="4" t="s">
        <v>334</v>
      </c>
      <c r="Q1539" s="4" t="s">
        <v>335</v>
      </c>
      <c r="R1539" s="4"/>
      <c r="S1539" s="4" t="s">
        <v>336</v>
      </c>
      <c r="T1539" s="329" t="s">
        <v>337</v>
      </c>
    </row>
    <row r="1540" spans="1:20" x14ac:dyDescent="0.25">
      <c r="A1540" s="4"/>
      <c r="B1540" s="4" t="s">
        <v>112</v>
      </c>
      <c r="C1540" s="2" t="str">
        <f ca="1">IFERROR(VLOOKUP(B1540,MO_Matriz,2,0),"")</f>
        <v>Engenheiro de projetos júnior</v>
      </c>
      <c r="F1540" s="4" t="str">
        <f ca="1">IFERROR(VLOOKUP(B1540,MO_Matriz,3,0),"")</f>
        <v>S</v>
      </c>
      <c r="H1540" s="2">
        <v>1</v>
      </c>
      <c r="I1540" s="2">
        <v>1</v>
      </c>
      <c r="K1540" s="2">
        <f>Listas!$B$6</f>
        <v>7.333333333333333</v>
      </c>
      <c r="M1540" s="238">
        <f>M1533</f>
        <v>3.3</v>
      </c>
      <c r="O1540" s="2">
        <f>H1540*I1540*K1540*M1540</f>
        <v>24.2</v>
      </c>
      <c r="Q1540" s="2">
        <f>O1540/220</f>
        <v>0.11</v>
      </c>
      <c r="S1540" s="310">
        <f ca="1">IFERROR(VLOOKUP(B1540,MO_Matriz,5,0),"")</f>
        <v>24288.81</v>
      </c>
      <c r="T1540" s="339">
        <f ca="1">Q1540*S1540</f>
        <v>2671.7691</v>
      </c>
    </row>
    <row r="1541" spans="1:20" x14ac:dyDescent="0.25">
      <c r="A1541" s="4"/>
      <c r="B1541" s="4" t="s">
        <v>169</v>
      </c>
      <c r="C1541" s="2" t="str">
        <f ca="1">IFERROR(VLOOKUP(B1541,MO_Matriz,2,0),"")</f>
        <v>Técnico de obras</v>
      </c>
      <c r="F1541" s="4" t="str">
        <f ca="1">IFERROR(VLOOKUP(B1541,MO_Matriz,3,0),"")</f>
        <v>T</v>
      </c>
      <c r="H1541" s="2">
        <v>1</v>
      </c>
      <c r="I1541" s="2">
        <v>1</v>
      </c>
      <c r="K1541" s="2">
        <f>Listas!$B$6</f>
        <v>7.333333333333333</v>
      </c>
      <c r="M1541" s="238">
        <f>M1533</f>
        <v>3.3</v>
      </c>
      <c r="O1541" s="2">
        <f>H1541*I1541*K1541*M1541</f>
        <v>24.2</v>
      </c>
      <c r="Q1541" s="2">
        <f>O1541/220</f>
        <v>0.11</v>
      </c>
      <c r="S1541" s="310">
        <f ca="1">IFERROR(VLOOKUP(B1541,MO_Matriz,5,0),"")</f>
        <v>7040.14</v>
      </c>
      <c r="T1541" s="339">
        <f ca="1">Q1541*S1541</f>
        <v>774.41540000000009</v>
      </c>
    </row>
    <row r="1542" spans="1:20" x14ac:dyDescent="0.25">
      <c r="A1542" s="4"/>
      <c r="S1542" s="332" t="s">
        <v>329</v>
      </c>
      <c r="T1542" s="331">
        <f ca="1">SUM(T1540:T1541)</f>
        <v>3446.1845000000003</v>
      </c>
    </row>
    <row r="1543" spans="1:20" x14ac:dyDescent="0.25">
      <c r="A1543" s="4"/>
    </row>
    <row r="1544" spans="1:20" x14ac:dyDescent="0.25">
      <c r="A1544" s="329" t="s">
        <v>339</v>
      </c>
      <c r="B1544" s="2" t="s">
        <v>340</v>
      </c>
    </row>
    <row r="1545" spans="1:20" x14ac:dyDescent="0.25">
      <c r="B1545" s="2" t="s">
        <v>341</v>
      </c>
    </row>
    <row r="1547" spans="1:20" x14ac:dyDescent="0.25">
      <c r="A1547" s="4" t="s">
        <v>348</v>
      </c>
      <c r="B1547" s="2" t="s">
        <v>349</v>
      </c>
    </row>
    <row r="1548" spans="1:20" x14ac:dyDescent="0.25">
      <c r="A1548" s="4" t="s">
        <v>451</v>
      </c>
      <c r="B1548" s="2" t="s">
        <v>452</v>
      </c>
    </row>
    <row r="1549" spans="1:20" x14ac:dyDescent="0.25">
      <c r="B1549" s="4" t="s">
        <v>360</v>
      </c>
      <c r="C1549" s="2" t="s">
        <v>15</v>
      </c>
      <c r="F1549" s="4" t="s">
        <v>321</v>
      </c>
      <c r="G1549" s="4"/>
      <c r="H1549" s="4" t="s">
        <v>453</v>
      </c>
      <c r="I1549" s="4"/>
      <c r="J1549" s="4" t="s">
        <v>454</v>
      </c>
    </row>
    <row r="1550" spans="1:20" x14ac:dyDescent="0.25">
      <c r="B1550" s="4" t="str">
        <f>B1540</f>
        <v>P8065</v>
      </c>
      <c r="C1550" s="2" t="str">
        <f ca="1">IFERROR(VLOOKUP(B1550,MO_Matriz,2,0),"")</f>
        <v>Engenheiro de projetos júnior</v>
      </c>
      <c r="F1550" s="4" t="str">
        <f ca="1">IFERROR(VLOOKUP(B1550,MO_Matriz,3,0),"")</f>
        <v>S</v>
      </c>
      <c r="H1550" s="2" t="s">
        <v>455</v>
      </c>
      <c r="J1550" s="2">
        <v>1</v>
      </c>
    </row>
    <row r="1551" spans="1:20" x14ac:dyDescent="0.25">
      <c r="B1551" s="4" t="str">
        <f>B1541</f>
        <v>P8147</v>
      </c>
      <c r="C1551" s="2" t="str">
        <f ca="1">IFERROR(VLOOKUP(B1551,MO_Matriz,2,0),"")</f>
        <v>Técnico de obras</v>
      </c>
      <c r="F1551" s="4" t="str">
        <f ca="1">IFERROR(VLOOKUP(B1551,MO_Matriz,3,0),"")</f>
        <v>T</v>
      </c>
      <c r="H1551" s="2" t="s">
        <v>455</v>
      </c>
      <c r="J1551" s="2">
        <v>1</v>
      </c>
    </row>
    <row r="1552" spans="1:20" x14ac:dyDescent="0.25">
      <c r="I1552" s="332" t="s">
        <v>329</v>
      </c>
      <c r="J1552" s="332">
        <f>SUM(J1550:J1551)</f>
        <v>2</v>
      </c>
    </row>
    <row r="1554" spans="1:16" x14ac:dyDescent="0.25">
      <c r="A1554" s="4" t="s">
        <v>456</v>
      </c>
      <c r="B1554" s="2" t="s">
        <v>457</v>
      </c>
    </row>
    <row r="1555" spans="1:16" x14ac:dyDescent="0.25">
      <c r="A1555" s="4"/>
      <c r="B1555" s="2" t="s">
        <v>1032</v>
      </c>
    </row>
    <row r="1556" spans="1:16" x14ac:dyDescent="0.25">
      <c r="A1556" s="4"/>
    </row>
    <row r="1557" spans="1:16" x14ac:dyDescent="0.25">
      <c r="A1557" s="4" t="s">
        <v>350</v>
      </c>
      <c r="B1557" s="2" t="s">
        <v>351</v>
      </c>
    </row>
    <row r="1558" spans="1:16" x14ac:dyDescent="0.25">
      <c r="B1558" s="2" t="s">
        <v>344</v>
      </c>
    </row>
    <row r="1560" spans="1:16" x14ac:dyDescent="0.25">
      <c r="A1560" s="4" t="s">
        <v>197</v>
      </c>
      <c r="B1560" s="2" t="s">
        <v>352</v>
      </c>
    </row>
    <row r="1561" spans="1:16" x14ac:dyDescent="0.25">
      <c r="B1561" s="2" t="s">
        <v>346</v>
      </c>
    </row>
    <row r="1563" spans="1:16" x14ac:dyDescent="0.25">
      <c r="A1563" s="4" t="s">
        <v>353</v>
      </c>
      <c r="B1563" s="2" t="s">
        <v>354</v>
      </c>
    </row>
    <row r="1564" spans="1:16" x14ac:dyDescent="0.25">
      <c r="B1564" s="2" t="s">
        <v>347</v>
      </c>
    </row>
    <row r="1566" spans="1:16" x14ac:dyDescent="0.25">
      <c r="A1566" s="4" t="s">
        <v>355</v>
      </c>
      <c r="B1566" s="2" t="s">
        <v>356</v>
      </c>
    </row>
    <row r="1567" spans="1:16" x14ac:dyDescent="0.25">
      <c r="B1567" s="2" t="s">
        <v>15</v>
      </c>
      <c r="F1567" s="2" t="s">
        <v>357</v>
      </c>
    </row>
    <row r="1568" spans="1:16" x14ac:dyDescent="0.25">
      <c r="B1568" s="2" t="s">
        <v>317</v>
      </c>
      <c r="F1568" s="310">
        <f ca="1">T1542</f>
        <v>3446.1845000000003</v>
      </c>
      <c r="P1568" s="4"/>
    </row>
    <row r="1569" spans="1:20" x14ac:dyDescent="0.25">
      <c r="B1569" s="2" t="s">
        <v>276</v>
      </c>
      <c r="F1569" s="310">
        <v>0</v>
      </c>
      <c r="P1569" s="4"/>
    </row>
    <row r="1570" spans="1:20" x14ac:dyDescent="0.25">
      <c r="B1570" s="2" t="s">
        <v>342</v>
      </c>
      <c r="F1570" s="310">
        <v>0</v>
      </c>
    </row>
    <row r="1571" spans="1:20" x14ac:dyDescent="0.25">
      <c r="B1571" s="2" t="s">
        <v>343</v>
      </c>
      <c r="F1571" s="310">
        <v>0</v>
      </c>
    </row>
    <row r="1572" spans="1:20" x14ac:dyDescent="0.25">
      <c r="B1572" s="2" t="s">
        <v>345</v>
      </c>
      <c r="F1572" s="310">
        <v>0</v>
      </c>
    </row>
    <row r="1573" spans="1:20" x14ac:dyDescent="0.25">
      <c r="B1573" s="2" t="s">
        <v>516</v>
      </c>
      <c r="F1573" s="310">
        <v>0</v>
      </c>
    </row>
    <row r="1574" spans="1:20" x14ac:dyDescent="0.25">
      <c r="E1574" s="332" t="s">
        <v>329</v>
      </c>
      <c r="F1574" s="331">
        <f ca="1">SUM(F1568:F1573)</f>
        <v>3446.1845000000003</v>
      </c>
    </row>
    <row r="1576" spans="1:20" ht="21" x14ac:dyDescent="0.25">
      <c r="A1576" s="327" t="s">
        <v>933</v>
      </c>
      <c r="B1576" s="327" t="s">
        <v>592</v>
      </c>
      <c r="C1576" s="342"/>
      <c r="D1576" s="342"/>
      <c r="E1576" s="342"/>
    </row>
    <row r="1577" spans="1:20" ht="17.25" x14ac:dyDescent="0.25">
      <c r="A1577" s="328" t="s">
        <v>954</v>
      </c>
      <c r="B1577" s="328" t="s">
        <v>925</v>
      </c>
      <c r="C1577" s="342"/>
      <c r="D1577" s="342"/>
    </row>
    <row r="1578" spans="1:20" x14ac:dyDescent="0.25">
      <c r="A1578" s="4" t="s">
        <v>61</v>
      </c>
      <c r="B1578" s="2" t="s">
        <v>338</v>
      </c>
    </row>
    <row r="1579" spans="1:20" x14ac:dyDescent="0.25">
      <c r="A1579" s="4"/>
      <c r="B1579" s="2" t="s">
        <v>15</v>
      </c>
      <c r="F1579" s="4" t="s">
        <v>414</v>
      </c>
      <c r="H1579" s="4" t="s">
        <v>325</v>
      </c>
      <c r="J1579" s="4" t="s">
        <v>381</v>
      </c>
    </row>
    <row r="1580" spans="1:20" x14ac:dyDescent="0.25">
      <c r="A1580" s="4"/>
      <c r="B1580" s="2" t="s">
        <v>926</v>
      </c>
      <c r="F1580" s="350">
        <v>1</v>
      </c>
      <c r="H1580" s="238">
        <f>'Carac trecho'!F93</f>
        <v>5</v>
      </c>
      <c r="J1580" s="2">
        <f>ROUNDUP(H1580*Listas!$E$5,0)</f>
        <v>6</v>
      </c>
    </row>
    <row r="1581" spans="1:20" x14ac:dyDescent="0.25">
      <c r="A1581" s="4"/>
      <c r="F1581" s="350"/>
      <c r="H1581" s="238"/>
      <c r="I1581" s="2" t="s">
        <v>329</v>
      </c>
      <c r="J1581" s="2">
        <f>J1580</f>
        <v>6</v>
      </c>
    </row>
    <row r="1583" spans="1:20" x14ac:dyDescent="0.25">
      <c r="B1583" s="4" t="s">
        <v>360</v>
      </c>
      <c r="C1583" s="2" t="s">
        <v>15</v>
      </c>
      <c r="F1583" s="4" t="s">
        <v>321</v>
      </c>
      <c r="G1583" s="4"/>
      <c r="H1583" s="4" t="s">
        <v>322</v>
      </c>
      <c r="I1583" s="4" t="s">
        <v>323</v>
      </c>
      <c r="J1583" s="4"/>
      <c r="K1583" s="4" t="s">
        <v>324</v>
      </c>
      <c r="L1583" s="4"/>
      <c r="M1583" s="4" t="s">
        <v>325</v>
      </c>
      <c r="N1583" s="4"/>
      <c r="O1583" s="4" t="s">
        <v>326</v>
      </c>
      <c r="Q1583" s="4" t="s">
        <v>327</v>
      </c>
      <c r="R1583" s="4"/>
      <c r="S1583" s="4" t="s">
        <v>328</v>
      </c>
      <c r="T1583" s="329" t="s">
        <v>329</v>
      </c>
    </row>
    <row r="1584" spans="1:20" x14ac:dyDescent="0.25">
      <c r="B1584" s="4"/>
      <c r="F1584" s="4"/>
      <c r="G1584" s="4"/>
      <c r="H1584" s="4" t="s">
        <v>330</v>
      </c>
      <c r="I1584" s="4" t="s">
        <v>331</v>
      </c>
      <c r="J1584" s="4"/>
      <c r="K1584" s="4" t="s">
        <v>332</v>
      </c>
      <c r="L1584" s="4"/>
      <c r="M1584" s="4" t="s">
        <v>333</v>
      </c>
      <c r="N1584" s="4"/>
      <c r="O1584" s="4" t="s">
        <v>334</v>
      </c>
      <c r="Q1584" s="4" t="s">
        <v>335</v>
      </c>
      <c r="R1584" s="4"/>
      <c r="S1584" s="4" t="s">
        <v>336</v>
      </c>
      <c r="T1584" s="329" t="s">
        <v>337</v>
      </c>
    </row>
    <row r="1585" spans="1:20" x14ac:dyDescent="0.25">
      <c r="B1585" s="4" t="s">
        <v>112</v>
      </c>
      <c r="C1585" s="2" t="str">
        <f ca="1">IFERROR(VLOOKUP(B1585,MO_Matriz,2,0),"")</f>
        <v>Engenheiro de projetos júnior</v>
      </c>
      <c r="F1585" s="4" t="str">
        <f ca="1">IFERROR(VLOOKUP(B1585,MO_Matriz,3,0),"")</f>
        <v>S</v>
      </c>
      <c r="H1585" s="2">
        <v>1</v>
      </c>
      <c r="I1585" s="2">
        <v>1</v>
      </c>
      <c r="K1585" s="2">
        <f>Listas!$B$6</f>
        <v>7.333333333333333</v>
      </c>
      <c r="M1585" s="238">
        <f>$H$1580</f>
        <v>5</v>
      </c>
      <c r="O1585" s="2">
        <f>H1585*I1585*K1585*M1585</f>
        <v>36.666666666666664</v>
      </c>
      <c r="Q1585" s="2">
        <f>O1585/220</f>
        <v>0.16666666666666666</v>
      </c>
      <c r="S1585" s="310">
        <f ca="1">IFERROR(VLOOKUP(B1585,MO_Matriz,5,0),"")</f>
        <v>24288.81</v>
      </c>
      <c r="T1585" s="339">
        <f ca="1">Q1585*S1585</f>
        <v>4048.1350000000002</v>
      </c>
    </row>
    <row r="1586" spans="1:20" x14ac:dyDescent="0.25">
      <c r="B1586" s="4" t="s">
        <v>169</v>
      </c>
      <c r="C1586" s="2" t="str">
        <f ca="1">IFERROR(VLOOKUP(B1586,MO_Matriz,2,0),"")</f>
        <v>Técnico de obras</v>
      </c>
      <c r="F1586" s="4" t="str">
        <f ca="1">IFERROR(VLOOKUP(B1586,MO_Matriz,3,0),"")</f>
        <v>T</v>
      </c>
      <c r="H1586" s="2">
        <v>1</v>
      </c>
      <c r="I1586" s="2">
        <v>1</v>
      </c>
      <c r="K1586" s="2">
        <f>Listas!$B$6</f>
        <v>7.333333333333333</v>
      </c>
      <c r="M1586" s="238">
        <f>$H$1580</f>
        <v>5</v>
      </c>
      <c r="O1586" s="2">
        <f>H1586*I1586*K1586*M1586</f>
        <v>36.666666666666664</v>
      </c>
      <c r="Q1586" s="2">
        <f>O1586/220</f>
        <v>0.16666666666666666</v>
      </c>
      <c r="S1586" s="310">
        <f ca="1">IFERROR(VLOOKUP(B1586,MO_Matriz,5,0),"")</f>
        <v>7040.14</v>
      </c>
      <c r="T1586" s="339">
        <f ca="1">Q1586*S1586</f>
        <v>1173.3566666666666</v>
      </c>
    </row>
    <row r="1587" spans="1:20" x14ac:dyDescent="0.25">
      <c r="S1587" s="332" t="s">
        <v>329</v>
      </c>
      <c r="T1587" s="331">
        <f ca="1">SUM(T1585:T1586)</f>
        <v>5221.4916666666668</v>
      </c>
    </row>
    <row r="1589" spans="1:20" x14ac:dyDescent="0.25">
      <c r="A1589" s="329" t="s">
        <v>339</v>
      </c>
      <c r="B1589" s="2" t="s">
        <v>340</v>
      </c>
    </row>
    <row r="1590" spans="1:20" x14ac:dyDescent="0.25">
      <c r="B1590" s="2" t="s">
        <v>341</v>
      </c>
    </row>
    <row r="1592" spans="1:20" x14ac:dyDescent="0.25">
      <c r="A1592" s="4" t="s">
        <v>348</v>
      </c>
      <c r="B1592" s="2" t="s">
        <v>349</v>
      </c>
    </row>
    <row r="1593" spans="1:20" x14ac:dyDescent="0.25">
      <c r="A1593" s="4" t="s">
        <v>451</v>
      </c>
      <c r="B1593" s="2" t="s">
        <v>452</v>
      </c>
    </row>
    <row r="1594" spans="1:20" x14ac:dyDescent="0.25">
      <c r="B1594" s="4" t="s">
        <v>360</v>
      </c>
      <c r="C1594" s="2" t="s">
        <v>15</v>
      </c>
      <c r="F1594" s="4" t="s">
        <v>321</v>
      </c>
      <c r="G1594" s="4"/>
      <c r="H1594" s="4" t="s">
        <v>453</v>
      </c>
      <c r="I1594" s="4"/>
      <c r="J1594" s="4" t="s">
        <v>454</v>
      </c>
    </row>
    <row r="1595" spans="1:20" x14ac:dyDescent="0.25">
      <c r="B1595" s="4" t="str">
        <f>B1585</f>
        <v>P8065</v>
      </c>
      <c r="C1595" s="2" t="str">
        <f ca="1">IFERROR(VLOOKUP(B1595,MO_Matriz,2,0),"")</f>
        <v>Engenheiro de projetos júnior</v>
      </c>
      <c r="F1595" s="4" t="str">
        <f ca="1">IFERROR(VLOOKUP(B1595,MO_Matriz,3,0),"")</f>
        <v>S</v>
      </c>
      <c r="H1595" s="2" t="s">
        <v>455</v>
      </c>
      <c r="J1595" s="2">
        <v>1</v>
      </c>
    </row>
    <row r="1596" spans="1:20" x14ac:dyDescent="0.25">
      <c r="B1596" s="4" t="str">
        <f>B1586</f>
        <v>P8147</v>
      </c>
      <c r="C1596" s="2" t="str">
        <f ca="1">IFERROR(VLOOKUP(B1596,MO_Matriz,2,0),"")</f>
        <v>Técnico de obras</v>
      </c>
      <c r="F1596" s="4" t="str">
        <f ca="1">IFERROR(VLOOKUP(B1596,MO_Matriz,3,0),"")</f>
        <v>T</v>
      </c>
      <c r="H1596" s="2" t="s">
        <v>455</v>
      </c>
      <c r="J1596" s="2">
        <v>1</v>
      </c>
    </row>
    <row r="1597" spans="1:20" x14ac:dyDescent="0.25">
      <c r="I1597" s="332" t="s">
        <v>329</v>
      </c>
      <c r="J1597" s="332">
        <f>SUM(J1595:J1596)</f>
        <v>2</v>
      </c>
    </row>
    <row r="1599" spans="1:20" x14ac:dyDescent="0.25">
      <c r="A1599" s="4" t="s">
        <v>456</v>
      </c>
      <c r="B1599" s="2" t="s">
        <v>457</v>
      </c>
    </row>
    <row r="1600" spans="1:20" x14ac:dyDescent="0.25">
      <c r="A1600" s="4"/>
      <c r="B1600" s="2" t="s">
        <v>1032</v>
      </c>
    </row>
    <row r="1602" spans="1:6" x14ac:dyDescent="0.25">
      <c r="A1602" s="4" t="s">
        <v>350</v>
      </c>
      <c r="B1602" s="2" t="s">
        <v>351</v>
      </c>
    </row>
    <row r="1603" spans="1:6" x14ac:dyDescent="0.25">
      <c r="B1603" s="2" t="s">
        <v>344</v>
      </c>
    </row>
    <row r="1605" spans="1:6" x14ac:dyDescent="0.25">
      <c r="A1605" s="4" t="s">
        <v>197</v>
      </c>
      <c r="B1605" s="2" t="s">
        <v>352</v>
      </c>
    </row>
    <row r="1606" spans="1:6" x14ac:dyDescent="0.25">
      <c r="B1606" s="2" t="s">
        <v>346</v>
      </c>
    </row>
    <row r="1608" spans="1:6" x14ac:dyDescent="0.25">
      <c r="A1608" s="4" t="s">
        <v>353</v>
      </c>
      <c r="B1608" s="2" t="s">
        <v>354</v>
      </c>
    </row>
    <row r="1609" spans="1:6" x14ac:dyDescent="0.25">
      <c r="B1609" s="2" t="s">
        <v>347</v>
      </c>
    </row>
    <row r="1611" spans="1:6" x14ac:dyDescent="0.25">
      <c r="A1611" s="4" t="s">
        <v>355</v>
      </c>
      <c r="B1611" s="2" t="s">
        <v>356</v>
      </c>
    </row>
    <row r="1612" spans="1:6" x14ac:dyDescent="0.25">
      <c r="B1612" s="2" t="s">
        <v>15</v>
      </c>
      <c r="F1612" s="2" t="s">
        <v>357</v>
      </c>
    </row>
    <row r="1613" spans="1:6" x14ac:dyDescent="0.25">
      <c r="B1613" s="2" t="s">
        <v>317</v>
      </c>
      <c r="F1613" s="310">
        <f ca="1">T1587</f>
        <v>5221.4916666666668</v>
      </c>
    </row>
    <row r="1614" spans="1:6" x14ac:dyDescent="0.25">
      <c r="B1614" s="2" t="s">
        <v>276</v>
      </c>
      <c r="F1614" s="310">
        <v>0</v>
      </c>
    </row>
    <row r="1615" spans="1:6" x14ac:dyDescent="0.25">
      <c r="B1615" s="2" t="s">
        <v>342</v>
      </c>
      <c r="F1615" s="310">
        <v>0</v>
      </c>
    </row>
    <row r="1616" spans="1:6" x14ac:dyDescent="0.25">
      <c r="B1616" s="2" t="s">
        <v>343</v>
      </c>
      <c r="F1616" s="310">
        <v>0</v>
      </c>
    </row>
    <row r="1617" spans="1:16" x14ac:dyDescent="0.25">
      <c r="B1617" s="2" t="s">
        <v>345</v>
      </c>
      <c r="F1617" s="310">
        <v>0</v>
      </c>
    </row>
    <row r="1618" spans="1:16" x14ac:dyDescent="0.25">
      <c r="B1618" s="2" t="s">
        <v>516</v>
      </c>
      <c r="F1618" s="310">
        <v>0</v>
      </c>
      <c r="P1618" s="4"/>
    </row>
    <row r="1619" spans="1:16" x14ac:dyDescent="0.25">
      <c r="E1619" s="332" t="s">
        <v>329</v>
      </c>
      <c r="F1619" s="331">
        <f ca="1">SUM(F1613:F1618)</f>
        <v>5221.4916666666668</v>
      </c>
      <c r="P1619" s="4"/>
    </row>
    <row r="1621" spans="1:16" ht="17.25" x14ac:dyDescent="0.25">
      <c r="A1621" s="328" t="s">
        <v>929</v>
      </c>
      <c r="B1621" s="328" t="s">
        <v>611</v>
      </c>
      <c r="C1621" s="342"/>
      <c r="D1621" s="342"/>
    </row>
    <row r="1622" spans="1:16" x14ac:dyDescent="0.25">
      <c r="B1622" s="2" t="s">
        <v>15</v>
      </c>
      <c r="E1622" s="2" t="s">
        <v>225</v>
      </c>
      <c r="G1622" s="2" t="s">
        <v>325</v>
      </c>
    </row>
    <row r="1623" spans="1:16" x14ac:dyDescent="0.25">
      <c r="B1623" s="2" t="s">
        <v>612</v>
      </c>
      <c r="E1623" s="238">
        <f>'Histo esc'!G49</f>
        <v>151</v>
      </c>
      <c r="G1623" s="2">
        <f>E1623/Listas!E5</f>
        <v>129.42857142857142</v>
      </c>
      <c r="H1623" s="2" t="s">
        <v>472</v>
      </c>
    </row>
    <row r="1624" spans="1:16" x14ac:dyDescent="0.25">
      <c r="B1624" s="2" t="s">
        <v>613</v>
      </c>
      <c r="E1624" s="238">
        <f>'Histo esc'!G52</f>
        <v>5.8333333333333339</v>
      </c>
    </row>
    <row r="1625" spans="1:16" x14ac:dyDescent="0.25">
      <c r="B1625" s="2" t="s">
        <v>442</v>
      </c>
      <c r="E1625" s="2">
        <f>ROUNDUP(E1624/30,0)</f>
        <v>1</v>
      </c>
      <c r="F1625" s="2" t="s">
        <v>614</v>
      </c>
    </row>
    <row r="1627" spans="1:16" x14ac:dyDescent="0.25">
      <c r="B1627" s="2" t="s">
        <v>430</v>
      </c>
      <c r="D1627" s="2" t="s">
        <v>15</v>
      </c>
    </row>
    <row r="1628" spans="1:16" x14ac:dyDescent="0.25">
      <c r="B1628" s="2">
        <v>1</v>
      </c>
      <c r="D1628" s="2" t="s">
        <v>1030</v>
      </c>
    </row>
    <row r="1630" spans="1:16" x14ac:dyDescent="0.25">
      <c r="A1630" s="4" t="s">
        <v>61</v>
      </c>
      <c r="B1630" s="2" t="s">
        <v>338</v>
      </c>
    </row>
    <row r="1631" spans="1:16" x14ac:dyDescent="0.25">
      <c r="D1631" s="51" t="s">
        <v>615</v>
      </c>
      <c r="E1631" s="2">
        <f>Listas!B6/2</f>
        <v>3.6666666666666665</v>
      </c>
      <c r="F1631" s="2" t="s">
        <v>336</v>
      </c>
    </row>
    <row r="1633" spans="1:20" x14ac:dyDescent="0.25">
      <c r="B1633" s="4" t="s">
        <v>360</v>
      </c>
      <c r="C1633" s="2" t="s">
        <v>15</v>
      </c>
      <c r="F1633" s="4" t="s">
        <v>321</v>
      </c>
      <c r="G1633" s="4"/>
      <c r="H1633" s="4" t="s">
        <v>322</v>
      </c>
      <c r="I1633" s="4" t="s">
        <v>323</v>
      </c>
      <c r="J1633" s="4"/>
      <c r="K1633" s="4" t="s">
        <v>324</v>
      </c>
      <c r="L1633" s="4"/>
      <c r="M1633" s="4" t="s">
        <v>325</v>
      </c>
      <c r="N1633" s="4"/>
      <c r="O1633" s="4" t="s">
        <v>326</v>
      </c>
      <c r="Q1633" s="4" t="s">
        <v>327</v>
      </c>
      <c r="R1633" s="4"/>
      <c r="S1633" s="4" t="s">
        <v>328</v>
      </c>
      <c r="T1633" s="330" t="s">
        <v>329</v>
      </c>
    </row>
    <row r="1634" spans="1:20" x14ac:dyDescent="0.25">
      <c r="B1634" s="4"/>
      <c r="F1634" s="4"/>
      <c r="G1634" s="4"/>
      <c r="H1634" s="4" t="s">
        <v>330</v>
      </c>
      <c r="I1634" s="4" t="s">
        <v>331</v>
      </c>
      <c r="J1634" s="4"/>
      <c r="K1634" s="4" t="s">
        <v>332</v>
      </c>
      <c r="L1634" s="4"/>
      <c r="M1634" s="4" t="s">
        <v>333</v>
      </c>
      <c r="N1634" s="4"/>
      <c r="O1634" s="4" t="s">
        <v>334</v>
      </c>
      <c r="Q1634" s="4" t="s">
        <v>335</v>
      </c>
      <c r="R1634" s="4"/>
      <c r="S1634" s="4" t="s">
        <v>336</v>
      </c>
      <c r="T1634" s="330" t="s">
        <v>337</v>
      </c>
    </row>
    <row r="1635" spans="1:20" x14ac:dyDescent="0.25">
      <c r="B1635" s="4" t="s">
        <v>104</v>
      </c>
      <c r="C1635" s="2" t="str">
        <f ca="1">IFERROR(VLOOKUP(B1635,MO_Matriz,2,0),"")</f>
        <v>Engenheiro coordenador</v>
      </c>
      <c r="F1635" s="4" t="str">
        <f ca="1">IFERROR(VLOOKUP(B1635,MO_Matriz,3,0),"")</f>
        <v>S</v>
      </c>
      <c r="H1635" s="2">
        <v>1</v>
      </c>
      <c r="I1635" s="2">
        <v>1</v>
      </c>
      <c r="K1635" s="2">
        <f>E1631</f>
        <v>3.6666666666666665</v>
      </c>
      <c r="M1635" s="238">
        <f>G1623</f>
        <v>129.42857142857142</v>
      </c>
      <c r="O1635" s="2">
        <f>H1635*I1635*K1635*M1635</f>
        <v>474.5714285714285</v>
      </c>
      <c r="Q1635" s="2">
        <f>O1635/220</f>
        <v>2.157142857142857</v>
      </c>
      <c r="S1635" s="310">
        <f ca="1">IFERROR(VLOOKUP(B1635,MO_Matriz,5,0),"")</f>
        <v>35173.129999999997</v>
      </c>
      <c r="T1635" s="331">
        <f ca="1">TRUNC(Q1635*S1635,2)</f>
        <v>75873.460000000006</v>
      </c>
    </row>
    <row r="1637" spans="1:20" x14ac:dyDescent="0.25">
      <c r="A1637" s="329" t="s">
        <v>339</v>
      </c>
      <c r="B1637" s="2" t="s">
        <v>340</v>
      </c>
    </row>
    <row r="1638" spans="1:20" x14ac:dyDescent="0.25">
      <c r="B1638" s="2" t="s">
        <v>341</v>
      </c>
    </row>
    <row r="1640" spans="1:20" x14ac:dyDescent="0.25">
      <c r="A1640" s="4" t="s">
        <v>348</v>
      </c>
      <c r="B1640" s="2" t="s">
        <v>349</v>
      </c>
    </row>
    <row r="1641" spans="1:20" x14ac:dyDescent="0.25">
      <c r="A1641" s="4" t="s">
        <v>451</v>
      </c>
      <c r="B1641" s="2" t="s">
        <v>452</v>
      </c>
    </row>
    <row r="1642" spans="1:20" x14ac:dyDescent="0.25">
      <c r="B1642" s="4" t="s">
        <v>360</v>
      </c>
      <c r="C1642" s="2" t="s">
        <v>15</v>
      </c>
      <c r="F1642" s="4" t="s">
        <v>321</v>
      </c>
      <c r="G1642" s="4"/>
      <c r="H1642" s="4" t="s">
        <v>453</v>
      </c>
      <c r="I1642" s="4"/>
      <c r="J1642" s="4" t="s">
        <v>454</v>
      </c>
    </row>
    <row r="1643" spans="1:20" x14ac:dyDescent="0.25">
      <c r="B1643" s="4" t="str">
        <f>B1635</f>
        <v>P8061</v>
      </c>
      <c r="C1643" s="2" t="str">
        <f ca="1">IFERROR(VLOOKUP(B1643,MO_Matriz,2,0),"")</f>
        <v>Engenheiro coordenador</v>
      </c>
      <c r="F1643" s="4" t="str">
        <f ca="1">IFERROR(VLOOKUP(B1643,MO_Matriz,3,0),"")</f>
        <v>S</v>
      </c>
      <c r="H1643" s="2" t="s">
        <v>455</v>
      </c>
      <c r="J1643" s="2">
        <v>1</v>
      </c>
    </row>
    <row r="1644" spans="1:20" x14ac:dyDescent="0.25">
      <c r="I1644" s="332" t="s">
        <v>329</v>
      </c>
      <c r="J1644" s="332">
        <f>SUM(J1643:J1643)</f>
        <v>1</v>
      </c>
    </row>
    <row r="1646" spans="1:20" x14ac:dyDescent="0.25">
      <c r="A1646" s="4" t="s">
        <v>456</v>
      </c>
      <c r="B1646" s="2" t="s">
        <v>457</v>
      </c>
    </row>
    <row r="1647" spans="1:20" x14ac:dyDescent="0.25">
      <c r="A1647" s="4"/>
      <c r="B1647" s="2" t="s">
        <v>1032</v>
      </c>
    </row>
    <row r="1648" spans="1:20" x14ac:dyDescent="0.25">
      <c r="A1648" s="4"/>
    </row>
    <row r="1649" spans="1:10" x14ac:dyDescent="0.25">
      <c r="A1649" s="4" t="s">
        <v>350</v>
      </c>
      <c r="B1649" s="2" t="s">
        <v>351</v>
      </c>
    </row>
    <row r="1650" spans="1:10" x14ac:dyDescent="0.25">
      <c r="B1650" s="2" t="s">
        <v>344</v>
      </c>
    </row>
    <row r="1652" spans="1:10" x14ac:dyDescent="0.25">
      <c r="A1652" s="4" t="s">
        <v>197</v>
      </c>
      <c r="B1652" s="2" t="s">
        <v>352</v>
      </c>
    </row>
    <row r="1653" spans="1:10" x14ac:dyDescent="0.25">
      <c r="A1653" s="4" t="s">
        <v>450</v>
      </c>
      <c r="B1653" s="2" t="s">
        <v>433</v>
      </c>
    </row>
    <row r="1654" spans="1:10" x14ac:dyDescent="0.25">
      <c r="B1654" s="2" t="s">
        <v>1124</v>
      </c>
    </row>
    <row r="1655" spans="1:10" x14ac:dyDescent="0.25">
      <c r="B1655" s="2" t="s">
        <v>15</v>
      </c>
      <c r="E1655" s="2" t="s">
        <v>357</v>
      </c>
      <c r="F1655" s="2" t="s">
        <v>202</v>
      </c>
    </row>
    <row r="1656" spans="1:10" x14ac:dyDescent="0.25">
      <c r="B1656" s="2" t="s">
        <v>248</v>
      </c>
      <c r="E1656" s="238">
        <f>Listas!$D$19</f>
        <v>250</v>
      </c>
    </row>
    <row r="1657" spans="1:10" x14ac:dyDescent="0.25">
      <c r="B1657" s="2" t="s">
        <v>252</v>
      </c>
      <c r="E1657" s="238">
        <f>E1656/2</f>
        <v>125</v>
      </c>
      <c r="F1657" s="2">
        <v>4</v>
      </c>
    </row>
    <row r="1658" spans="1:10" x14ac:dyDescent="0.25">
      <c r="B1658" s="2" t="s">
        <v>255</v>
      </c>
      <c r="E1658" s="238">
        <f>E1657</f>
        <v>125</v>
      </c>
      <c r="F1658" s="2">
        <f>F1657-1</f>
        <v>3</v>
      </c>
    </row>
    <row r="1660" spans="1:10" x14ac:dyDescent="0.25">
      <c r="B1660" s="4" t="s">
        <v>360</v>
      </c>
      <c r="C1660" s="2" t="s">
        <v>15</v>
      </c>
      <c r="D1660" s="4"/>
      <c r="E1660" s="4"/>
      <c r="F1660" s="4" t="s">
        <v>321</v>
      </c>
      <c r="G1660" s="4"/>
      <c r="H1660" s="4" t="s">
        <v>434</v>
      </c>
      <c r="I1660" s="4" t="s">
        <v>435</v>
      </c>
      <c r="J1660" s="330" t="s">
        <v>329</v>
      </c>
    </row>
    <row r="1661" spans="1:10" x14ac:dyDescent="0.25">
      <c r="B1661" s="4"/>
      <c r="C1661" s="4"/>
      <c r="D1661" s="4"/>
      <c r="E1661" s="4"/>
      <c r="F1661" s="4"/>
      <c r="G1661" s="4"/>
      <c r="H1661" s="4" t="s">
        <v>363</v>
      </c>
      <c r="I1661" s="4" t="s">
        <v>330</v>
      </c>
      <c r="J1661" s="330" t="s">
        <v>436</v>
      </c>
    </row>
    <row r="1662" spans="1:10" x14ac:dyDescent="0.25">
      <c r="B1662" s="4" t="s">
        <v>104</v>
      </c>
      <c r="C1662" s="2" t="str">
        <f ca="1">IFERROR(VLOOKUP(B1662,MO_Matriz,2,0),"")</f>
        <v>Engenheiro coordenador</v>
      </c>
      <c r="F1662" s="4" t="str">
        <f ca="1">IFERROR(VLOOKUP(B1662,MO_Matriz,3,0),"")</f>
        <v>S</v>
      </c>
      <c r="H1662" s="310">
        <f>E1657*F1657</f>
        <v>500</v>
      </c>
      <c r="I1662" s="310">
        <f>E1658*F1658</f>
        <v>375</v>
      </c>
      <c r="J1662" s="331">
        <f>H1662+I1662</f>
        <v>875</v>
      </c>
    </row>
    <row r="1664" spans="1:10" x14ac:dyDescent="0.25">
      <c r="A1664" s="4" t="s">
        <v>459</v>
      </c>
      <c r="B1664" s="2" t="s">
        <v>437</v>
      </c>
    </row>
    <row r="1665" spans="1:15" x14ac:dyDescent="0.25">
      <c r="B1665" s="2" t="s">
        <v>438</v>
      </c>
      <c r="H1665" s="310"/>
      <c r="I1665" s="4"/>
      <c r="J1665" s="346"/>
    </row>
    <row r="1668" spans="1:15" x14ac:dyDescent="0.25">
      <c r="A1668" s="4" t="s">
        <v>618</v>
      </c>
      <c r="B1668" s="2" t="s">
        <v>616</v>
      </c>
    </row>
    <row r="1669" spans="1:15" x14ac:dyDescent="0.25">
      <c r="B1669" s="2" t="s">
        <v>15</v>
      </c>
      <c r="D1669" s="2" t="s">
        <v>357</v>
      </c>
    </row>
    <row r="1670" spans="1:15" x14ac:dyDescent="0.25">
      <c r="B1670" s="2" t="s">
        <v>617</v>
      </c>
      <c r="D1670" s="310">
        <f>J1662</f>
        <v>875</v>
      </c>
    </row>
    <row r="1671" spans="1:15" x14ac:dyDescent="0.25">
      <c r="B1671" s="2" t="s">
        <v>437</v>
      </c>
      <c r="D1671" s="310">
        <v>0</v>
      </c>
    </row>
    <row r="1672" spans="1:15" s="326" customFormat="1" ht="21" x14ac:dyDescent="0.25">
      <c r="A1672" s="2"/>
      <c r="B1672" s="2"/>
      <c r="C1672" s="332" t="s">
        <v>329</v>
      </c>
      <c r="D1672" s="331">
        <f>SUM(D1670:D1671)</f>
        <v>875</v>
      </c>
      <c r="E1672" s="2"/>
      <c r="F1672" s="2"/>
      <c r="G1672" s="2"/>
      <c r="H1672" s="2"/>
      <c r="I1672" s="2"/>
      <c r="J1672" s="2"/>
      <c r="K1672" s="2"/>
      <c r="L1672" s="2"/>
      <c r="M1672" s="2"/>
      <c r="N1672" s="2"/>
      <c r="O1672" s="2"/>
    </row>
    <row r="1673" spans="1:15" s="326" customFormat="1" ht="21" x14ac:dyDescent="0.25">
      <c r="A1673" s="2"/>
      <c r="B1673" s="2"/>
      <c r="C1673" s="2"/>
      <c r="D1673" s="2"/>
      <c r="E1673" s="2"/>
      <c r="F1673" s="2"/>
      <c r="G1673" s="2"/>
      <c r="H1673" s="2"/>
      <c r="I1673" s="2"/>
      <c r="J1673" s="2"/>
      <c r="K1673" s="2"/>
      <c r="L1673" s="2"/>
      <c r="M1673" s="2"/>
      <c r="N1673" s="2"/>
      <c r="O1673" s="2"/>
    </row>
    <row r="1674" spans="1:15" s="28" customFormat="1" ht="17.25" x14ac:dyDescent="0.25">
      <c r="A1674" s="4" t="s">
        <v>353</v>
      </c>
      <c r="B1674" s="2" t="s">
        <v>354</v>
      </c>
      <c r="C1674" s="2"/>
      <c r="D1674" s="2"/>
      <c r="E1674" s="2"/>
      <c r="F1674" s="2"/>
      <c r="G1674" s="2"/>
      <c r="H1674" s="2"/>
      <c r="I1674" s="2"/>
      <c r="J1674" s="2"/>
      <c r="K1674" s="2"/>
      <c r="L1674" s="2"/>
      <c r="M1674" s="2"/>
      <c r="N1674" s="2"/>
      <c r="O1674" s="2"/>
    </row>
    <row r="1675" spans="1:15" x14ac:dyDescent="0.25">
      <c r="B1675" s="2" t="s">
        <v>347</v>
      </c>
    </row>
    <row r="1677" spans="1:15" x14ac:dyDescent="0.25">
      <c r="A1677" s="4" t="s">
        <v>355</v>
      </c>
      <c r="B1677" s="2" t="s">
        <v>356</v>
      </c>
    </row>
    <row r="1678" spans="1:15" x14ac:dyDescent="0.25">
      <c r="B1678" s="2" t="s">
        <v>15</v>
      </c>
      <c r="F1678" s="4" t="s">
        <v>357</v>
      </c>
    </row>
    <row r="1679" spans="1:15" s="28" customFormat="1" ht="17.25" x14ac:dyDescent="0.25">
      <c r="A1679" s="2"/>
      <c r="B1679" s="2" t="s">
        <v>317</v>
      </c>
      <c r="C1679" s="2"/>
      <c r="D1679" s="2"/>
      <c r="E1679" s="2"/>
      <c r="F1679" s="310">
        <f ca="1">T1635</f>
        <v>75873.460000000006</v>
      </c>
      <c r="G1679" s="2"/>
      <c r="H1679" s="2"/>
      <c r="I1679" s="2"/>
      <c r="J1679" s="2"/>
      <c r="K1679" s="2"/>
      <c r="L1679" s="2"/>
      <c r="M1679" s="2"/>
      <c r="N1679" s="2"/>
      <c r="O1679" s="2"/>
    </row>
    <row r="1680" spans="1:15" x14ac:dyDescent="0.25">
      <c r="B1680" s="2" t="s">
        <v>276</v>
      </c>
      <c r="F1680" s="310">
        <v>0</v>
      </c>
    </row>
    <row r="1681" spans="1:15" x14ac:dyDescent="0.25">
      <c r="B1681" s="2" t="s">
        <v>342</v>
      </c>
      <c r="F1681" s="310">
        <v>0</v>
      </c>
    </row>
    <row r="1682" spans="1:15" x14ac:dyDescent="0.25">
      <c r="B1682" s="2" t="s">
        <v>343</v>
      </c>
      <c r="F1682" s="310">
        <v>0</v>
      </c>
    </row>
    <row r="1683" spans="1:15" x14ac:dyDescent="0.25">
      <c r="B1683" s="2" t="s">
        <v>345</v>
      </c>
      <c r="F1683" s="310">
        <f>D1672</f>
        <v>875</v>
      </c>
    </row>
    <row r="1684" spans="1:15" x14ac:dyDescent="0.25">
      <c r="B1684" s="2" t="s">
        <v>516</v>
      </c>
      <c r="F1684" s="310">
        <v>0</v>
      </c>
    </row>
    <row r="1685" spans="1:15" x14ac:dyDescent="0.25">
      <c r="E1685" s="332" t="s">
        <v>329</v>
      </c>
      <c r="F1685" s="331">
        <f ca="1">SUM(F1679:F1684)</f>
        <v>76748.460000000006</v>
      </c>
    </row>
    <row r="1687" spans="1:15" ht="21" x14ac:dyDescent="0.25">
      <c r="A1687" s="327">
        <v>2</v>
      </c>
      <c r="B1687" s="327" t="s">
        <v>619</v>
      </c>
      <c r="C1687" s="327"/>
      <c r="D1687" s="327"/>
      <c r="E1687" s="326"/>
      <c r="G1687" s="326"/>
      <c r="H1687" s="326"/>
      <c r="I1687" s="326"/>
      <c r="J1687" s="326"/>
      <c r="K1687" s="326"/>
      <c r="L1687" s="326"/>
      <c r="M1687" s="326"/>
      <c r="N1687" s="326"/>
      <c r="O1687" s="326"/>
    </row>
    <row r="1688" spans="1:15" ht="21" x14ac:dyDescent="0.25">
      <c r="A1688" s="326" t="s">
        <v>620</v>
      </c>
      <c r="B1688" s="326" t="s">
        <v>593</v>
      </c>
      <c r="C1688" s="326"/>
      <c r="D1688" s="326"/>
      <c r="E1688" s="326"/>
      <c r="F1688" s="326"/>
      <c r="G1688" s="326"/>
      <c r="H1688" s="326"/>
      <c r="I1688" s="326"/>
      <c r="J1688" s="326"/>
      <c r="K1688" s="326"/>
      <c r="L1688" s="326"/>
      <c r="M1688" s="326"/>
      <c r="N1688" s="326"/>
      <c r="O1688" s="326"/>
    </row>
    <row r="1689" spans="1:15" ht="17.25" x14ac:dyDescent="0.25">
      <c r="A1689" s="28" t="s">
        <v>621</v>
      </c>
      <c r="B1689" s="28" t="s">
        <v>622</v>
      </c>
      <c r="C1689" s="28"/>
      <c r="D1689" s="28"/>
      <c r="E1689" s="28"/>
      <c r="F1689" s="28"/>
      <c r="G1689" s="28"/>
      <c r="H1689" s="28"/>
      <c r="I1689" s="28"/>
      <c r="J1689" s="28"/>
      <c r="K1689" s="28"/>
      <c r="L1689" s="28"/>
      <c r="M1689" s="28"/>
      <c r="N1689" s="28"/>
      <c r="O1689" s="28"/>
    </row>
    <row r="1690" spans="1:15" x14ac:dyDescent="0.25">
      <c r="B1690" s="4" t="s">
        <v>19</v>
      </c>
      <c r="C1690" s="4" t="s">
        <v>360</v>
      </c>
      <c r="D1690" s="2" t="s">
        <v>30</v>
      </c>
      <c r="H1690" s="4" t="s">
        <v>31</v>
      </c>
      <c r="I1690" s="4"/>
      <c r="J1690" s="4" t="s">
        <v>623</v>
      </c>
      <c r="K1690" s="4"/>
      <c r="L1690" s="4" t="s">
        <v>523</v>
      </c>
      <c r="M1690" s="4"/>
      <c r="N1690" s="4"/>
      <c r="O1690" s="4" t="s">
        <v>1040</v>
      </c>
    </row>
    <row r="1691" spans="1:15" x14ac:dyDescent="0.25">
      <c r="B1691" s="4"/>
      <c r="C1691" s="4"/>
      <c r="H1691" s="4"/>
      <c r="I1691" s="4"/>
      <c r="J1691" s="4" t="s">
        <v>363</v>
      </c>
      <c r="K1691" s="4"/>
      <c r="L1691" s="4" t="s">
        <v>330</v>
      </c>
      <c r="M1691" s="4"/>
      <c r="N1691" s="4"/>
      <c r="O1691" s="4" t="s">
        <v>331</v>
      </c>
    </row>
    <row r="1692" spans="1:15" x14ac:dyDescent="0.25">
      <c r="B1692" s="2" t="s">
        <v>277</v>
      </c>
      <c r="C1692" s="4" t="s">
        <v>280</v>
      </c>
      <c r="D1692" s="2" t="str">
        <f>VLOOKUP(C1692,'Imóveis-Mobiliários-Cestas-Dive'!$B$2:$F$13,3,0)</f>
        <v>Residencial (2,45% do CMCC - SINAPI)</v>
      </c>
      <c r="H1692" s="4" t="s">
        <v>279</v>
      </c>
      <c r="J1692" s="274">
        <f>VLOOKUP(C1692,'Imóveis-Mobiliários-Cestas-Dive'!$B$2:$F$13,5,0)</f>
        <v>47.46</v>
      </c>
      <c r="L1692" s="238">
        <f>M1635</f>
        <v>129.42857142857142</v>
      </c>
      <c r="O1692" s="2">
        <f>L1692/Listas!$D$4</f>
        <v>4.3142857142857141</v>
      </c>
    </row>
    <row r="1694" spans="1:15" ht="17.25" x14ac:dyDescent="0.25">
      <c r="A1694" s="28" t="s">
        <v>624</v>
      </c>
      <c r="B1694" s="28" t="s">
        <v>625</v>
      </c>
      <c r="C1694" s="28"/>
      <c r="D1694" s="28"/>
      <c r="E1694" s="28"/>
      <c r="F1694" s="28"/>
      <c r="G1694" s="28"/>
      <c r="H1694" s="28"/>
      <c r="I1694" s="28"/>
      <c r="J1694" s="28"/>
      <c r="K1694" s="28"/>
      <c r="L1694" s="28"/>
      <c r="M1694" s="28"/>
      <c r="N1694" s="28"/>
      <c r="O1694" s="28"/>
    </row>
    <row r="1695" spans="1:15" x14ac:dyDescent="0.25">
      <c r="A1695" s="4" t="s">
        <v>61</v>
      </c>
      <c r="B1695" s="2" t="s">
        <v>651</v>
      </c>
    </row>
    <row r="1696" spans="1:15" x14ac:dyDescent="0.25">
      <c r="F1696" s="51" t="s">
        <v>626</v>
      </c>
      <c r="G1696" s="2">
        <f>'Histo esc'!BQ12</f>
        <v>61</v>
      </c>
      <c r="H1696" s="2" t="s">
        <v>627</v>
      </c>
    </row>
    <row r="1697" spans="1:15" x14ac:dyDescent="0.25">
      <c r="F1697" s="51" t="s">
        <v>628</v>
      </c>
      <c r="G1697" s="2">
        <f>'Histo esc'!BQ49</f>
        <v>13</v>
      </c>
      <c r="H1697" s="2" t="s">
        <v>629</v>
      </c>
    </row>
    <row r="1698" spans="1:15" x14ac:dyDescent="0.25">
      <c r="F1698" s="51" t="s">
        <v>630</v>
      </c>
      <c r="G1698" s="2">
        <v>3</v>
      </c>
      <c r="H1698" s="2" t="s">
        <v>629</v>
      </c>
      <c r="I1698" s="352" t="s">
        <v>201</v>
      </c>
      <c r="J1698" s="353" t="s">
        <v>660</v>
      </c>
      <c r="L1698" s="2">
        <f>G1698</f>
        <v>3</v>
      </c>
    </row>
    <row r="1699" spans="1:15" x14ac:dyDescent="0.25">
      <c r="F1699" s="51" t="s">
        <v>631</v>
      </c>
      <c r="G1699" s="2">
        <v>3</v>
      </c>
      <c r="H1699" s="2" t="s">
        <v>629</v>
      </c>
    </row>
    <row r="1700" spans="1:15" x14ac:dyDescent="0.25">
      <c r="F1700" s="51" t="s">
        <v>632</v>
      </c>
      <c r="G1700" s="2">
        <v>2</v>
      </c>
      <c r="H1700" s="2" t="s">
        <v>629</v>
      </c>
    </row>
    <row r="1701" spans="1:15" s="84" customFormat="1" x14ac:dyDescent="0.25">
      <c r="A1701" s="2"/>
      <c r="B1701" s="2"/>
      <c r="C1701" s="2"/>
      <c r="D1701" s="2"/>
      <c r="E1701" s="2"/>
      <c r="F1701" s="51" t="s">
        <v>633</v>
      </c>
      <c r="G1701" s="2">
        <f>G1697</f>
        <v>13</v>
      </c>
      <c r="H1701" s="2" t="s">
        <v>629</v>
      </c>
      <c r="I1701" s="2"/>
      <c r="J1701" s="2"/>
      <c r="K1701" s="2"/>
      <c r="L1701" s="2"/>
      <c r="M1701" s="2"/>
      <c r="N1701" s="2"/>
      <c r="O1701" s="2"/>
    </row>
    <row r="1703" spans="1:15" x14ac:dyDescent="0.25">
      <c r="C1703" s="4" t="s">
        <v>634</v>
      </c>
      <c r="F1703" s="4" t="s">
        <v>635</v>
      </c>
      <c r="G1703" s="4"/>
      <c r="H1703" s="4"/>
      <c r="I1703" s="4" t="s">
        <v>636</v>
      </c>
      <c r="J1703" s="4"/>
      <c r="K1703" s="4" t="s">
        <v>224</v>
      </c>
      <c r="L1703" s="4" t="s">
        <v>361</v>
      </c>
      <c r="M1703" s="4"/>
      <c r="N1703" s="330" t="s">
        <v>637</v>
      </c>
    </row>
    <row r="1704" spans="1:15" x14ac:dyDescent="0.25">
      <c r="C1704" s="4" t="s">
        <v>332</v>
      </c>
      <c r="F1704" s="4" t="s">
        <v>333</v>
      </c>
      <c r="G1704" s="4"/>
      <c r="H1704" s="4"/>
      <c r="I1704" s="4" t="s">
        <v>650</v>
      </c>
      <c r="J1704" s="4"/>
      <c r="K1704" s="4" t="s">
        <v>497</v>
      </c>
      <c r="L1704" s="4" t="s">
        <v>498</v>
      </c>
      <c r="M1704" s="4"/>
      <c r="N1704" s="330" t="s">
        <v>654</v>
      </c>
    </row>
    <row r="1705" spans="1:15" x14ac:dyDescent="0.25">
      <c r="C1705" s="238">
        <f>Listas!AO3</f>
        <v>4.5</v>
      </c>
      <c r="F1705" s="2">
        <f>G1701</f>
        <v>13</v>
      </c>
      <c r="I1705" s="2">
        <f>(57.95/2)+(C1705*F1705)</f>
        <v>87.474999999999994</v>
      </c>
      <c r="K1705" s="238">
        <f>L1692</f>
        <v>129.42857142857142</v>
      </c>
      <c r="L1705" s="2">
        <f>K1705/30</f>
        <v>4.3142857142857141</v>
      </c>
      <c r="N1705" s="331">
        <f>TRUNC(J1692*I1705*L1705,2)</f>
        <v>17911.03</v>
      </c>
    </row>
    <row r="1707" spans="1:15" x14ac:dyDescent="0.25">
      <c r="A1707" s="4" t="s">
        <v>339</v>
      </c>
      <c r="B1707" s="2" t="s">
        <v>652</v>
      </c>
    </row>
    <row r="1708" spans="1:15" x14ac:dyDescent="0.25">
      <c r="F1708" s="51" t="s">
        <v>638</v>
      </c>
      <c r="G1708" s="2">
        <f>'Histo resid'!K13</f>
        <v>3</v>
      </c>
      <c r="H1708" s="2" t="s">
        <v>627</v>
      </c>
    </row>
    <row r="1709" spans="1:15" x14ac:dyDescent="0.25">
      <c r="F1709" s="51" t="s">
        <v>639</v>
      </c>
      <c r="G1709" s="2">
        <f>'Histo resid'!K14</f>
        <v>5</v>
      </c>
      <c r="H1709" s="2" t="s">
        <v>629</v>
      </c>
    </row>
    <row r="1712" spans="1:15" x14ac:dyDescent="0.25">
      <c r="C1712" s="4" t="s">
        <v>640</v>
      </c>
      <c r="D1712" s="4"/>
      <c r="E1712" s="4"/>
      <c r="F1712" s="4" t="s">
        <v>635</v>
      </c>
      <c r="G1712" s="4"/>
      <c r="H1712" s="4" t="s">
        <v>641</v>
      </c>
      <c r="I1712" s="4"/>
      <c r="J1712" s="4" t="s">
        <v>224</v>
      </c>
      <c r="K1712" s="4" t="s">
        <v>361</v>
      </c>
      <c r="L1712" s="4"/>
      <c r="M1712" s="330" t="s">
        <v>642</v>
      </c>
    </row>
    <row r="1713" spans="1:15" x14ac:dyDescent="0.25">
      <c r="C1713" s="4" t="s">
        <v>332</v>
      </c>
      <c r="D1713" s="4"/>
      <c r="E1713" s="4"/>
      <c r="F1713" s="4" t="s">
        <v>333</v>
      </c>
      <c r="G1713" s="4"/>
      <c r="H1713" s="4" t="s">
        <v>653</v>
      </c>
      <c r="I1713" s="4"/>
      <c r="J1713" s="4" t="s">
        <v>497</v>
      </c>
      <c r="K1713" s="4" t="s">
        <v>498</v>
      </c>
      <c r="L1713" s="4"/>
      <c r="M1713" s="330" t="s">
        <v>654</v>
      </c>
    </row>
    <row r="1714" spans="1:15" x14ac:dyDescent="0.25">
      <c r="C1714" s="238">
        <f>Listas!AO4</f>
        <v>12.41</v>
      </c>
      <c r="F1714" s="2">
        <f>G1709</f>
        <v>5</v>
      </c>
      <c r="H1714" s="2">
        <f>C1714*F1714</f>
        <v>62.05</v>
      </c>
      <c r="J1714" s="238">
        <f>'Histo esc'!G13</f>
        <v>5.8333333333333339</v>
      </c>
      <c r="K1714" s="2">
        <f>J1714/30</f>
        <v>0.19444444444444448</v>
      </c>
      <c r="M1714" s="344">
        <f>TRUNC(J1692*H1714*K1714,2)</f>
        <v>572.61</v>
      </c>
    </row>
    <row r="1716" spans="1:15" x14ac:dyDescent="0.25">
      <c r="A1716" s="329" t="s">
        <v>348</v>
      </c>
      <c r="B1716" s="84" t="s">
        <v>655</v>
      </c>
      <c r="C1716" s="84"/>
      <c r="D1716" s="84"/>
      <c r="E1716" s="84"/>
      <c r="F1716" s="84"/>
      <c r="G1716" s="84"/>
      <c r="H1716" s="84"/>
      <c r="I1716" s="84"/>
      <c r="J1716" s="84"/>
      <c r="K1716" s="84"/>
      <c r="L1716" s="84"/>
      <c r="M1716" s="84"/>
      <c r="N1716" s="84"/>
      <c r="O1716" s="84"/>
    </row>
    <row r="1717" spans="1:15" x14ac:dyDescent="0.25">
      <c r="D1717" s="4" t="s">
        <v>644</v>
      </c>
      <c r="E1717" s="4"/>
      <c r="F1717" s="4"/>
      <c r="G1717" s="4" t="s">
        <v>322</v>
      </c>
      <c r="H1717" s="4"/>
      <c r="I1717" s="4" t="s">
        <v>645</v>
      </c>
      <c r="J1717" s="4"/>
      <c r="K1717" s="4" t="s">
        <v>224</v>
      </c>
      <c r="L1717" s="4" t="s">
        <v>361</v>
      </c>
      <c r="M1717" s="4"/>
      <c r="N1717" s="4"/>
      <c r="O1717" s="330" t="s">
        <v>646</v>
      </c>
    </row>
    <row r="1718" spans="1:15" x14ac:dyDescent="0.25">
      <c r="D1718" s="4" t="s">
        <v>332</v>
      </c>
      <c r="E1718" s="4"/>
      <c r="F1718" s="4"/>
      <c r="G1718" s="4" t="s">
        <v>333</v>
      </c>
      <c r="H1718" s="4"/>
      <c r="I1718" s="4" t="s">
        <v>653</v>
      </c>
      <c r="J1718" s="4"/>
      <c r="K1718" s="4" t="s">
        <v>497</v>
      </c>
      <c r="L1718" s="4" t="s">
        <v>498</v>
      </c>
      <c r="M1718" s="4"/>
      <c r="N1718" s="4"/>
      <c r="O1718" s="330" t="s">
        <v>654</v>
      </c>
    </row>
    <row r="1719" spans="1:15" s="28" customFormat="1" ht="17.25" x14ac:dyDescent="0.25">
      <c r="A1719" s="2"/>
      <c r="B1719" s="2"/>
      <c r="C1719" s="2"/>
      <c r="D1719" s="238">
        <f>Listas!AO5</f>
        <v>14.77</v>
      </c>
      <c r="E1719" s="2"/>
      <c r="F1719" s="2"/>
      <c r="G1719" s="2">
        <f>C327</f>
        <v>1</v>
      </c>
      <c r="H1719" s="2"/>
      <c r="I1719" s="2">
        <f>D1719*G1719</f>
        <v>14.77</v>
      </c>
      <c r="J1719" s="2"/>
      <c r="K1719" s="2">
        <f>F328</f>
        <v>1</v>
      </c>
      <c r="L1719" s="2">
        <f>K1719/Listas!$D$4</f>
        <v>3.3333333333333333E-2</v>
      </c>
      <c r="M1719" s="2"/>
      <c r="N1719" s="2"/>
      <c r="O1719" s="344">
        <f>TRUNC(J1692*I1719*L1719,2)</f>
        <v>23.36</v>
      </c>
    </row>
    <row r="1721" spans="1:15" x14ac:dyDescent="0.25">
      <c r="A1721" s="4" t="s">
        <v>350</v>
      </c>
      <c r="B1721" s="2" t="s">
        <v>656</v>
      </c>
    </row>
    <row r="1722" spans="1:15" x14ac:dyDescent="0.25">
      <c r="D1722" s="4" t="s">
        <v>647</v>
      </c>
      <c r="E1722" s="4"/>
      <c r="F1722" s="4"/>
      <c r="G1722" s="4" t="s">
        <v>322</v>
      </c>
      <c r="H1722" s="4"/>
      <c r="I1722" s="4" t="s">
        <v>648</v>
      </c>
      <c r="J1722" s="4"/>
      <c r="K1722" s="4" t="s">
        <v>224</v>
      </c>
      <c r="L1722" s="4" t="s">
        <v>361</v>
      </c>
      <c r="M1722" s="4"/>
      <c r="N1722" s="4"/>
      <c r="O1722" s="330" t="s">
        <v>649</v>
      </c>
    </row>
    <row r="1723" spans="1:15" x14ac:dyDescent="0.25">
      <c r="D1723" s="4" t="s">
        <v>332</v>
      </c>
      <c r="E1723" s="4"/>
      <c r="F1723" s="4"/>
      <c r="G1723" s="4" t="s">
        <v>333</v>
      </c>
      <c r="H1723" s="4"/>
      <c r="I1723" s="4" t="s">
        <v>653</v>
      </c>
      <c r="J1723" s="4"/>
      <c r="K1723" s="4" t="s">
        <v>497</v>
      </c>
      <c r="L1723" s="4" t="s">
        <v>498</v>
      </c>
      <c r="M1723" s="4"/>
      <c r="N1723" s="4"/>
      <c r="O1723" s="330" t="s">
        <v>654</v>
      </c>
    </row>
    <row r="1724" spans="1:15" x14ac:dyDescent="0.25">
      <c r="D1724" s="238">
        <f>Listas!AO8</f>
        <v>11.17</v>
      </c>
      <c r="G1724" s="2">
        <f>C971</f>
        <v>1</v>
      </c>
      <c r="I1724" s="2">
        <f>D1724*G1724</f>
        <v>11.17</v>
      </c>
      <c r="K1724" s="2">
        <f>F972</f>
        <v>9</v>
      </c>
      <c r="L1724" s="2">
        <f>K1724/Listas!$D$4</f>
        <v>0.3</v>
      </c>
      <c r="O1724" s="331">
        <f>TRUNC(J1692*I1724*L1724,2)</f>
        <v>159.03</v>
      </c>
    </row>
    <row r="1726" spans="1:15" x14ac:dyDescent="0.25">
      <c r="A1726" s="4" t="s">
        <v>197</v>
      </c>
      <c r="B1726" s="2" t="s">
        <v>356</v>
      </c>
    </row>
    <row r="1727" spans="1:15" x14ac:dyDescent="0.25">
      <c r="B1727" s="2" t="s">
        <v>15</v>
      </c>
      <c r="E1727" s="4" t="s">
        <v>357</v>
      </c>
    </row>
    <row r="1728" spans="1:15" x14ac:dyDescent="0.25">
      <c r="B1728" s="2" t="s">
        <v>283</v>
      </c>
      <c r="E1728" s="310">
        <f>N1705</f>
        <v>17911.03</v>
      </c>
    </row>
    <row r="1729" spans="1:15" x14ac:dyDescent="0.25">
      <c r="B1729" s="2" t="s">
        <v>286</v>
      </c>
      <c r="E1729" s="310">
        <f>M1714</f>
        <v>572.61</v>
      </c>
    </row>
    <row r="1730" spans="1:15" s="326" customFormat="1" ht="21" x14ac:dyDescent="0.25">
      <c r="A1730" s="2"/>
      <c r="B1730" s="2" t="s">
        <v>643</v>
      </c>
      <c r="C1730" s="2"/>
      <c r="D1730" s="2"/>
      <c r="E1730" s="310">
        <f>O1719</f>
        <v>23.36</v>
      </c>
      <c r="F1730" s="2"/>
      <c r="G1730" s="2"/>
      <c r="H1730" s="2"/>
      <c r="I1730" s="2"/>
      <c r="J1730" s="2"/>
      <c r="K1730" s="2"/>
      <c r="L1730" s="2"/>
      <c r="M1730" s="2"/>
      <c r="N1730" s="2"/>
      <c r="O1730" s="2"/>
    </row>
    <row r="1731" spans="1:15" x14ac:dyDescent="0.25">
      <c r="B1731" s="2" t="s">
        <v>293</v>
      </c>
      <c r="E1731" s="310">
        <f>O1724</f>
        <v>159.03</v>
      </c>
    </row>
    <row r="1732" spans="1:15" x14ac:dyDescent="0.25">
      <c r="D1732" s="332" t="s">
        <v>329</v>
      </c>
      <c r="E1732" s="331">
        <f>SUM(E1728:E1731)</f>
        <v>18666.03</v>
      </c>
    </row>
    <row r="1734" spans="1:15" ht="17.25" x14ac:dyDescent="0.25">
      <c r="A1734" s="28" t="s">
        <v>657</v>
      </c>
      <c r="B1734" s="28" t="s">
        <v>281</v>
      </c>
      <c r="C1734" s="28"/>
      <c r="D1734" s="28"/>
      <c r="E1734" s="28"/>
      <c r="F1734" s="28"/>
      <c r="G1734" s="28"/>
      <c r="H1734" s="28"/>
      <c r="I1734" s="28"/>
      <c r="J1734" s="28"/>
      <c r="K1734" s="28"/>
      <c r="L1734" s="28"/>
      <c r="M1734" s="28"/>
      <c r="N1734" s="28"/>
      <c r="O1734" s="28"/>
    </row>
    <row r="1735" spans="1:15" x14ac:dyDescent="0.25">
      <c r="B1735" s="2" t="s">
        <v>658</v>
      </c>
    </row>
    <row r="1737" spans="1:15" x14ac:dyDescent="0.25">
      <c r="B1737" s="4" t="s">
        <v>320</v>
      </c>
      <c r="C1737" s="2" t="s">
        <v>30</v>
      </c>
      <c r="E1737" s="2" t="s">
        <v>15</v>
      </c>
      <c r="H1737" s="4" t="s">
        <v>659</v>
      </c>
      <c r="K1737" s="4" t="s">
        <v>635</v>
      </c>
      <c r="L1737" s="4" t="s">
        <v>224</v>
      </c>
      <c r="M1737" s="4" t="s">
        <v>361</v>
      </c>
      <c r="N1737" s="4"/>
      <c r="O1737" s="329" t="s">
        <v>661</v>
      </c>
    </row>
    <row r="1738" spans="1:15" x14ac:dyDescent="0.25">
      <c r="B1738" s="4"/>
      <c r="H1738" s="4" t="s">
        <v>363</v>
      </c>
      <c r="K1738" s="4" t="s">
        <v>330</v>
      </c>
      <c r="L1738" s="4" t="s">
        <v>331</v>
      </c>
      <c r="M1738" s="4" t="s">
        <v>682</v>
      </c>
      <c r="N1738" s="4"/>
      <c r="O1738" s="329" t="s">
        <v>667</v>
      </c>
    </row>
    <row r="1739" spans="1:15" x14ac:dyDescent="0.25">
      <c r="B1739" s="4" t="s">
        <v>282</v>
      </c>
      <c r="C1739" s="2" t="str">
        <f>VLOOKUP(B1739,'Imóveis-Mobiliários-Cestas-Dive'!$B$2:$F$13,3,0)</f>
        <v>Escritório</v>
      </c>
      <c r="E1739" s="2" t="s">
        <v>283</v>
      </c>
      <c r="H1739" s="2">
        <f>VLOOKUP(B1739,'Imóveis-Mobiliários-Cestas-Dive'!$B$2:$F$13,5,0)</f>
        <v>467.45</v>
      </c>
      <c r="K1739" s="2">
        <f>F1705</f>
        <v>13</v>
      </c>
      <c r="L1739" s="238">
        <f>$L$1692</f>
        <v>129.42857142857142</v>
      </c>
      <c r="M1739" s="2">
        <f>L1739/30</f>
        <v>4.3142857142857141</v>
      </c>
      <c r="O1739" s="354">
        <f>TRUNC(H1739*K1739*M1739,2)</f>
        <v>26217.26</v>
      </c>
    </row>
    <row r="1740" spans="1:15" x14ac:dyDescent="0.25">
      <c r="B1740" s="4" t="s">
        <v>282</v>
      </c>
      <c r="C1740" s="2" t="str">
        <f>VLOOKUP(B1740,'Imóveis-Mobiliários-Cestas-Dive'!$B$2:$F$13,3,0)</f>
        <v>Escritório</v>
      </c>
      <c r="E1740" s="2" t="s">
        <v>643</v>
      </c>
      <c r="H1740" s="2">
        <f>VLOOKUP(B1740,'Imóveis-Mobiliários-Cestas-Dive'!$B$2:$F$13,5,0)</f>
        <v>467.45</v>
      </c>
      <c r="K1740" s="2">
        <f>L1698</f>
        <v>3</v>
      </c>
      <c r="L1740" s="2">
        <f>K1719</f>
        <v>1</v>
      </c>
      <c r="M1740" s="2">
        <f>L1740/30</f>
        <v>3.3333333333333333E-2</v>
      </c>
      <c r="O1740" s="354">
        <f t="shared" ref="O1740:O1742" si="36">TRUNC(H1740*K1740*M1740,2)</f>
        <v>46.74</v>
      </c>
    </row>
    <row r="1741" spans="1:15" s="326" customFormat="1" ht="21" x14ac:dyDescent="0.25">
      <c r="A1741" s="2"/>
      <c r="B1741" s="4" t="s">
        <v>282</v>
      </c>
      <c r="C1741" s="2" t="str">
        <f>VLOOKUP(B1741,'Imóveis-Mobiliários-Cestas-Dive'!$B$2:$F$13,3,0)</f>
        <v>Escritório</v>
      </c>
      <c r="D1741" s="2"/>
      <c r="E1741" s="2" t="s">
        <v>293</v>
      </c>
      <c r="F1741" s="2"/>
      <c r="G1741" s="2"/>
      <c r="H1741" s="2">
        <f>VLOOKUP(B1741,'Imóveis-Mobiliários-Cestas-Dive'!$B$2:$F$13,5,0)</f>
        <v>467.45</v>
      </c>
      <c r="I1741" s="2"/>
      <c r="J1741" s="2"/>
      <c r="K1741" s="2">
        <f>G1700</f>
        <v>2</v>
      </c>
      <c r="L1741" s="2">
        <f>K1724</f>
        <v>9</v>
      </c>
      <c r="M1741" s="2">
        <f>L1741/30</f>
        <v>0.3</v>
      </c>
      <c r="N1741" s="2"/>
      <c r="O1741" s="354">
        <f t="shared" si="36"/>
        <v>280.47000000000003</v>
      </c>
    </row>
    <row r="1742" spans="1:15" s="84" customFormat="1" x14ac:dyDescent="0.25">
      <c r="A1742" s="2"/>
      <c r="B1742" s="4" t="s">
        <v>285</v>
      </c>
      <c r="C1742" s="2" t="str">
        <f>VLOOKUP(B1742,'Imóveis-Mobiliários-Cestas-Dive'!$B$2:$F$13,3,0)</f>
        <v>Residência</v>
      </c>
      <c r="D1742" s="2"/>
      <c r="E1742" s="2" t="s">
        <v>286</v>
      </c>
      <c r="F1742" s="2"/>
      <c r="G1742" s="2"/>
      <c r="H1742" s="2">
        <f>VLOOKUP(B1742,'Imóveis-Mobiliários-Cestas-Dive'!$B$2:$F$13,5,0)</f>
        <v>42.11</v>
      </c>
      <c r="I1742" s="2"/>
      <c r="J1742" s="2"/>
      <c r="K1742" s="2">
        <f>F1714</f>
        <v>5</v>
      </c>
      <c r="L1742" s="238">
        <f>J1714</f>
        <v>5.8333333333333339</v>
      </c>
      <c r="M1742" s="2">
        <f>L1742/30</f>
        <v>0.19444444444444448</v>
      </c>
      <c r="N1742" s="2"/>
      <c r="O1742" s="354">
        <f t="shared" si="36"/>
        <v>40.94</v>
      </c>
    </row>
    <row r="1743" spans="1:15" s="84" customFormat="1" x14ac:dyDescent="0.25">
      <c r="A1743" s="2"/>
      <c r="B1743" s="4"/>
      <c r="C1743" s="2"/>
      <c r="D1743" s="2"/>
      <c r="E1743" s="2"/>
      <c r="F1743" s="2"/>
      <c r="G1743" s="2"/>
      <c r="H1743" s="2"/>
      <c r="I1743" s="2"/>
      <c r="J1743" s="2"/>
      <c r="K1743" s="2"/>
      <c r="L1743" s="2"/>
      <c r="M1743" s="2"/>
      <c r="N1743" s="332" t="s">
        <v>329</v>
      </c>
      <c r="O1743" s="344">
        <f>SUM(O1739:O1742)</f>
        <v>26585.41</v>
      </c>
    </row>
    <row r="1744" spans="1:15" x14ac:dyDescent="0.25">
      <c r="A1744" s="4"/>
    </row>
    <row r="1745" spans="1:15" ht="21" x14ac:dyDescent="0.25">
      <c r="A1745" s="326" t="s">
        <v>662</v>
      </c>
      <c r="B1745" s="326" t="s">
        <v>663</v>
      </c>
      <c r="C1745" s="326"/>
      <c r="D1745" s="326"/>
      <c r="E1745" s="326"/>
      <c r="F1745" s="324"/>
      <c r="G1745" s="326"/>
      <c r="H1745" s="326"/>
      <c r="I1745" s="324"/>
      <c r="J1745" s="324"/>
      <c r="K1745" s="324"/>
      <c r="L1745" s="324"/>
      <c r="M1745" s="355"/>
      <c r="N1745" s="326"/>
      <c r="O1745" s="326"/>
    </row>
    <row r="1746" spans="1:15" x14ac:dyDescent="0.25">
      <c r="B1746" s="2" t="s">
        <v>664</v>
      </c>
      <c r="F1746" s="4"/>
      <c r="I1746" s="4"/>
      <c r="J1746" s="4"/>
      <c r="K1746" s="4"/>
      <c r="L1746" s="4"/>
      <c r="M1746" s="330"/>
    </row>
    <row r="1747" spans="1:15" x14ac:dyDescent="0.25">
      <c r="B1747" s="4"/>
      <c r="M1747" s="344"/>
    </row>
    <row r="1748" spans="1:15" x14ac:dyDescent="0.25">
      <c r="B1748" s="4" t="s">
        <v>320</v>
      </c>
      <c r="C1748" s="2" t="s">
        <v>30</v>
      </c>
      <c r="E1748" s="2" t="s">
        <v>15</v>
      </c>
      <c r="H1748" s="4" t="s">
        <v>665</v>
      </c>
      <c r="I1748" s="4"/>
      <c r="J1748" s="4" t="s">
        <v>635</v>
      </c>
      <c r="K1748" s="4" t="s">
        <v>224</v>
      </c>
      <c r="L1748" s="4" t="s">
        <v>361</v>
      </c>
      <c r="M1748" s="4"/>
      <c r="N1748" s="4" t="s">
        <v>666</v>
      </c>
    </row>
    <row r="1749" spans="1:15" x14ac:dyDescent="0.25">
      <c r="B1749" s="4"/>
      <c r="H1749" s="4" t="s">
        <v>363</v>
      </c>
      <c r="I1749" s="4"/>
      <c r="J1749" s="4" t="s">
        <v>330</v>
      </c>
      <c r="K1749" s="4" t="s">
        <v>331</v>
      </c>
      <c r="L1749" s="4" t="s">
        <v>331</v>
      </c>
      <c r="M1749" s="4"/>
      <c r="N1749" s="329" t="s">
        <v>667</v>
      </c>
    </row>
    <row r="1750" spans="1:15" x14ac:dyDescent="0.25">
      <c r="B1750" s="4" t="s">
        <v>296</v>
      </c>
      <c r="C1750" s="2" t="str">
        <f>VLOOKUP(B1750,'Imóveis-Mobiliários-Cestas-Dive'!$B$2:$F$13,3,0)</f>
        <v>Escritório</v>
      </c>
      <c r="E1750" s="2" t="s">
        <v>283</v>
      </c>
      <c r="H1750" s="2">
        <f>VLOOKUP(B1750,'Imóveis-Mobiliários-Cestas-Dive'!$B$2:$F$13,5,0)</f>
        <v>137.55000000000001</v>
      </c>
      <c r="J1750" s="2">
        <f>K1739</f>
        <v>13</v>
      </c>
      <c r="K1750" s="238">
        <f t="shared" ref="K1750:K1753" si="37">L1739</f>
        <v>129.42857142857142</v>
      </c>
      <c r="L1750" s="2">
        <f>K1750/30</f>
        <v>4.3142857142857141</v>
      </c>
      <c r="N1750" s="354">
        <f>TRUNC(H1750*J1750*L1750,2)</f>
        <v>7714.59</v>
      </c>
    </row>
    <row r="1751" spans="1:15" x14ac:dyDescent="0.25">
      <c r="B1751" s="4" t="s">
        <v>296</v>
      </c>
      <c r="C1751" s="2" t="str">
        <f>VLOOKUP(B1751,'Imóveis-Mobiliários-Cestas-Dive'!$B$2:$F$13,3,0)</f>
        <v>Escritório</v>
      </c>
      <c r="E1751" s="2" t="s">
        <v>643</v>
      </c>
      <c r="H1751" s="2">
        <f>VLOOKUP(B1751,'Imóveis-Mobiliários-Cestas-Dive'!$B$2:$F$13,5,0)</f>
        <v>137.55000000000001</v>
      </c>
      <c r="J1751" s="2">
        <f>K1740</f>
        <v>3</v>
      </c>
      <c r="K1751" s="238">
        <f t="shared" si="37"/>
        <v>1</v>
      </c>
      <c r="L1751" s="2">
        <f>K1751/30</f>
        <v>3.3333333333333333E-2</v>
      </c>
      <c r="N1751" s="354">
        <f t="shared" ref="N1751:N1753" si="38">TRUNC(H1751*J1751*L1751,2)</f>
        <v>13.75</v>
      </c>
    </row>
    <row r="1752" spans="1:15" x14ac:dyDescent="0.25">
      <c r="B1752" s="4" t="s">
        <v>296</v>
      </c>
      <c r="C1752" s="2" t="str">
        <f>VLOOKUP(B1752,'Imóveis-Mobiliários-Cestas-Dive'!$B$2:$F$13,3,0)</f>
        <v>Escritório</v>
      </c>
      <c r="E1752" s="2" t="s">
        <v>293</v>
      </c>
      <c r="H1752" s="2">
        <f>VLOOKUP(B1752,'Imóveis-Mobiliários-Cestas-Dive'!$B$2:$F$13,5,0)</f>
        <v>137.55000000000001</v>
      </c>
      <c r="J1752" s="2">
        <f>K1741</f>
        <v>2</v>
      </c>
      <c r="K1752" s="238">
        <f t="shared" si="37"/>
        <v>9</v>
      </c>
      <c r="L1752" s="2">
        <f>K1752/30</f>
        <v>0.3</v>
      </c>
      <c r="N1752" s="354">
        <f t="shared" si="38"/>
        <v>82.53</v>
      </c>
    </row>
    <row r="1753" spans="1:15" x14ac:dyDescent="0.25">
      <c r="B1753" s="4" t="s">
        <v>297</v>
      </c>
      <c r="C1753" s="2" t="str">
        <f>VLOOKUP(B1753,'Imóveis-Mobiliários-Cestas-Dive'!$B$2:$F$13,3,0)</f>
        <v>Residência</v>
      </c>
      <c r="E1753" s="2" t="s">
        <v>286</v>
      </c>
      <c r="H1753" s="2">
        <f>VLOOKUP(B1753,'Imóveis-Mobiliários-Cestas-Dive'!$B$2:$F$13,5,0)</f>
        <v>204.08</v>
      </c>
      <c r="J1753" s="2">
        <f>K1742</f>
        <v>5</v>
      </c>
      <c r="K1753" s="238">
        <f t="shared" si="37"/>
        <v>5.8333333333333339</v>
      </c>
      <c r="L1753" s="2">
        <f>K1753/30</f>
        <v>0.19444444444444448</v>
      </c>
      <c r="N1753" s="354">
        <f t="shared" si="38"/>
        <v>198.41</v>
      </c>
    </row>
    <row r="1754" spans="1:15" x14ac:dyDescent="0.25">
      <c r="E1754" s="4"/>
      <c r="H1754" s="4"/>
      <c r="I1754" s="4"/>
      <c r="M1754" s="332" t="s">
        <v>329</v>
      </c>
      <c r="N1754" s="344">
        <f>SUM(N1750:N1753)</f>
        <v>8009.28</v>
      </c>
    </row>
    <row r="1756" spans="1:15" ht="21" hidden="1" x14ac:dyDescent="0.25">
      <c r="A1756" s="326">
        <v>3</v>
      </c>
      <c r="B1756" s="326" t="s">
        <v>668</v>
      </c>
      <c r="C1756" s="326"/>
      <c r="D1756" s="326"/>
      <c r="E1756" s="326"/>
      <c r="F1756" s="326"/>
      <c r="G1756" s="326"/>
      <c r="H1756" s="326"/>
      <c r="I1756" s="326"/>
      <c r="J1756" s="326"/>
      <c r="K1756" s="326"/>
      <c r="L1756" s="326"/>
      <c r="M1756" s="326"/>
      <c r="N1756" s="326"/>
      <c r="O1756" s="326"/>
    </row>
    <row r="1757" spans="1:15" hidden="1" x14ac:dyDescent="0.25">
      <c r="A1757" s="84"/>
      <c r="B1757" s="356" t="s">
        <v>784</v>
      </c>
      <c r="C1757" s="356"/>
      <c r="D1757" s="356"/>
      <c r="E1757" s="84"/>
      <c r="F1757" s="84"/>
      <c r="G1757" s="84"/>
      <c r="H1757" s="84"/>
      <c r="I1757" s="84"/>
      <c r="J1757" s="84"/>
      <c r="K1757" s="84"/>
      <c r="L1757" s="84"/>
      <c r="M1757" s="84"/>
      <c r="N1757" s="84"/>
      <c r="O1757" s="84"/>
    </row>
    <row r="1758" spans="1:15" hidden="1" x14ac:dyDescent="0.25">
      <c r="A1758" s="84"/>
      <c r="B1758" s="84"/>
      <c r="C1758" s="84"/>
      <c r="D1758" s="84"/>
      <c r="E1758" s="84"/>
      <c r="F1758" s="84"/>
      <c r="G1758" s="84"/>
      <c r="H1758" s="84"/>
      <c r="I1758" s="84"/>
      <c r="J1758" s="84"/>
      <c r="K1758" s="84"/>
      <c r="L1758" s="84"/>
      <c r="M1758" s="84"/>
      <c r="N1758" s="84"/>
      <c r="O1758" s="84"/>
    </row>
    <row r="1759" spans="1:15" hidden="1" x14ac:dyDescent="0.25">
      <c r="B1759" s="2" t="s">
        <v>15</v>
      </c>
      <c r="F1759" s="2" t="s">
        <v>368</v>
      </c>
      <c r="G1759" s="2" t="s">
        <v>357</v>
      </c>
    </row>
    <row r="1760" spans="1:15" hidden="1" x14ac:dyDescent="0.25">
      <c r="B1760" s="2" t="s">
        <v>369</v>
      </c>
      <c r="F1760" s="357">
        <v>45200</v>
      </c>
      <c r="G1760" s="2">
        <f>Listas!$W$3</f>
        <v>289.58300000000003</v>
      </c>
    </row>
    <row r="1761" spans="2:12" hidden="1" x14ac:dyDescent="0.25">
      <c r="B1761" s="2" t="s">
        <v>369</v>
      </c>
      <c r="F1761" s="357" t="str">
        <f>Listas!D20</f>
        <v>ABRIL/25</v>
      </c>
      <c r="G1761" s="2">
        <f>Listas!D22</f>
        <v>303.67500000000001</v>
      </c>
    </row>
    <row r="1762" spans="2:12" hidden="1" x14ac:dyDescent="0.25">
      <c r="B1762" s="2" t="s">
        <v>370</v>
      </c>
      <c r="F1762" s="4" t="s">
        <v>259</v>
      </c>
      <c r="G1762" s="337">
        <f>G1761/G1760-1</f>
        <v>4.8663077597787208E-2</v>
      </c>
    </row>
    <row r="1763" spans="2:12" hidden="1" x14ac:dyDescent="0.25"/>
    <row r="1764" spans="2:12" hidden="1" x14ac:dyDescent="0.25">
      <c r="B1764" s="2" t="s">
        <v>15</v>
      </c>
      <c r="E1764" s="4" t="s">
        <v>669</v>
      </c>
      <c r="F1764" s="4"/>
      <c r="G1764" s="4" t="s">
        <v>515</v>
      </c>
      <c r="H1764" s="4"/>
      <c r="I1764" s="4" t="s">
        <v>670</v>
      </c>
      <c r="K1764" s="4"/>
      <c r="L1764" s="4" t="s">
        <v>671</v>
      </c>
    </row>
    <row r="1765" spans="2:12" hidden="1" x14ac:dyDescent="0.25">
      <c r="E1765" s="4"/>
      <c r="F1765" s="4"/>
      <c r="G1765" s="4" t="s">
        <v>363</v>
      </c>
      <c r="H1765" s="4"/>
      <c r="I1765" s="4" t="s">
        <v>330</v>
      </c>
      <c r="K1765" s="4"/>
      <c r="L1765" s="4" t="s">
        <v>672</v>
      </c>
    </row>
    <row r="1766" spans="2:12" hidden="1" x14ac:dyDescent="0.25">
      <c r="B1766" s="2" t="s">
        <v>673</v>
      </c>
      <c r="E1766" s="2" t="s">
        <v>743</v>
      </c>
      <c r="G1766" s="21">
        <v>1.45</v>
      </c>
      <c r="I1766" s="358">
        <f t="shared" ref="I1766:I1771" si="39">$G$1762</f>
        <v>4.8663077597787208E-2</v>
      </c>
      <c r="L1766" s="274">
        <f t="shared" ref="L1766:L1771" si="40">G1766*(1+I1766)</f>
        <v>1.5205614625167914</v>
      </c>
    </row>
    <row r="1767" spans="2:12" hidden="1" x14ac:dyDescent="0.25">
      <c r="B1767" s="2" t="s">
        <v>673</v>
      </c>
      <c r="E1767" s="2" t="s">
        <v>675</v>
      </c>
      <c r="G1767" s="21">
        <v>0.9</v>
      </c>
      <c r="I1767" s="358">
        <f t="shared" si="39"/>
        <v>4.8663077597787208E-2</v>
      </c>
      <c r="L1767" s="274">
        <f t="shared" si="40"/>
        <v>0.94379676983800853</v>
      </c>
    </row>
    <row r="1768" spans="2:12" hidden="1" x14ac:dyDescent="0.25">
      <c r="B1768" s="2" t="s">
        <v>673</v>
      </c>
      <c r="E1768" s="2" t="s">
        <v>744</v>
      </c>
      <c r="G1768" s="21">
        <v>0.85</v>
      </c>
      <c r="I1768" s="358">
        <f t="shared" si="39"/>
        <v>4.8663077597787208E-2</v>
      </c>
      <c r="L1768" s="274">
        <f t="shared" si="40"/>
        <v>0.89136361595811908</v>
      </c>
    </row>
    <row r="1769" spans="2:12" hidden="1" x14ac:dyDescent="0.25">
      <c r="B1769" s="2" t="s">
        <v>674</v>
      </c>
      <c r="E1769" s="2" t="s">
        <v>743</v>
      </c>
      <c r="G1769" s="21">
        <v>2.06</v>
      </c>
      <c r="I1769" s="358">
        <f t="shared" si="39"/>
        <v>4.8663077597787208E-2</v>
      </c>
      <c r="L1769" s="274">
        <f t="shared" si="40"/>
        <v>2.1602459398514418</v>
      </c>
    </row>
    <row r="1770" spans="2:12" hidden="1" x14ac:dyDescent="0.25">
      <c r="B1770" s="2" t="s">
        <v>674</v>
      </c>
      <c r="E1770" s="2" t="s">
        <v>675</v>
      </c>
      <c r="G1770" s="21">
        <v>2</v>
      </c>
      <c r="I1770" s="358">
        <f t="shared" si="39"/>
        <v>4.8663077597787208E-2</v>
      </c>
      <c r="L1770" s="274">
        <f t="shared" si="40"/>
        <v>2.0973261551955744</v>
      </c>
    </row>
    <row r="1771" spans="2:12" hidden="1" x14ac:dyDescent="0.25">
      <c r="B1771" s="2" t="s">
        <v>674</v>
      </c>
      <c r="E1771" s="2" t="s">
        <v>744</v>
      </c>
      <c r="G1771" s="21">
        <v>2</v>
      </c>
      <c r="I1771" s="358">
        <f t="shared" si="39"/>
        <v>4.8663077597787208E-2</v>
      </c>
      <c r="L1771" s="274">
        <f t="shared" si="40"/>
        <v>2.0973261551955744</v>
      </c>
    </row>
    <row r="1772" spans="2:12" hidden="1" x14ac:dyDescent="0.25"/>
    <row r="1773" spans="2:12" hidden="1" x14ac:dyDescent="0.25">
      <c r="B1773" s="2" t="s">
        <v>359</v>
      </c>
    </row>
    <row r="1774" spans="2:12" hidden="1" x14ac:dyDescent="0.25">
      <c r="B1774" s="2" t="s">
        <v>15</v>
      </c>
      <c r="E1774" s="4" t="s">
        <v>745</v>
      </c>
    </row>
    <row r="1775" spans="2:12" hidden="1" x14ac:dyDescent="0.25">
      <c r="B1775" s="2" t="s">
        <v>673</v>
      </c>
      <c r="E1775" s="2">
        <f>SMALL(L1766:L1768,1)</f>
        <v>0.89136361595811908</v>
      </c>
    </row>
    <row r="1776" spans="2:12" hidden="1" x14ac:dyDescent="0.25">
      <c r="B1776" s="2" t="s">
        <v>674</v>
      </c>
      <c r="E1776" s="2">
        <f>SMALL(L1769:L1771,1)</f>
        <v>2.0973261551955744</v>
      </c>
    </row>
    <row r="1778" spans="1:20" ht="17.25" x14ac:dyDescent="0.25">
      <c r="A1778" s="328" t="s">
        <v>1179</v>
      </c>
      <c r="B1778" s="328" t="s">
        <v>1180</v>
      </c>
      <c r="C1778" s="342"/>
      <c r="D1778" s="342"/>
    </row>
    <row r="1779" spans="1:20" x14ac:dyDescent="0.25">
      <c r="A1779" s="2" t="s">
        <v>1005</v>
      </c>
      <c r="B1779" s="2" t="s">
        <v>1183</v>
      </c>
    </row>
    <row r="1780" spans="1:20" x14ac:dyDescent="0.25">
      <c r="A1780" s="4" t="s">
        <v>61</v>
      </c>
      <c r="B1780" s="2" t="s">
        <v>338</v>
      </c>
    </row>
    <row r="1781" spans="1:20" x14ac:dyDescent="0.25">
      <c r="A1781" s="4"/>
      <c r="B1781" s="2" t="s">
        <v>15</v>
      </c>
      <c r="F1781" s="4" t="s">
        <v>414</v>
      </c>
      <c r="H1781" s="4" t="s">
        <v>856</v>
      </c>
      <c r="J1781" s="4" t="s">
        <v>224</v>
      </c>
      <c r="K1781" s="2" t="s">
        <v>855</v>
      </c>
      <c r="M1781" s="2" t="s">
        <v>325</v>
      </c>
      <c r="O1781" s="2" t="s">
        <v>381</v>
      </c>
    </row>
    <row r="1782" spans="1:20" x14ac:dyDescent="0.25">
      <c r="A1782" s="4"/>
      <c r="B1782" s="2" t="s">
        <v>1184</v>
      </c>
      <c r="F1782" s="350">
        <v>1</v>
      </c>
      <c r="H1782" s="238">
        <v>1</v>
      </c>
      <c r="I1782" s="4"/>
      <c r="J1782" s="2">
        <f>1/H1782</f>
        <v>1</v>
      </c>
      <c r="K1782" s="238">
        <f>'Carac trecho'!C342</f>
        <v>0</v>
      </c>
      <c r="M1782" s="238">
        <v>3</v>
      </c>
      <c r="O1782" s="2">
        <f>ROUNDUP(M1782*Listas!$E$5,0)</f>
        <v>4</v>
      </c>
    </row>
    <row r="1783" spans="1:20" x14ac:dyDescent="0.25">
      <c r="A1783" s="4"/>
      <c r="B1783" s="2" t="s">
        <v>487</v>
      </c>
      <c r="F1783" s="350">
        <v>0</v>
      </c>
      <c r="H1783" s="351">
        <v>0</v>
      </c>
      <c r="I1783" s="4"/>
      <c r="J1783" s="351">
        <v>0</v>
      </c>
      <c r="K1783" s="351">
        <v>0</v>
      </c>
      <c r="M1783" s="238">
        <f>M1782*F1783</f>
        <v>0</v>
      </c>
      <c r="O1783" s="238">
        <f>ROUNDUP(O1782*F1783,0)</f>
        <v>0</v>
      </c>
    </row>
    <row r="1784" spans="1:20" x14ac:dyDescent="0.25">
      <c r="A1784" s="4"/>
      <c r="B1784" s="2" t="s">
        <v>592</v>
      </c>
      <c r="F1784" s="350">
        <v>1</v>
      </c>
      <c r="H1784" s="351">
        <v>0</v>
      </c>
      <c r="I1784" s="4"/>
      <c r="J1784" s="351">
        <v>0</v>
      </c>
      <c r="K1784" s="351">
        <v>0</v>
      </c>
      <c r="M1784" s="238">
        <f>M1782*F1784</f>
        <v>3</v>
      </c>
      <c r="O1784" s="238">
        <f>O1782-O1783</f>
        <v>4</v>
      </c>
    </row>
    <row r="1785" spans="1:20" x14ac:dyDescent="0.25">
      <c r="A1785" s="4"/>
      <c r="F1785" s="350"/>
      <c r="H1785" s="351"/>
      <c r="I1785" s="4"/>
      <c r="J1785" s="351"/>
      <c r="K1785" s="351"/>
      <c r="L1785" s="2" t="s">
        <v>329</v>
      </c>
      <c r="M1785" s="238">
        <f>SUM(M1783:M1784)</f>
        <v>3</v>
      </c>
      <c r="O1785" s="238"/>
    </row>
    <row r="1786" spans="1:20" x14ac:dyDescent="0.25">
      <c r="A1786" s="4"/>
    </row>
    <row r="1787" spans="1:20" x14ac:dyDescent="0.25">
      <c r="A1787" s="4"/>
      <c r="B1787" s="4" t="s">
        <v>360</v>
      </c>
      <c r="C1787" s="2" t="s">
        <v>15</v>
      </c>
      <c r="F1787" s="4" t="s">
        <v>321</v>
      </c>
      <c r="G1787" s="4"/>
      <c r="H1787" s="4" t="s">
        <v>322</v>
      </c>
      <c r="I1787" s="4" t="s">
        <v>323</v>
      </c>
      <c r="J1787" s="4"/>
      <c r="K1787" s="4" t="s">
        <v>324</v>
      </c>
      <c r="L1787" s="4"/>
      <c r="M1787" s="4" t="s">
        <v>325</v>
      </c>
      <c r="N1787" s="4"/>
      <c r="O1787" s="4" t="s">
        <v>326</v>
      </c>
      <c r="Q1787" s="4" t="s">
        <v>327</v>
      </c>
      <c r="R1787" s="4"/>
      <c r="S1787" s="4" t="s">
        <v>328</v>
      </c>
      <c r="T1787" s="329" t="s">
        <v>329</v>
      </c>
    </row>
    <row r="1788" spans="1:20" x14ac:dyDescent="0.25">
      <c r="A1788" s="4"/>
      <c r="B1788" s="4"/>
      <c r="F1788" s="4"/>
      <c r="G1788" s="4"/>
      <c r="H1788" s="4" t="s">
        <v>330</v>
      </c>
      <c r="I1788" s="4" t="s">
        <v>331</v>
      </c>
      <c r="J1788" s="4"/>
      <c r="K1788" s="4" t="s">
        <v>332</v>
      </c>
      <c r="L1788" s="4"/>
      <c r="M1788" s="4" t="s">
        <v>333</v>
      </c>
      <c r="N1788" s="4"/>
      <c r="O1788" s="4" t="s">
        <v>334</v>
      </c>
      <c r="Q1788" s="4" t="s">
        <v>335</v>
      </c>
      <c r="R1788" s="4"/>
      <c r="S1788" s="4" t="s">
        <v>336</v>
      </c>
      <c r="T1788" s="329" t="s">
        <v>337</v>
      </c>
    </row>
    <row r="1789" spans="1:20" x14ac:dyDescent="0.25">
      <c r="A1789" s="4"/>
      <c r="B1789" s="4" t="s">
        <v>98</v>
      </c>
      <c r="C1789" s="2" t="str">
        <f ca="1">IFERROR(VLOOKUP(B1789,MO_Matriz,2,0),"")</f>
        <v>Engenheiro ambiental pleno</v>
      </c>
      <c r="F1789" s="4" t="str">
        <f ca="1">IFERROR(VLOOKUP(B1789,MO_Matriz,3,0),"")</f>
        <v>S</v>
      </c>
      <c r="H1789" s="2">
        <v>1</v>
      </c>
      <c r="I1789" s="2">
        <v>1</v>
      </c>
      <c r="K1789" s="2">
        <f>Listas!$B$6</f>
        <v>7.333333333333333</v>
      </c>
      <c r="M1789" s="238">
        <f>$M$1782</f>
        <v>3</v>
      </c>
      <c r="O1789" s="2">
        <f>H1789*I1789*K1789*M1789</f>
        <v>22</v>
      </c>
      <c r="Q1789" s="2">
        <f>O1789/220</f>
        <v>0.1</v>
      </c>
      <c r="S1789" s="310">
        <f ca="1">IFERROR(VLOOKUP(B1789,MO_Matriz,5,0),"")</f>
        <v>26558.86</v>
      </c>
      <c r="T1789" s="339">
        <f ca="1">Q1789*S1789</f>
        <v>2655.8860000000004</v>
      </c>
    </row>
    <row r="1790" spans="1:20" x14ac:dyDescent="0.25">
      <c r="A1790" s="4"/>
      <c r="B1790" s="4" t="s">
        <v>167</v>
      </c>
      <c r="C1790" s="2" t="str">
        <f ca="1">IFERROR(VLOOKUP(B1790,MO_Matriz,2,0),"")</f>
        <v>Técnico ambiental</v>
      </c>
      <c r="F1790" s="4" t="str">
        <f ca="1">IFERROR(VLOOKUP(B1790,MO_Matriz,3,0),"")</f>
        <v>T</v>
      </c>
      <c r="H1790" s="2">
        <v>1</v>
      </c>
      <c r="I1790" s="2">
        <v>1</v>
      </c>
      <c r="K1790" s="2">
        <f>Listas!$B$6</f>
        <v>7.333333333333333</v>
      </c>
      <c r="M1790" s="238">
        <f>$M$1782/2</f>
        <v>1.5</v>
      </c>
      <c r="O1790" s="2">
        <f>H1790*I1790*K1790*M1790</f>
        <v>11</v>
      </c>
      <c r="Q1790" s="2">
        <f>O1790/220</f>
        <v>0.05</v>
      </c>
      <c r="S1790" s="310">
        <f ca="1">IFERROR(VLOOKUP(B1790,MO_Matriz,5,0),"")</f>
        <v>6565.04</v>
      </c>
      <c r="T1790" s="339">
        <f ca="1">Q1790*S1790</f>
        <v>328.25200000000001</v>
      </c>
    </row>
    <row r="1791" spans="1:20" x14ac:dyDescent="0.25">
      <c r="A1791" s="4"/>
      <c r="B1791" s="4" t="s">
        <v>70</v>
      </c>
      <c r="C1791" s="2" t="str">
        <f ca="1">IFERROR(VLOOKUP(B1791,MO_Matriz,2,0),"")</f>
        <v>Biólogo pleno</v>
      </c>
      <c r="F1791" s="4" t="str">
        <f ca="1">IFERROR(VLOOKUP(B1791,MO_Matriz,3,0),"")</f>
        <v>S</v>
      </c>
      <c r="H1791" s="2">
        <v>1</v>
      </c>
      <c r="I1791" s="2">
        <v>1</v>
      </c>
      <c r="K1791" s="2">
        <f>Listas!$B$6</f>
        <v>7.333333333333333</v>
      </c>
      <c r="M1791" s="238">
        <f>$M$1782/2</f>
        <v>1.5</v>
      </c>
      <c r="O1791" s="2">
        <f>H1791*I1791*K1791*M1791</f>
        <v>11</v>
      </c>
      <c r="Q1791" s="2">
        <f>O1791/220</f>
        <v>0.05</v>
      </c>
      <c r="S1791" s="310">
        <f ca="1">IFERROR(VLOOKUP(B1791,MO_Matriz,5,0),"")</f>
        <v>8820.85</v>
      </c>
      <c r="T1791" s="339">
        <f ca="1">Q1791*S1791</f>
        <v>441.04250000000002</v>
      </c>
    </row>
    <row r="1792" spans="1:20" x14ac:dyDescent="0.25">
      <c r="A1792" s="4"/>
      <c r="B1792" s="4" t="s">
        <v>59</v>
      </c>
      <c r="C1792" s="2" t="str">
        <f ca="1">IFERROR(VLOOKUP(B1792,MO_Matriz,2,0),"")</f>
        <v>Auxiliar</v>
      </c>
      <c r="F1792" s="4" t="str">
        <f ca="1">IFERROR(VLOOKUP(B1792,MO_Matriz,3,0),"")</f>
        <v>A</v>
      </c>
      <c r="H1792" s="2">
        <v>1</v>
      </c>
      <c r="I1792" s="2">
        <v>1</v>
      </c>
      <c r="K1792" s="2">
        <f>Listas!$B$6</f>
        <v>7.333333333333333</v>
      </c>
      <c r="M1792" s="238">
        <f>$M$1782/2</f>
        <v>1.5</v>
      </c>
      <c r="O1792" s="2">
        <f>H1792*I1792*K1792*M1792</f>
        <v>11</v>
      </c>
      <c r="Q1792" s="2">
        <f>O1792/220</f>
        <v>0.05</v>
      </c>
      <c r="S1792" s="310">
        <f ca="1">IFERROR(VLOOKUP(B1792,MO_Matriz,5,0),"")</f>
        <v>4276.41</v>
      </c>
      <c r="T1792" s="339">
        <f ca="1">Q1792*S1792</f>
        <v>213.82050000000001</v>
      </c>
    </row>
    <row r="1793" spans="1:20" x14ac:dyDescent="0.25">
      <c r="A1793" s="4"/>
      <c r="S1793" s="332" t="s">
        <v>329</v>
      </c>
      <c r="T1793" s="331">
        <f ca="1">SUM(T1789:T1792)</f>
        <v>3639.0010000000002</v>
      </c>
    </row>
    <row r="1794" spans="1:20" x14ac:dyDescent="0.25">
      <c r="A1794" s="4"/>
    </row>
    <row r="1795" spans="1:20" x14ac:dyDescent="0.25">
      <c r="A1795" s="329" t="s">
        <v>339</v>
      </c>
      <c r="B1795" s="2" t="s">
        <v>340</v>
      </c>
    </row>
    <row r="1796" spans="1:20" x14ac:dyDescent="0.25">
      <c r="B1796" s="2" t="s">
        <v>341</v>
      </c>
    </row>
    <row r="1798" spans="1:20" x14ac:dyDescent="0.25">
      <c r="A1798" s="4" t="s">
        <v>348</v>
      </c>
      <c r="B1798" s="2" t="s">
        <v>349</v>
      </c>
    </row>
    <row r="1799" spans="1:20" x14ac:dyDescent="0.25">
      <c r="A1799" s="4" t="s">
        <v>451</v>
      </c>
      <c r="B1799" s="2" t="s">
        <v>452</v>
      </c>
    </row>
    <row r="1800" spans="1:20" x14ac:dyDescent="0.25">
      <c r="B1800" s="4" t="s">
        <v>360</v>
      </c>
      <c r="C1800" s="2" t="s">
        <v>15</v>
      </c>
      <c r="F1800" s="4" t="s">
        <v>321</v>
      </c>
      <c r="G1800" s="4"/>
      <c r="H1800" s="4" t="s">
        <v>453</v>
      </c>
      <c r="I1800" s="4"/>
      <c r="J1800" s="4" t="s">
        <v>454</v>
      </c>
    </row>
    <row r="1801" spans="1:20" x14ac:dyDescent="0.25">
      <c r="B1801" s="4" t="str">
        <f>B1789</f>
        <v>P8058</v>
      </c>
      <c r="C1801" s="2" t="str">
        <f ca="1">IFERROR(VLOOKUP(B1801,MO_Matriz,2,0),"")</f>
        <v>Engenheiro ambiental pleno</v>
      </c>
      <c r="F1801" s="4" t="str">
        <f ca="1">IFERROR(VLOOKUP(B1801,MO_Matriz,3,0),"")</f>
        <v>S</v>
      </c>
      <c r="H1801" s="2" t="s">
        <v>455</v>
      </c>
      <c r="J1801" s="2">
        <v>1</v>
      </c>
    </row>
    <row r="1802" spans="1:20" x14ac:dyDescent="0.25">
      <c r="B1802" s="4" t="str">
        <f>B1790</f>
        <v>P8143</v>
      </c>
      <c r="C1802" s="2" t="str">
        <f ca="1">IFERROR(VLOOKUP(B1802,MO_Matriz,2,0),"")</f>
        <v>Técnico ambiental</v>
      </c>
      <c r="F1802" s="4" t="str">
        <f ca="1">IFERROR(VLOOKUP(B1802,MO_Matriz,3,0),"")</f>
        <v>T</v>
      </c>
      <c r="H1802" s="2" t="s">
        <v>455</v>
      </c>
      <c r="J1802" s="2">
        <v>1</v>
      </c>
    </row>
    <row r="1803" spans="1:20" x14ac:dyDescent="0.25">
      <c r="B1803" s="4" t="str">
        <f>B1791</f>
        <v>P8033</v>
      </c>
      <c r="C1803" s="2" t="str">
        <f ca="1">IFERROR(VLOOKUP(B1803,MO_Matriz,2,0),"")</f>
        <v>Biólogo pleno</v>
      </c>
      <c r="F1803" s="4" t="str">
        <f ca="1">IFERROR(VLOOKUP(B1803,MO_Matriz,3,0),"")</f>
        <v>S</v>
      </c>
      <c r="H1803" s="2" t="s">
        <v>455</v>
      </c>
      <c r="J1803" s="2">
        <v>1</v>
      </c>
    </row>
    <row r="1804" spans="1:20" x14ac:dyDescent="0.25">
      <c r="B1804" s="4" t="str">
        <f>B1792</f>
        <v>P8025</v>
      </c>
      <c r="C1804" s="2" t="str">
        <f ca="1">IFERROR(VLOOKUP(B1804,MO_Matriz,2,0),"")</f>
        <v>Auxiliar</v>
      </c>
      <c r="F1804" s="4" t="str">
        <f ca="1">IFERROR(VLOOKUP(B1804,MO_Matriz,3,0),"")</f>
        <v>A</v>
      </c>
      <c r="H1804" s="2" t="s">
        <v>455</v>
      </c>
      <c r="J1804" s="2">
        <v>1</v>
      </c>
    </row>
    <row r="1805" spans="1:20" x14ac:dyDescent="0.25">
      <c r="I1805" s="332" t="s">
        <v>329</v>
      </c>
      <c r="J1805" s="332">
        <f>SUM(J1801:J1804)</f>
        <v>4</v>
      </c>
    </row>
    <row r="1807" spans="1:20" x14ac:dyDescent="0.25">
      <c r="A1807" s="4" t="s">
        <v>456</v>
      </c>
      <c r="B1807" s="2" t="s">
        <v>457</v>
      </c>
    </row>
    <row r="1808" spans="1:20" x14ac:dyDescent="0.25">
      <c r="A1808" s="4"/>
      <c r="B1808" s="2" t="s">
        <v>1032</v>
      </c>
    </row>
    <row r="1809" spans="1:16" x14ac:dyDescent="0.25">
      <c r="A1809" s="4"/>
    </row>
    <row r="1810" spans="1:16" x14ac:dyDescent="0.25">
      <c r="A1810" s="4" t="s">
        <v>350</v>
      </c>
      <c r="B1810" s="2" t="s">
        <v>351</v>
      </c>
    </row>
    <row r="1811" spans="1:16" x14ac:dyDescent="0.25">
      <c r="B1811" s="2" t="s">
        <v>344</v>
      </c>
    </row>
    <row r="1813" spans="1:16" x14ac:dyDescent="0.25">
      <c r="A1813" s="4" t="s">
        <v>197</v>
      </c>
      <c r="B1813" s="2" t="s">
        <v>352</v>
      </c>
    </row>
    <row r="1814" spans="1:16" x14ac:dyDescent="0.25">
      <c r="B1814" s="2" t="s">
        <v>346</v>
      </c>
    </row>
    <row r="1816" spans="1:16" x14ac:dyDescent="0.25">
      <c r="A1816" s="4" t="s">
        <v>353</v>
      </c>
      <c r="B1816" s="2" t="s">
        <v>354</v>
      </c>
    </row>
    <row r="1817" spans="1:16" x14ac:dyDescent="0.25">
      <c r="B1817" s="2" t="s">
        <v>347</v>
      </c>
    </row>
    <row r="1819" spans="1:16" x14ac:dyDescent="0.25">
      <c r="A1819" s="4" t="s">
        <v>355</v>
      </c>
      <c r="B1819" s="2" t="s">
        <v>356</v>
      </c>
    </row>
    <row r="1820" spans="1:16" x14ac:dyDescent="0.25">
      <c r="B1820" s="2" t="s">
        <v>15</v>
      </c>
      <c r="F1820" s="2" t="s">
        <v>357</v>
      </c>
    </row>
    <row r="1821" spans="1:16" x14ac:dyDescent="0.25">
      <c r="B1821" s="2" t="s">
        <v>317</v>
      </c>
      <c r="F1821" s="310">
        <f ca="1">T1793</f>
        <v>3639.0010000000002</v>
      </c>
      <c r="P1821" s="4"/>
    </row>
    <row r="1822" spans="1:16" x14ac:dyDescent="0.25">
      <c r="B1822" s="2" t="s">
        <v>276</v>
      </c>
      <c r="F1822" s="310">
        <v>0</v>
      </c>
      <c r="P1822" s="4"/>
    </row>
    <row r="1823" spans="1:16" x14ac:dyDescent="0.25">
      <c r="B1823" s="2" t="s">
        <v>342</v>
      </c>
      <c r="F1823" s="310">
        <v>0</v>
      </c>
    </row>
    <row r="1824" spans="1:16" x14ac:dyDescent="0.25">
      <c r="B1824" s="2" t="s">
        <v>343</v>
      </c>
      <c r="F1824" s="310">
        <v>0</v>
      </c>
    </row>
    <row r="1825" spans="1:20" x14ac:dyDescent="0.25">
      <c r="B1825" s="2" t="s">
        <v>345</v>
      </c>
      <c r="F1825" s="310">
        <v>0</v>
      </c>
    </row>
    <row r="1826" spans="1:20" x14ac:dyDescent="0.25">
      <c r="B1826" s="2" t="s">
        <v>516</v>
      </c>
      <c r="F1826" s="310">
        <v>0</v>
      </c>
    </row>
    <row r="1827" spans="1:20" x14ac:dyDescent="0.25">
      <c r="E1827" s="332" t="s">
        <v>329</v>
      </c>
      <c r="F1827" s="331">
        <f ca="1">SUM(F1821:F1826)</f>
        <v>3639.0010000000002</v>
      </c>
    </row>
    <row r="1828" spans="1:20" x14ac:dyDescent="0.25">
      <c r="E1828" s="332"/>
      <c r="F1828" s="331"/>
    </row>
    <row r="1829" spans="1:20" x14ac:dyDescent="0.25">
      <c r="A1829" s="2" t="s">
        <v>1181</v>
      </c>
      <c r="B1829" s="2" t="s">
        <v>1210</v>
      </c>
    </row>
    <row r="1830" spans="1:20" x14ac:dyDescent="0.25">
      <c r="A1830" s="4" t="s">
        <v>61</v>
      </c>
      <c r="B1830" s="2" t="s">
        <v>338</v>
      </c>
    </row>
    <row r="1831" spans="1:20" x14ac:dyDescent="0.25">
      <c r="A1831" s="4"/>
      <c r="B1831" s="2" t="s">
        <v>15</v>
      </c>
      <c r="F1831" s="4" t="s">
        <v>414</v>
      </c>
      <c r="H1831" s="4" t="s">
        <v>856</v>
      </c>
      <c r="J1831" s="4" t="s">
        <v>224</v>
      </c>
      <c r="K1831" s="2" t="s">
        <v>855</v>
      </c>
      <c r="M1831" s="2" t="s">
        <v>325</v>
      </c>
      <c r="O1831" s="2" t="s">
        <v>381</v>
      </c>
    </row>
    <row r="1832" spans="1:20" x14ac:dyDescent="0.25">
      <c r="A1832" s="4"/>
      <c r="B1832" s="2" t="s">
        <v>1184</v>
      </c>
      <c r="F1832" s="350">
        <v>1</v>
      </c>
      <c r="H1832" s="238">
        <v>1</v>
      </c>
      <c r="I1832" s="4"/>
      <c r="J1832" s="2">
        <f>1/H1832</f>
        <v>1</v>
      </c>
      <c r="K1832" s="238">
        <f>'Carac trecho'!C392</f>
        <v>0</v>
      </c>
      <c r="M1832" s="238">
        <v>1</v>
      </c>
      <c r="O1832" s="2">
        <f>ROUNDUP(M1832*Listas!$E$5,0)</f>
        <v>2</v>
      </c>
    </row>
    <row r="1833" spans="1:20" x14ac:dyDescent="0.25">
      <c r="A1833" s="4"/>
      <c r="B1833" s="2" t="s">
        <v>487</v>
      </c>
      <c r="F1833" s="350">
        <v>0</v>
      </c>
      <c r="H1833" s="351">
        <v>0</v>
      </c>
      <c r="I1833" s="4"/>
      <c r="J1833" s="351">
        <v>0</v>
      </c>
      <c r="K1833" s="351">
        <v>0</v>
      </c>
      <c r="M1833" s="238">
        <f>M1832*F1833</f>
        <v>0</v>
      </c>
      <c r="O1833" s="238">
        <f>ROUNDUP(O1832*F1833,0)</f>
        <v>0</v>
      </c>
    </row>
    <row r="1834" spans="1:20" x14ac:dyDescent="0.25">
      <c r="A1834" s="4"/>
      <c r="B1834" s="2" t="s">
        <v>592</v>
      </c>
      <c r="F1834" s="350">
        <v>1</v>
      </c>
      <c r="H1834" s="351">
        <v>0</v>
      </c>
      <c r="I1834" s="4"/>
      <c r="J1834" s="351">
        <v>0</v>
      </c>
      <c r="K1834" s="351">
        <v>0</v>
      </c>
      <c r="M1834" s="238">
        <f>M1832*F1834</f>
        <v>1</v>
      </c>
      <c r="O1834" s="238">
        <f>O1832-O1833</f>
        <v>2</v>
      </c>
    </row>
    <row r="1835" spans="1:20" x14ac:dyDescent="0.25">
      <c r="A1835" s="4"/>
      <c r="F1835" s="350"/>
      <c r="H1835" s="351"/>
      <c r="I1835" s="4"/>
      <c r="J1835" s="351"/>
      <c r="K1835" s="351"/>
      <c r="L1835" s="2" t="s">
        <v>329</v>
      </c>
      <c r="M1835" s="238">
        <f>SUM(M1833:M1834)</f>
        <v>1</v>
      </c>
      <c r="O1835" s="238"/>
    </row>
    <row r="1836" spans="1:20" x14ac:dyDescent="0.25">
      <c r="A1836" s="4"/>
    </row>
    <row r="1837" spans="1:20" x14ac:dyDescent="0.25">
      <c r="A1837" s="4"/>
      <c r="B1837" s="4" t="s">
        <v>360</v>
      </c>
      <c r="C1837" s="2" t="s">
        <v>15</v>
      </c>
      <c r="F1837" s="4" t="s">
        <v>321</v>
      </c>
      <c r="G1837" s="4"/>
      <c r="H1837" s="4" t="s">
        <v>322</v>
      </c>
      <c r="I1837" s="4" t="s">
        <v>323</v>
      </c>
      <c r="J1837" s="4"/>
      <c r="K1837" s="4" t="s">
        <v>324</v>
      </c>
      <c r="L1837" s="4"/>
      <c r="M1837" s="4" t="s">
        <v>325</v>
      </c>
      <c r="N1837" s="4"/>
      <c r="O1837" s="4" t="s">
        <v>326</v>
      </c>
      <c r="Q1837" s="4" t="s">
        <v>327</v>
      </c>
      <c r="R1837" s="4"/>
      <c r="S1837" s="4" t="s">
        <v>328</v>
      </c>
      <c r="T1837" s="329" t="s">
        <v>329</v>
      </c>
    </row>
    <row r="1838" spans="1:20" x14ac:dyDescent="0.25">
      <c r="A1838" s="4"/>
      <c r="B1838" s="4"/>
      <c r="F1838" s="4"/>
      <c r="G1838" s="4"/>
      <c r="H1838" s="4" t="s">
        <v>330</v>
      </c>
      <c r="I1838" s="4" t="s">
        <v>331</v>
      </c>
      <c r="J1838" s="4"/>
      <c r="K1838" s="4" t="s">
        <v>332</v>
      </c>
      <c r="L1838" s="4"/>
      <c r="M1838" s="4" t="s">
        <v>333</v>
      </c>
      <c r="N1838" s="4"/>
      <c r="O1838" s="4" t="s">
        <v>334</v>
      </c>
      <c r="Q1838" s="4" t="s">
        <v>335</v>
      </c>
      <c r="R1838" s="4"/>
      <c r="S1838" s="4" t="s">
        <v>336</v>
      </c>
      <c r="T1838" s="329" t="s">
        <v>337</v>
      </c>
    </row>
    <row r="1839" spans="1:20" x14ac:dyDescent="0.25">
      <c r="A1839" s="4"/>
      <c r="B1839" s="4" t="s">
        <v>98</v>
      </c>
      <c r="C1839" s="2" t="str">
        <f ca="1">IFERROR(VLOOKUP(B1839,MO_Matriz,2,0),"")</f>
        <v>Engenheiro ambiental pleno</v>
      </c>
      <c r="F1839" s="4" t="str">
        <f ca="1">IFERROR(VLOOKUP(B1839,MO_Matriz,3,0),"")</f>
        <v>S</v>
      </c>
      <c r="H1839" s="2">
        <v>1</v>
      </c>
      <c r="I1839" s="2">
        <v>1</v>
      </c>
      <c r="K1839" s="2">
        <f>Listas!$B$6</f>
        <v>7.333333333333333</v>
      </c>
      <c r="M1839" s="238">
        <f>M1832</f>
        <v>1</v>
      </c>
      <c r="O1839" s="2">
        <f>H1839*I1839*K1839*M1839</f>
        <v>7.333333333333333</v>
      </c>
      <c r="Q1839" s="2">
        <f>O1839/220</f>
        <v>3.3333333333333333E-2</v>
      </c>
      <c r="S1839" s="310">
        <f ca="1">IFERROR(VLOOKUP(B1839,MO_Matriz,5,0),"")</f>
        <v>26558.86</v>
      </c>
      <c r="T1839" s="339">
        <f ca="1">Q1839*S1839</f>
        <v>885.29533333333336</v>
      </c>
    </row>
    <row r="1840" spans="1:20" x14ac:dyDescent="0.25">
      <c r="A1840" s="4"/>
      <c r="B1840" s="4" t="s">
        <v>59</v>
      </c>
      <c r="C1840" s="2" t="str">
        <f ca="1">IFERROR(VLOOKUP(B1840,MO_Matriz,2,0),"")</f>
        <v>Auxiliar</v>
      </c>
      <c r="F1840" s="4" t="str">
        <f ca="1">IFERROR(VLOOKUP(B1840,MO_Matriz,3,0),"")</f>
        <v>A</v>
      </c>
      <c r="H1840" s="2">
        <v>1</v>
      </c>
      <c r="I1840" s="2">
        <v>1</v>
      </c>
      <c r="K1840" s="2">
        <f>Listas!$B$6</f>
        <v>7.333333333333333</v>
      </c>
      <c r="M1840" s="238">
        <f>M1839</f>
        <v>1</v>
      </c>
      <c r="O1840" s="2">
        <f>H1840*I1840*K1840*M1840</f>
        <v>7.333333333333333</v>
      </c>
      <c r="Q1840" s="2">
        <f>O1840/220</f>
        <v>3.3333333333333333E-2</v>
      </c>
      <c r="S1840" s="310">
        <f ca="1">IFERROR(VLOOKUP(B1840,MO_Matriz,5,0),"")</f>
        <v>4276.41</v>
      </c>
      <c r="T1840" s="339">
        <f ca="1">Q1840*S1840</f>
        <v>142.547</v>
      </c>
    </row>
    <row r="1841" spans="1:20" x14ac:dyDescent="0.25">
      <c r="A1841" s="4"/>
      <c r="S1841" s="332" t="s">
        <v>329</v>
      </c>
      <c r="T1841" s="331">
        <f ca="1">SUM(T1839:T1840)</f>
        <v>1027.8423333333333</v>
      </c>
    </row>
    <row r="1842" spans="1:20" x14ac:dyDescent="0.25">
      <c r="A1842" s="4"/>
    </row>
    <row r="1843" spans="1:20" x14ac:dyDescent="0.25">
      <c r="A1843" s="329" t="s">
        <v>339</v>
      </c>
      <c r="B1843" s="2" t="s">
        <v>340</v>
      </c>
    </row>
    <row r="1844" spans="1:20" x14ac:dyDescent="0.25">
      <c r="B1844" s="2" t="s">
        <v>341</v>
      </c>
    </row>
    <row r="1846" spans="1:20" x14ac:dyDescent="0.25">
      <c r="A1846" s="4" t="s">
        <v>348</v>
      </c>
      <c r="B1846" s="2" t="s">
        <v>349</v>
      </c>
    </row>
    <row r="1847" spans="1:20" x14ac:dyDescent="0.25">
      <c r="A1847" s="4" t="s">
        <v>451</v>
      </c>
      <c r="B1847" s="2" t="s">
        <v>452</v>
      </c>
    </row>
    <row r="1848" spans="1:20" x14ac:dyDescent="0.25">
      <c r="B1848" s="4" t="s">
        <v>360</v>
      </c>
      <c r="C1848" s="2" t="s">
        <v>15</v>
      </c>
      <c r="F1848" s="4" t="s">
        <v>321</v>
      </c>
      <c r="G1848" s="4"/>
      <c r="H1848" s="4" t="s">
        <v>453</v>
      </c>
      <c r="I1848" s="4"/>
      <c r="J1848" s="4" t="s">
        <v>454</v>
      </c>
    </row>
    <row r="1849" spans="1:20" x14ac:dyDescent="0.25">
      <c r="B1849" s="4" t="str">
        <f>B1839</f>
        <v>P8058</v>
      </c>
      <c r="C1849" s="2" t="str">
        <f ca="1">IFERROR(VLOOKUP(B1849,MO_Matriz,2,0),"")</f>
        <v>Engenheiro ambiental pleno</v>
      </c>
      <c r="F1849" s="4" t="str">
        <f ca="1">IFERROR(VLOOKUP(B1849,MO_Matriz,3,0),"")</f>
        <v>S</v>
      </c>
      <c r="H1849" s="2" t="s">
        <v>455</v>
      </c>
      <c r="J1849" s="2">
        <v>1</v>
      </c>
    </row>
    <row r="1850" spans="1:20" x14ac:dyDescent="0.25">
      <c r="B1850" s="4" t="str">
        <f>B1840</f>
        <v>P8025</v>
      </c>
      <c r="C1850" s="2" t="str">
        <f ca="1">IFERROR(VLOOKUP(B1850,MO_Matriz,2,0),"")</f>
        <v>Auxiliar</v>
      </c>
      <c r="F1850" s="4" t="str">
        <f ca="1">IFERROR(VLOOKUP(B1850,MO_Matriz,3,0),"")</f>
        <v>A</v>
      </c>
      <c r="H1850" s="2" t="s">
        <v>455</v>
      </c>
      <c r="J1850" s="2">
        <v>1</v>
      </c>
    </row>
    <row r="1851" spans="1:20" x14ac:dyDescent="0.25">
      <c r="I1851" s="332" t="s">
        <v>329</v>
      </c>
      <c r="J1851" s="332">
        <f>SUM(J1849:J1850)</f>
        <v>2</v>
      </c>
    </row>
    <row r="1853" spans="1:20" x14ac:dyDescent="0.25">
      <c r="A1853" s="4" t="s">
        <v>456</v>
      </c>
      <c r="B1853" s="2" t="s">
        <v>457</v>
      </c>
    </row>
    <row r="1854" spans="1:20" x14ac:dyDescent="0.25">
      <c r="A1854" s="4"/>
      <c r="B1854" s="2" t="s">
        <v>1032</v>
      </c>
    </row>
    <row r="1855" spans="1:20" x14ac:dyDescent="0.25">
      <c r="A1855" s="4"/>
    </row>
    <row r="1856" spans="1:20" x14ac:dyDescent="0.25">
      <c r="A1856" s="4" t="s">
        <v>350</v>
      </c>
      <c r="B1856" s="2" t="s">
        <v>351</v>
      </c>
    </row>
    <row r="1857" spans="1:16" x14ac:dyDescent="0.25">
      <c r="B1857" s="2" t="s">
        <v>344</v>
      </c>
    </row>
    <row r="1859" spans="1:16" x14ac:dyDescent="0.25">
      <c r="A1859" s="4" t="s">
        <v>197</v>
      </c>
      <c r="B1859" s="2" t="s">
        <v>352</v>
      </c>
    </row>
    <row r="1860" spans="1:16" x14ac:dyDescent="0.25">
      <c r="B1860" s="2" t="s">
        <v>346</v>
      </c>
    </row>
    <row r="1862" spans="1:16" x14ac:dyDescent="0.25">
      <c r="A1862" s="4" t="s">
        <v>353</v>
      </c>
      <c r="B1862" s="2" t="s">
        <v>354</v>
      </c>
    </row>
    <row r="1863" spans="1:16" x14ac:dyDescent="0.25">
      <c r="B1863" s="2" t="s">
        <v>347</v>
      </c>
    </row>
    <row r="1865" spans="1:16" x14ac:dyDescent="0.25">
      <c r="A1865" s="4" t="s">
        <v>355</v>
      </c>
      <c r="B1865" s="2" t="s">
        <v>356</v>
      </c>
    </row>
    <row r="1866" spans="1:16" x14ac:dyDescent="0.25">
      <c r="B1866" s="2" t="s">
        <v>15</v>
      </c>
      <c r="F1866" s="2" t="s">
        <v>357</v>
      </c>
    </row>
    <row r="1867" spans="1:16" x14ac:dyDescent="0.25">
      <c r="B1867" s="2" t="s">
        <v>317</v>
      </c>
      <c r="F1867" s="310">
        <f ca="1">T1841</f>
        <v>1027.8423333333333</v>
      </c>
      <c r="P1867" s="4"/>
    </row>
    <row r="1868" spans="1:16" x14ac:dyDescent="0.25">
      <c r="B1868" s="2" t="s">
        <v>276</v>
      </c>
      <c r="F1868" s="310">
        <v>0</v>
      </c>
      <c r="P1868" s="4"/>
    </row>
    <row r="1869" spans="1:16" x14ac:dyDescent="0.25">
      <c r="B1869" s="2" t="s">
        <v>342</v>
      </c>
      <c r="F1869" s="310">
        <v>0</v>
      </c>
    </row>
    <row r="1870" spans="1:16" x14ac:dyDescent="0.25">
      <c r="B1870" s="2" t="s">
        <v>343</v>
      </c>
      <c r="F1870" s="310">
        <v>0</v>
      </c>
    </row>
    <row r="1871" spans="1:16" x14ac:dyDescent="0.25">
      <c r="B1871" s="2" t="s">
        <v>345</v>
      </c>
      <c r="F1871" s="310">
        <v>0</v>
      </c>
    </row>
    <row r="1872" spans="1:16" x14ac:dyDescent="0.25">
      <c r="B1872" s="2" t="s">
        <v>516</v>
      </c>
      <c r="F1872" s="310">
        <v>0</v>
      </c>
    </row>
    <row r="1873" spans="1:20" x14ac:dyDescent="0.25">
      <c r="E1873" s="332" t="s">
        <v>329</v>
      </c>
      <c r="F1873" s="331">
        <f ca="1">SUM(F1867:F1872)</f>
        <v>1027.8423333333333</v>
      </c>
    </row>
    <row r="1874" spans="1:20" x14ac:dyDescent="0.25">
      <c r="E1874" s="332"/>
      <c r="F1874" s="331"/>
    </row>
    <row r="1875" spans="1:20" x14ac:dyDescent="0.25">
      <c r="A1875" s="2" t="s">
        <v>1190</v>
      </c>
      <c r="B1875" s="2" t="s">
        <v>1182</v>
      </c>
    </row>
    <row r="1876" spans="1:20" x14ac:dyDescent="0.25">
      <c r="A1876" s="4" t="s">
        <v>61</v>
      </c>
      <c r="B1876" s="2" t="s">
        <v>338</v>
      </c>
    </row>
    <row r="1877" spans="1:20" x14ac:dyDescent="0.25">
      <c r="A1877" s="4"/>
      <c r="B1877" s="2" t="s">
        <v>15</v>
      </c>
      <c r="F1877" s="4" t="s">
        <v>414</v>
      </c>
      <c r="H1877" s="4" t="s">
        <v>856</v>
      </c>
      <c r="J1877" s="4" t="s">
        <v>224</v>
      </c>
      <c r="K1877" s="2" t="s">
        <v>855</v>
      </c>
      <c r="M1877" s="2" t="s">
        <v>325</v>
      </c>
      <c r="O1877" s="2" t="s">
        <v>381</v>
      </c>
    </row>
    <row r="1878" spans="1:20" x14ac:dyDescent="0.25">
      <c r="A1878" s="4"/>
      <c r="B1878" s="2" t="s">
        <v>1185</v>
      </c>
      <c r="F1878" s="350">
        <v>1</v>
      </c>
      <c r="H1878" s="238">
        <v>1</v>
      </c>
      <c r="I1878" s="4"/>
      <c r="J1878" s="2">
        <f>1/H1878</f>
        <v>1</v>
      </c>
      <c r="K1878" s="238">
        <f>'Carac trecho'!C390</f>
        <v>0</v>
      </c>
      <c r="M1878" s="238">
        <v>7</v>
      </c>
      <c r="O1878" s="2">
        <f>ROUNDUP(M1878*Listas!$E$5,0)</f>
        <v>9</v>
      </c>
    </row>
    <row r="1879" spans="1:20" x14ac:dyDescent="0.25">
      <c r="A1879" s="4"/>
      <c r="B1879" s="2" t="s">
        <v>487</v>
      </c>
      <c r="F1879" s="350">
        <v>0</v>
      </c>
      <c r="H1879" s="351">
        <v>0</v>
      </c>
      <c r="I1879" s="4"/>
      <c r="J1879" s="351">
        <v>0</v>
      </c>
      <c r="K1879" s="351">
        <v>0</v>
      </c>
      <c r="M1879" s="238">
        <f>F1879*M1878</f>
        <v>0</v>
      </c>
      <c r="O1879" s="238">
        <f>ROUNDUP(O1878*F1879,0)</f>
        <v>0</v>
      </c>
    </row>
    <row r="1880" spans="1:20" x14ac:dyDescent="0.25">
      <c r="A1880" s="4"/>
      <c r="B1880" s="2" t="s">
        <v>592</v>
      </c>
      <c r="F1880" s="350">
        <v>1</v>
      </c>
      <c r="H1880" s="351">
        <v>0</v>
      </c>
      <c r="I1880" s="4"/>
      <c r="J1880" s="351">
        <v>0</v>
      </c>
      <c r="K1880" s="351">
        <v>0</v>
      </c>
      <c r="M1880" s="238">
        <f>F1880*M1878</f>
        <v>7</v>
      </c>
      <c r="O1880" s="238">
        <f>O1878-O1879</f>
        <v>9</v>
      </c>
    </row>
    <row r="1881" spans="1:20" x14ac:dyDescent="0.25">
      <c r="A1881" s="4"/>
      <c r="F1881" s="350"/>
      <c r="H1881" s="351"/>
      <c r="I1881" s="4"/>
      <c r="J1881" s="351"/>
      <c r="K1881" s="351"/>
      <c r="L1881" s="2" t="s">
        <v>329</v>
      </c>
      <c r="M1881" s="238">
        <f>M1879+M1880</f>
        <v>7</v>
      </c>
      <c r="O1881" s="238"/>
    </row>
    <row r="1882" spans="1:20" x14ac:dyDescent="0.25">
      <c r="A1882" s="4"/>
    </row>
    <row r="1883" spans="1:20" x14ac:dyDescent="0.25">
      <c r="A1883" s="4"/>
      <c r="B1883" s="4" t="s">
        <v>360</v>
      </c>
      <c r="C1883" s="2" t="s">
        <v>15</v>
      </c>
      <c r="F1883" s="4" t="s">
        <v>321</v>
      </c>
      <c r="G1883" s="4"/>
      <c r="H1883" s="4" t="s">
        <v>322</v>
      </c>
      <c r="I1883" s="4" t="s">
        <v>323</v>
      </c>
      <c r="J1883" s="4"/>
      <c r="K1883" s="4" t="s">
        <v>324</v>
      </c>
      <c r="L1883" s="4"/>
      <c r="M1883" s="4" t="s">
        <v>325</v>
      </c>
      <c r="N1883" s="4"/>
      <c r="O1883" s="4" t="s">
        <v>326</v>
      </c>
      <c r="Q1883" s="4" t="s">
        <v>327</v>
      </c>
      <c r="R1883" s="4"/>
      <c r="S1883" s="4" t="s">
        <v>328</v>
      </c>
      <c r="T1883" s="329" t="s">
        <v>329</v>
      </c>
    </row>
    <row r="1884" spans="1:20" x14ac:dyDescent="0.25">
      <c r="A1884" s="4"/>
      <c r="B1884" s="4"/>
      <c r="F1884" s="4"/>
      <c r="G1884" s="4"/>
      <c r="H1884" s="4" t="s">
        <v>330</v>
      </c>
      <c r="I1884" s="4" t="s">
        <v>331</v>
      </c>
      <c r="J1884" s="4"/>
      <c r="K1884" s="4" t="s">
        <v>332</v>
      </c>
      <c r="L1884" s="4"/>
      <c r="M1884" s="4" t="s">
        <v>333</v>
      </c>
      <c r="N1884" s="4"/>
      <c r="O1884" s="4" t="s">
        <v>334</v>
      </c>
      <c r="Q1884" s="4" t="s">
        <v>335</v>
      </c>
      <c r="R1884" s="4"/>
      <c r="S1884" s="4" t="s">
        <v>336</v>
      </c>
      <c r="T1884" s="329" t="s">
        <v>337</v>
      </c>
    </row>
    <row r="1885" spans="1:20" x14ac:dyDescent="0.25">
      <c r="A1885" s="4"/>
      <c r="B1885" s="4" t="s">
        <v>98</v>
      </c>
      <c r="C1885" s="2" t="str">
        <f ca="1">IFERROR(VLOOKUP(B1885,MO_Matriz,2,0),"")</f>
        <v>Engenheiro ambiental pleno</v>
      </c>
      <c r="F1885" s="4" t="str">
        <f ca="1">IFERROR(VLOOKUP(B1885,MO_Matriz,3,0),"")</f>
        <v>S</v>
      </c>
      <c r="H1885" s="2">
        <v>1</v>
      </c>
      <c r="I1885" s="2">
        <v>1</v>
      </c>
      <c r="K1885" s="2">
        <f>Listas!$B$6</f>
        <v>7.333333333333333</v>
      </c>
      <c r="M1885" s="238">
        <f>$M$1878</f>
        <v>7</v>
      </c>
      <c r="O1885" s="2">
        <f>H1885*I1885*K1885*M1885</f>
        <v>51.333333333333329</v>
      </c>
      <c r="Q1885" s="2">
        <f>O1885/220</f>
        <v>0.23333333333333331</v>
      </c>
      <c r="S1885" s="310">
        <f ca="1">IFERROR(VLOOKUP(B1885,MO_Matriz,5,0),"")</f>
        <v>26558.86</v>
      </c>
      <c r="T1885" s="339">
        <f ca="1">Q1885*S1885</f>
        <v>6197.0673333333325</v>
      </c>
    </row>
    <row r="1886" spans="1:20" x14ac:dyDescent="0.25">
      <c r="A1886" s="4"/>
      <c r="B1886" s="4" t="s">
        <v>167</v>
      </c>
      <c r="C1886" s="2" t="str">
        <f ca="1">IFERROR(VLOOKUP(B1886,MO_Matriz,2,0),"")</f>
        <v>Técnico ambiental</v>
      </c>
      <c r="F1886" s="4" t="str">
        <f ca="1">IFERROR(VLOOKUP(B1886,MO_Matriz,3,0),"")</f>
        <v>T</v>
      </c>
      <c r="H1886" s="2">
        <v>1</v>
      </c>
      <c r="I1886" s="2">
        <v>1</v>
      </c>
      <c r="K1886" s="2">
        <f>Listas!$B$6</f>
        <v>7.333333333333333</v>
      </c>
      <c r="M1886" s="238">
        <f>$M$1878</f>
        <v>7</v>
      </c>
      <c r="O1886" s="2">
        <f>H1886*I1886*K1886*M1886</f>
        <v>51.333333333333329</v>
      </c>
      <c r="Q1886" s="2">
        <f>O1886/220</f>
        <v>0.23333333333333331</v>
      </c>
      <c r="S1886" s="310">
        <f ca="1">IFERROR(VLOOKUP(B1886,MO_Matriz,5,0),"")</f>
        <v>6565.04</v>
      </c>
      <c r="T1886" s="339">
        <f ca="1">Q1886*S1886</f>
        <v>1531.8426666666664</v>
      </c>
    </row>
    <row r="1887" spans="1:20" x14ac:dyDescent="0.25">
      <c r="A1887" s="4"/>
      <c r="B1887" s="4" t="s">
        <v>70</v>
      </c>
      <c r="C1887" s="2" t="str">
        <f ca="1">IFERROR(VLOOKUP(B1887,MO_Matriz,2,0),"")</f>
        <v>Biólogo pleno</v>
      </c>
      <c r="F1887" s="4" t="str">
        <f ca="1">IFERROR(VLOOKUP(B1887,MO_Matriz,3,0),"")</f>
        <v>S</v>
      </c>
      <c r="H1887" s="2">
        <v>1</v>
      </c>
      <c r="I1887" s="2">
        <v>1</v>
      </c>
      <c r="K1887" s="2">
        <f>Listas!$B$6</f>
        <v>7.333333333333333</v>
      </c>
      <c r="M1887" s="238">
        <f>$M$1878/2</f>
        <v>3.5</v>
      </c>
      <c r="O1887" s="2">
        <f>H1887*I1887*K1887*M1887</f>
        <v>25.666666666666664</v>
      </c>
      <c r="Q1887" s="2">
        <f>O1887/220</f>
        <v>0.11666666666666665</v>
      </c>
      <c r="S1887" s="310">
        <f ca="1">IFERROR(VLOOKUP(B1887,MO_Matriz,5,0),"")</f>
        <v>8820.85</v>
      </c>
      <c r="T1887" s="339">
        <f ca="1">Q1887*S1887</f>
        <v>1029.0991666666666</v>
      </c>
    </row>
    <row r="1888" spans="1:20" x14ac:dyDescent="0.25">
      <c r="A1888" s="4"/>
      <c r="B1888" s="4" t="s">
        <v>59</v>
      </c>
      <c r="C1888" s="2" t="str">
        <f ca="1">IFERROR(VLOOKUP(B1888,MO_Matriz,2,0),"")</f>
        <v>Auxiliar</v>
      </c>
      <c r="F1888" s="4" t="str">
        <f ca="1">IFERROR(VLOOKUP(B1888,MO_Matriz,3,0),"")</f>
        <v>A</v>
      </c>
      <c r="H1888" s="2">
        <v>1</v>
      </c>
      <c r="I1888" s="2">
        <v>1</v>
      </c>
      <c r="K1888" s="2">
        <f>Listas!$B$6</f>
        <v>7.333333333333333</v>
      </c>
      <c r="M1888" s="238">
        <f>$M$1878/2</f>
        <v>3.5</v>
      </c>
      <c r="O1888" s="2">
        <f>H1888*I1888*K1888*M1888</f>
        <v>25.666666666666664</v>
      </c>
      <c r="Q1888" s="2">
        <f>O1888/220</f>
        <v>0.11666666666666665</v>
      </c>
      <c r="S1888" s="310">
        <f ca="1">IFERROR(VLOOKUP(B1888,MO_Matriz,5,0),"")</f>
        <v>4276.41</v>
      </c>
      <c r="T1888" s="339">
        <f ca="1">Q1888*S1888</f>
        <v>498.91449999999992</v>
      </c>
    </row>
    <row r="1889" spans="1:20" x14ac:dyDescent="0.25">
      <c r="A1889" s="4"/>
      <c r="S1889" s="332" t="s">
        <v>329</v>
      </c>
      <c r="T1889" s="331">
        <f ca="1">SUM(T1885:T1888)</f>
        <v>9256.9236666666657</v>
      </c>
    </row>
    <row r="1890" spans="1:20" x14ac:dyDescent="0.25">
      <c r="A1890" s="4"/>
    </row>
    <row r="1891" spans="1:20" x14ac:dyDescent="0.25">
      <c r="A1891" s="329" t="s">
        <v>339</v>
      </c>
      <c r="B1891" s="2" t="s">
        <v>340</v>
      </c>
    </row>
    <row r="1892" spans="1:20" x14ac:dyDescent="0.25">
      <c r="B1892" s="2" t="s">
        <v>341</v>
      </c>
    </row>
    <row r="1894" spans="1:20" x14ac:dyDescent="0.25">
      <c r="A1894" s="4" t="s">
        <v>348</v>
      </c>
      <c r="B1894" s="2" t="s">
        <v>349</v>
      </c>
    </row>
    <row r="1895" spans="1:20" x14ac:dyDescent="0.25">
      <c r="A1895" s="4" t="s">
        <v>451</v>
      </c>
      <c r="B1895" s="2" t="s">
        <v>452</v>
      </c>
    </row>
    <row r="1896" spans="1:20" x14ac:dyDescent="0.25">
      <c r="B1896" s="4" t="s">
        <v>360</v>
      </c>
      <c r="C1896" s="2" t="s">
        <v>15</v>
      </c>
      <c r="F1896" s="4" t="s">
        <v>321</v>
      </c>
      <c r="G1896" s="4"/>
      <c r="H1896" s="4" t="s">
        <v>453</v>
      </c>
      <c r="I1896" s="4"/>
      <c r="J1896" s="4" t="s">
        <v>454</v>
      </c>
    </row>
    <row r="1897" spans="1:20" x14ac:dyDescent="0.25">
      <c r="B1897" s="4" t="str">
        <f>B1885</f>
        <v>P8058</v>
      </c>
      <c r="C1897" s="2" t="str">
        <f ca="1">IFERROR(VLOOKUP(B1897,MO_Matriz,2,0),"")</f>
        <v>Engenheiro ambiental pleno</v>
      </c>
      <c r="F1897" s="4" t="str">
        <f ca="1">IFERROR(VLOOKUP(B1897,MO_Matriz,3,0),"")</f>
        <v>S</v>
      </c>
      <c r="H1897" s="2" t="s">
        <v>455</v>
      </c>
      <c r="J1897" s="2">
        <v>1</v>
      </c>
    </row>
    <row r="1898" spans="1:20" x14ac:dyDescent="0.25">
      <c r="B1898" s="4" t="str">
        <f>B1886</f>
        <v>P8143</v>
      </c>
      <c r="C1898" s="2" t="str">
        <f ca="1">IFERROR(VLOOKUP(B1898,MO_Matriz,2,0),"")</f>
        <v>Técnico ambiental</v>
      </c>
      <c r="F1898" s="4" t="str">
        <f ca="1">IFERROR(VLOOKUP(B1898,MO_Matriz,3,0),"")</f>
        <v>T</v>
      </c>
      <c r="H1898" s="2" t="s">
        <v>455</v>
      </c>
      <c r="J1898" s="2">
        <v>1</v>
      </c>
    </row>
    <row r="1899" spans="1:20" x14ac:dyDescent="0.25">
      <c r="B1899" s="4" t="str">
        <f>B1887</f>
        <v>P8033</v>
      </c>
      <c r="C1899" s="2" t="str">
        <f ca="1">IFERROR(VLOOKUP(B1899,MO_Matriz,2,0),"")</f>
        <v>Biólogo pleno</v>
      </c>
      <c r="F1899" s="4" t="str">
        <f ca="1">IFERROR(VLOOKUP(B1899,MO_Matriz,3,0),"")</f>
        <v>S</v>
      </c>
      <c r="H1899" s="2" t="s">
        <v>455</v>
      </c>
      <c r="J1899" s="2">
        <v>1</v>
      </c>
    </row>
    <row r="1900" spans="1:20" x14ac:dyDescent="0.25">
      <c r="B1900" s="4" t="str">
        <f>B1888</f>
        <v>P8025</v>
      </c>
      <c r="C1900" s="2" t="str">
        <f ca="1">IFERROR(VLOOKUP(B1900,MO_Matriz,2,0),"")</f>
        <v>Auxiliar</v>
      </c>
      <c r="F1900" s="4" t="str">
        <f ca="1">IFERROR(VLOOKUP(B1900,MO_Matriz,3,0),"")</f>
        <v>A</v>
      </c>
      <c r="H1900" s="2" t="s">
        <v>455</v>
      </c>
      <c r="J1900" s="2">
        <v>1</v>
      </c>
    </row>
    <row r="1901" spans="1:20" x14ac:dyDescent="0.25">
      <c r="I1901" s="332" t="s">
        <v>329</v>
      </c>
      <c r="J1901" s="332">
        <f>SUM(J1897:J1900)</f>
        <v>4</v>
      </c>
    </row>
    <row r="1903" spans="1:20" x14ac:dyDescent="0.25">
      <c r="A1903" s="4" t="s">
        <v>456</v>
      </c>
      <c r="B1903" s="2" t="s">
        <v>457</v>
      </c>
    </row>
    <row r="1904" spans="1:20" x14ac:dyDescent="0.25">
      <c r="A1904" s="4"/>
      <c r="B1904" s="2" t="s">
        <v>1032</v>
      </c>
    </row>
    <row r="1905" spans="1:16" x14ac:dyDescent="0.25">
      <c r="A1905" s="4"/>
    </row>
    <row r="1906" spans="1:16" x14ac:dyDescent="0.25">
      <c r="A1906" s="4" t="s">
        <v>350</v>
      </c>
      <c r="B1906" s="2" t="s">
        <v>351</v>
      </c>
    </row>
    <row r="1907" spans="1:16" x14ac:dyDescent="0.25">
      <c r="B1907" s="2" t="s">
        <v>344</v>
      </c>
    </row>
    <row r="1909" spans="1:16" x14ac:dyDescent="0.25">
      <c r="A1909" s="4" t="s">
        <v>197</v>
      </c>
      <c r="B1909" s="2" t="s">
        <v>352</v>
      </c>
    </row>
    <row r="1910" spans="1:16" x14ac:dyDescent="0.25">
      <c r="B1910" s="2" t="s">
        <v>346</v>
      </c>
    </row>
    <row r="1912" spans="1:16" x14ac:dyDescent="0.25">
      <c r="A1912" s="4" t="s">
        <v>353</v>
      </c>
      <c r="B1912" s="2" t="s">
        <v>354</v>
      </c>
    </row>
    <row r="1913" spans="1:16" x14ac:dyDescent="0.25">
      <c r="B1913" s="2" t="s">
        <v>347</v>
      </c>
    </row>
    <row r="1915" spans="1:16" x14ac:dyDescent="0.25">
      <c r="A1915" s="4" t="s">
        <v>355</v>
      </c>
      <c r="B1915" s="2" t="s">
        <v>356</v>
      </c>
    </row>
    <row r="1916" spans="1:16" x14ac:dyDescent="0.25">
      <c r="B1916" s="2" t="s">
        <v>15</v>
      </c>
      <c r="F1916" s="2" t="s">
        <v>357</v>
      </c>
    </row>
    <row r="1917" spans="1:16" x14ac:dyDescent="0.25">
      <c r="B1917" s="2" t="s">
        <v>317</v>
      </c>
      <c r="F1917" s="310">
        <f ca="1">T1889</f>
        <v>9256.9236666666657</v>
      </c>
      <c r="P1917" s="4"/>
    </row>
    <row r="1918" spans="1:16" x14ac:dyDescent="0.25">
      <c r="B1918" s="2" t="s">
        <v>276</v>
      </c>
      <c r="F1918" s="310">
        <v>0</v>
      </c>
      <c r="P1918" s="4"/>
    </row>
    <row r="1919" spans="1:16" x14ac:dyDescent="0.25">
      <c r="B1919" s="2" t="s">
        <v>342</v>
      </c>
      <c r="F1919" s="310">
        <v>0</v>
      </c>
    </row>
    <row r="1920" spans="1:16" x14ac:dyDescent="0.25">
      <c r="B1920" s="2" t="s">
        <v>343</v>
      </c>
      <c r="F1920" s="310">
        <v>0</v>
      </c>
    </row>
    <row r="1921" spans="1:20" x14ac:dyDescent="0.25">
      <c r="B1921" s="2" t="s">
        <v>345</v>
      </c>
      <c r="F1921" s="310">
        <v>0</v>
      </c>
    </row>
    <row r="1922" spans="1:20" x14ac:dyDescent="0.25">
      <c r="B1922" s="2" t="s">
        <v>516</v>
      </c>
      <c r="F1922" s="310">
        <v>0</v>
      </c>
    </row>
    <row r="1923" spans="1:20" x14ac:dyDescent="0.25">
      <c r="E1923" s="332" t="s">
        <v>329</v>
      </c>
      <c r="F1923" s="331">
        <f ca="1">SUM(F1917:F1922)</f>
        <v>9256.9236666666657</v>
      </c>
    </row>
    <row r="1924" spans="1:20" x14ac:dyDescent="0.25">
      <c r="E1924" s="332"/>
      <c r="F1924" s="331"/>
    </row>
    <row r="1925" spans="1:20" x14ac:dyDescent="0.25">
      <c r="A1925" s="2" t="s">
        <v>1213</v>
      </c>
      <c r="B1925" s="2" t="s">
        <v>1203</v>
      </c>
    </row>
    <row r="1926" spans="1:20" x14ac:dyDescent="0.25">
      <c r="A1926" s="4" t="s">
        <v>61</v>
      </c>
      <c r="B1926" s="2" t="s">
        <v>338</v>
      </c>
    </row>
    <row r="1927" spans="1:20" x14ac:dyDescent="0.25">
      <c r="A1927" s="4"/>
      <c r="B1927" s="2" t="s">
        <v>15</v>
      </c>
      <c r="F1927" s="4" t="s">
        <v>414</v>
      </c>
      <c r="H1927" s="4" t="s">
        <v>856</v>
      </c>
      <c r="J1927" s="4" t="s">
        <v>224</v>
      </c>
      <c r="K1927" s="2" t="s">
        <v>855</v>
      </c>
      <c r="M1927" s="2" t="s">
        <v>325</v>
      </c>
      <c r="O1927" s="2" t="s">
        <v>381</v>
      </c>
    </row>
    <row r="1928" spans="1:20" x14ac:dyDescent="0.25">
      <c r="A1928" s="4"/>
      <c r="B1928" s="2" t="s">
        <v>1199</v>
      </c>
      <c r="F1928" s="350">
        <v>1</v>
      </c>
      <c r="H1928" s="238">
        <v>1</v>
      </c>
      <c r="I1928" s="4"/>
      <c r="J1928" s="2">
        <f>1/H1928</f>
        <v>1</v>
      </c>
      <c r="K1928" s="238">
        <f>'Carac trecho'!C440</f>
        <v>0</v>
      </c>
      <c r="M1928" s="238">
        <v>1</v>
      </c>
      <c r="O1928" s="2">
        <f>ROUNDUP(M1928*Listas!$E$5,0)</f>
        <v>2</v>
      </c>
    </row>
    <row r="1929" spans="1:20" x14ac:dyDescent="0.25">
      <c r="A1929" s="4"/>
      <c r="B1929" s="2" t="s">
        <v>487</v>
      </c>
      <c r="F1929" s="350">
        <v>0</v>
      </c>
      <c r="H1929" s="351">
        <v>0</v>
      </c>
      <c r="I1929" s="4"/>
      <c r="J1929" s="351">
        <v>0</v>
      </c>
      <c r="K1929" s="351">
        <v>0</v>
      </c>
      <c r="M1929" s="238">
        <f>F1929*M1928</f>
        <v>0</v>
      </c>
      <c r="O1929" s="238">
        <f>ROUNDUP(O1928*F1929,0)</f>
        <v>0</v>
      </c>
    </row>
    <row r="1930" spans="1:20" x14ac:dyDescent="0.25">
      <c r="A1930" s="4"/>
      <c r="B1930" s="2" t="s">
        <v>592</v>
      </c>
      <c r="F1930" s="350">
        <v>1</v>
      </c>
      <c r="H1930" s="351">
        <v>0</v>
      </c>
      <c r="I1930" s="4"/>
      <c r="J1930" s="351">
        <v>0</v>
      </c>
      <c r="K1930" s="351">
        <v>0</v>
      </c>
      <c r="M1930" s="238">
        <f>F1930*M1928</f>
        <v>1</v>
      </c>
      <c r="O1930" s="238">
        <f>O1928-O1929</f>
        <v>2</v>
      </c>
    </row>
    <row r="1931" spans="1:20" x14ac:dyDescent="0.25">
      <c r="A1931" s="4"/>
      <c r="F1931" s="350"/>
      <c r="H1931" s="351"/>
      <c r="I1931" s="4"/>
      <c r="J1931" s="351"/>
      <c r="K1931" s="351"/>
      <c r="L1931" s="2" t="s">
        <v>329</v>
      </c>
      <c r="M1931" s="238">
        <f>M1929+M1930</f>
        <v>1</v>
      </c>
      <c r="O1931" s="238"/>
    </row>
    <row r="1932" spans="1:20" x14ac:dyDescent="0.25">
      <c r="A1932" s="4"/>
    </row>
    <row r="1933" spans="1:20" x14ac:dyDescent="0.25">
      <c r="A1933" s="4"/>
      <c r="B1933" s="4" t="s">
        <v>360</v>
      </c>
      <c r="C1933" s="2" t="s">
        <v>15</v>
      </c>
      <c r="F1933" s="4" t="s">
        <v>321</v>
      </c>
      <c r="G1933" s="4"/>
      <c r="H1933" s="4" t="s">
        <v>322</v>
      </c>
      <c r="I1933" s="4" t="s">
        <v>323</v>
      </c>
      <c r="J1933" s="4"/>
      <c r="K1933" s="4" t="s">
        <v>324</v>
      </c>
      <c r="L1933" s="4"/>
      <c r="M1933" s="4" t="s">
        <v>325</v>
      </c>
      <c r="N1933" s="4"/>
      <c r="O1933" s="4" t="s">
        <v>326</v>
      </c>
      <c r="Q1933" s="4" t="s">
        <v>327</v>
      </c>
      <c r="R1933" s="4"/>
      <c r="S1933" s="4" t="s">
        <v>328</v>
      </c>
      <c r="T1933" s="329" t="s">
        <v>329</v>
      </c>
    </row>
    <row r="1934" spans="1:20" x14ac:dyDescent="0.25">
      <c r="A1934" s="4"/>
      <c r="B1934" s="4"/>
      <c r="F1934" s="4"/>
      <c r="G1934" s="4"/>
      <c r="H1934" s="4" t="s">
        <v>330</v>
      </c>
      <c r="I1934" s="4" t="s">
        <v>331</v>
      </c>
      <c r="J1934" s="4"/>
      <c r="K1934" s="4" t="s">
        <v>332</v>
      </c>
      <c r="L1934" s="4"/>
      <c r="M1934" s="4" t="s">
        <v>333</v>
      </c>
      <c r="N1934" s="4"/>
      <c r="O1934" s="4" t="s">
        <v>334</v>
      </c>
      <c r="Q1934" s="4" t="s">
        <v>335</v>
      </c>
      <c r="R1934" s="4"/>
      <c r="S1934" s="4" t="s">
        <v>336</v>
      </c>
      <c r="T1934" s="329" t="s">
        <v>337</v>
      </c>
    </row>
    <row r="1935" spans="1:20" x14ac:dyDescent="0.25">
      <c r="A1935" s="4"/>
      <c r="B1935" s="4" t="s">
        <v>98</v>
      </c>
      <c r="C1935" s="2" t="str">
        <f ca="1">IFERROR(VLOOKUP(B1935,MO_Matriz,2,0),"")</f>
        <v>Engenheiro ambiental pleno</v>
      </c>
      <c r="F1935" s="4" t="str">
        <f ca="1">IFERROR(VLOOKUP(B1935,MO_Matriz,3,0),"")</f>
        <v>S</v>
      </c>
      <c r="H1935" s="2">
        <v>1</v>
      </c>
      <c r="I1935" s="2">
        <v>1</v>
      </c>
      <c r="K1935" s="2">
        <f>Listas!$B$6</f>
        <v>7.333333333333333</v>
      </c>
      <c r="M1935" s="238">
        <f>M1931</f>
        <v>1</v>
      </c>
      <c r="O1935" s="2">
        <f>H1935*I1935*K1935*M1935</f>
        <v>7.333333333333333</v>
      </c>
      <c r="Q1935" s="2">
        <f>O1935/220</f>
        <v>3.3333333333333333E-2</v>
      </c>
      <c r="S1935" s="310">
        <f ca="1">IFERROR(VLOOKUP(B1935,MO_Matriz,5,0),"")</f>
        <v>26558.86</v>
      </c>
      <c r="T1935" s="339">
        <f ca="1">Q1935*S1935</f>
        <v>885.29533333333336</v>
      </c>
    </row>
    <row r="1936" spans="1:20" x14ac:dyDescent="0.25">
      <c r="A1936" s="4"/>
      <c r="S1936" s="332" t="s">
        <v>329</v>
      </c>
      <c r="T1936" s="331">
        <f ca="1">SUM(T1935:T1935)</f>
        <v>885.29533333333336</v>
      </c>
    </row>
    <row r="1937" spans="1:10" x14ac:dyDescent="0.25">
      <c r="A1937" s="4"/>
    </row>
    <row r="1938" spans="1:10" x14ac:dyDescent="0.25">
      <c r="A1938" s="329" t="s">
        <v>339</v>
      </c>
      <c r="B1938" s="2" t="s">
        <v>340</v>
      </c>
    </row>
    <row r="1939" spans="1:10" x14ac:dyDescent="0.25">
      <c r="B1939" s="2" t="s">
        <v>341</v>
      </c>
    </row>
    <row r="1941" spans="1:10" x14ac:dyDescent="0.25">
      <c r="A1941" s="4" t="s">
        <v>348</v>
      </c>
      <c r="B1941" s="2" t="s">
        <v>349</v>
      </c>
    </row>
    <row r="1942" spans="1:10" x14ac:dyDescent="0.25">
      <c r="A1942" s="4" t="s">
        <v>451</v>
      </c>
      <c r="B1942" s="2" t="s">
        <v>452</v>
      </c>
    </row>
    <row r="1943" spans="1:10" x14ac:dyDescent="0.25">
      <c r="B1943" s="4" t="s">
        <v>360</v>
      </c>
      <c r="C1943" s="2" t="s">
        <v>15</v>
      </c>
      <c r="F1943" s="4" t="s">
        <v>321</v>
      </c>
      <c r="G1943" s="4"/>
      <c r="H1943" s="4" t="s">
        <v>453</v>
      </c>
      <c r="I1943" s="4"/>
      <c r="J1943" s="4" t="s">
        <v>454</v>
      </c>
    </row>
    <row r="1944" spans="1:10" x14ac:dyDescent="0.25">
      <c r="B1944" s="4" t="str">
        <f>B1935</f>
        <v>P8058</v>
      </c>
      <c r="C1944" s="2" t="str">
        <f ca="1">IFERROR(VLOOKUP(B1944,MO_Matriz,2,0),"")</f>
        <v>Engenheiro ambiental pleno</v>
      </c>
      <c r="F1944" s="4" t="str">
        <f ca="1">IFERROR(VLOOKUP(B1944,MO_Matriz,3,0),"")</f>
        <v>S</v>
      </c>
      <c r="H1944" s="2" t="s">
        <v>455</v>
      </c>
      <c r="J1944" s="2">
        <v>1</v>
      </c>
    </row>
    <row r="1945" spans="1:10" x14ac:dyDescent="0.25">
      <c r="I1945" s="332" t="s">
        <v>329</v>
      </c>
      <c r="J1945" s="332">
        <f>SUM(J1944:J1944)</f>
        <v>1</v>
      </c>
    </row>
    <row r="1947" spans="1:10" x14ac:dyDescent="0.25">
      <c r="A1947" s="4" t="s">
        <v>456</v>
      </c>
      <c r="B1947" s="2" t="s">
        <v>457</v>
      </c>
    </row>
    <row r="1948" spans="1:10" x14ac:dyDescent="0.25">
      <c r="A1948" s="4"/>
      <c r="B1948" s="2" t="s">
        <v>1032</v>
      </c>
    </row>
    <row r="1949" spans="1:10" x14ac:dyDescent="0.25">
      <c r="A1949" s="4"/>
    </row>
    <row r="1950" spans="1:10" x14ac:dyDescent="0.25">
      <c r="A1950" s="4" t="s">
        <v>350</v>
      </c>
      <c r="B1950" s="2" t="s">
        <v>351</v>
      </c>
    </row>
    <row r="1951" spans="1:10" x14ac:dyDescent="0.25">
      <c r="B1951" s="2" t="s">
        <v>344</v>
      </c>
    </row>
    <row r="1953" spans="1:16" x14ac:dyDescent="0.25">
      <c r="A1953" s="4" t="s">
        <v>197</v>
      </c>
      <c r="B1953" s="2" t="s">
        <v>352</v>
      </c>
    </row>
    <row r="1954" spans="1:16" x14ac:dyDescent="0.25">
      <c r="B1954" s="2" t="s">
        <v>346</v>
      </c>
    </row>
    <row r="1956" spans="1:16" x14ac:dyDescent="0.25">
      <c r="A1956" s="4" t="s">
        <v>353</v>
      </c>
      <c r="B1956" s="2" t="s">
        <v>354</v>
      </c>
    </row>
    <row r="1957" spans="1:16" x14ac:dyDescent="0.25">
      <c r="B1957" s="2" t="s">
        <v>347</v>
      </c>
    </row>
    <row r="1959" spans="1:16" x14ac:dyDescent="0.25">
      <c r="A1959" s="4" t="s">
        <v>355</v>
      </c>
      <c r="B1959" s="2" t="s">
        <v>356</v>
      </c>
    </row>
    <row r="1960" spans="1:16" x14ac:dyDescent="0.25">
      <c r="B1960" s="2" t="s">
        <v>15</v>
      </c>
      <c r="F1960" s="2" t="s">
        <v>357</v>
      </c>
    </row>
    <row r="1961" spans="1:16" x14ac:dyDescent="0.25">
      <c r="B1961" s="2" t="s">
        <v>317</v>
      </c>
      <c r="F1961" s="310">
        <f ca="1">T1936</f>
        <v>885.29533333333336</v>
      </c>
      <c r="P1961" s="4"/>
    </row>
    <row r="1962" spans="1:16" x14ac:dyDescent="0.25">
      <c r="B1962" s="2" t="s">
        <v>276</v>
      </c>
      <c r="F1962" s="310">
        <v>0</v>
      </c>
      <c r="P1962" s="4"/>
    </row>
    <row r="1963" spans="1:16" x14ac:dyDescent="0.25">
      <c r="B1963" s="2" t="s">
        <v>342</v>
      </c>
      <c r="F1963" s="310">
        <v>0</v>
      </c>
    </row>
    <row r="1964" spans="1:16" x14ac:dyDescent="0.25">
      <c r="B1964" s="2" t="s">
        <v>343</v>
      </c>
      <c r="F1964" s="310">
        <v>0</v>
      </c>
    </row>
    <row r="1965" spans="1:16" x14ac:dyDescent="0.25">
      <c r="B1965" s="2" t="s">
        <v>345</v>
      </c>
      <c r="F1965" s="310">
        <v>0</v>
      </c>
    </row>
    <row r="1966" spans="1:16" x14ac:dyDescent="0.25">
      <c r="B1966" s="2" t="s">
        <v>516</v>
      </c>
      <c r="F1966" s="310">
        <v>0</v>
      </c>
    </row>
    <row r="1967" spans="1:16" x14ac:dyDescent="0.25">
      <c r="E1967" s="332" t="s">
        <v>329</v>
      </c>
      <c r="F1967" s="331">
        <f ca="1">SUM(F1961:F1966)</f>
        <v>885.29533333333336</v>
      </c>
    </row>
    <row r="1968" spans="1:16" x14ac:dyDescent="0.25">
      <c r="E1968" s="332"/>
      <c r="F1968" s="331"/>
    </row>
    <row r="1969" spans="1:20" ht="17.25" x14ac:dyDescent="0.25">
      <c r="A1969" s="328" t="s">
        <v>1186</v>
      </c>
      <c r="B1969" s="328" t="s">
        <v>1008</v>
      </c>
      <c r="C1969" s="328"/>
      <c r="D1969" s="328"/>
      <c r="E1969" s="28"/>
      <c r="F1969" s="28"/>
      <c r="G1969" s="28"/>
      <c r="H1969" s="28"/>
      <c r="I1969" s="28"/>
      <c r="J1969" s="28"/>
      <c r="K1969" s="28"/>
      <c r="L1969" s="28"/>
      <c r="M1969" s="28"/>
      <c r="N1969" s="28"/>
      <c r="O1969" s="28"/>
    </row>
    <row r="1970" spans="1:20" x14ac:dyDescent="0.25">
      <c r="A1970" s="4" t="s">
        <v>61</v>
      </c>
      <c r="B1970" s="2" t="s">
        <v>338</v>
      </c>
    </row>
    <row r="1971" spans="1:20" x14ac:dyDescent="0.25">
      <c r="A1971" s="4"/>
      <c r="B1971" s="2" t="s">
        <v>15</v>
      </c>
      <c r="F1971" s="4" t="s">
        <v>414</v>
      </c>
      <c r="H1971" s="4" t="s">
        <v>856</v>
      </c>
      <c r="J1971" s="4" t="s">
        <v>224</v>
      </c>
      <c r="K1971" s="2" t="s">
        <v>855</v>
      </c>
      <c r="M1971" s="2" t="s">
        <v>325</v>
      </c>
      <c r="O1971" s="2" t="s">
        <v>381</v>
      </c>
    </row>
    <row r="1972" spans="1:20" x14ac:dyDescent="0.25">
      <c r="A1972" s="4"/>
      <c r="B1972" s="2" t="s">
        <v>596</v>
      </c>
      <c r="F1972" s="350">
        <v>1</v>
      </c>
      <c r="H1972" s="238">
        <v>0.5</v>
      </c>
      <c r="I1972" s="4"/>
      <c r="J1972" s="2">
        <f>1.507615/H1972</f>
        <v>3.0152299999999999</v>
      </c>
      <c r="K1972" s="238">
        <f>'Carac trecho'!$C$59</f>
        <v>3</v>
      </c>
      <c r="M1972" s="238">
        <f>J1972+K1972</f>
        <v>6.0152299999999999</v>
      </c>
      <c r="O1972" s="2">
        <f>ROUNDUP(M1972*Listas!$E$5,0)</f>
        <v>8</v>
      </c>
    </row>
    <row r="1973" spans="1:20" x14ac:dyDescent="0.25">
      <c r="A1973" s="4"/>
      <c r="B1973" s="2" t="s">
        <v>487</v>
      </c>
      <c r="F1973" s="350">
        <v>0.6</v>
      </c>
      <c r="H1973" s="351">
        <v>0</v>
      </c>
      <c r="I1973" s="4"/>
      <c r="J1973" s="351">
        <v>0</v>
      </c>
      <c r="K1973" s="351">
        <v>0</v>
      </c>
      <c r="M1973" s="238">
        <f>M1972*F1973</f>
        <v>3.6091379999999997</v>
      </c>
      <c r="O1973" s="238">
        <f>ROUNDUP(O1972*F1973,0)</f>
        <v>5</v>
      </c>
    </row>
    <row r="1974" spans="1:20" x14ac:dyDescent="0.25">
      <c r="A1974" s="4"/>
      <c r="B1974" s="2" t="s">
        <v>592</v>
      </c>
      <c r="F1974" s="350">
        <v>0.4</v>
      </c>
      <c r="H1974" s="351">
        <v>0</v>
      </c>
      <c r="I1974" s="4"/>
      <c r="J1974" s="351">
        <v>0</v>
      </c>
      <c r="K1974" s="351">
        <v>0</v>
      </c>
      <c r="M1974" s="238">
        <f>M1972-M1973</f>
        <v>2.4060920000000001</v>
      </c>
      <c r="O1974" s="238">
        <f>O1972-O1973</f>
        <v>3</v>
      </c>
    </row>
    <row r="1975" spans="1:20" x14ac:dyDescent="0.25">
      <c r="A1975" s="4"/>
      <c r="F1975" s="350"/>
      <c r="H1975" s="351"/>
      <c r="I1975" s="4"/>
      <c r="J1975" s="351"/>
      <c r="K1975" s="351"/>
      <c r="L1975" s="2" t="s">
        <v>329</v>
      </c>
      <c r="M1975" s="238">
        <f>SUM(M1972:M1974)</f>
        <v>12.030460000000001</v>
      </c>
      <c r="O1975" s="238"/>
    </row>
    <row r="1976" spans="1:20" x14ac:dyDescent="0.25">
      <c r="A1976" s="4"/>
    </row>
    <row r="1977" spans="1:20" x14ac:dyDescent="0.25">
      <c r="A1977" s="4"/>
      <c r="B1977" s="4" t="s">
        <v>360</v>
      </c>
      <c r="C1977" s="2" t="s">
        <v>15</v>
      </c>
      <c r="F1977" s="4" t="s">
        <v>321</v>
      </c>
      <c r="G1977" s="4"/>
      <c r="H1977" s="4" t="s">
        <v>322</v>
      </c>
      <c r="I1977" s="4" t="s">
        <v>323</v>
      </c>
      <c r="J1977" s="4"/>
      <c r="K1977" s="4" t="s">
        <v>324</v>
      </c>
      <c r="L1977" s="4"/>
      <c r="M1977" s="4" t="s">
        <v>325</v>
      </c>
      <c r="N1977" s="4"/>
      <c r="O1977" s="4" t="s">
        <v>326</v>
      </c>
      <c r="Q1977" s="4" t="s">
        <v>327</v>
      </c>
      <c r="R1977" s="4"/>
      <c r="S1977" s="4" t="s">
        <v>328</v>
      </c>
      <c r="T1977" s="329" t="s">
        <v>329</v>
      </c>
    </row>
    <row r="1978" spans="1:20" x14ac:dyDescent="0.25">
      <c r="A1978" s="4"/>
      <c r="B1978" s="4"/>
      <c r="F1978" s="4"/>
      <c r="G1978" s="4"/>
      <c r="H1978" s="4" t="s">
        <v>330</v>
      </c>
      <c r="I1978" s="4" t="s">
        <v>331</v>
      </c>
      <c r="J1978" s="4"/>
      <c r="K1978" s="4" t="s">
        <v>332</v>
      </c>
      <c r="L1978" s="4"/>
      <c r="M1978" s="4" t="s">
        <v>333</v>
      </c>
      <c r="N1978" s="4"/>
      <c r="O1978" s="4" t="s">
        <v>334</v>
      </c>
      <c r="Q1978" s="4" t="s">
        <v>335</v>
      </c>
      <c r="R1978" s="4"/>
      <c r="S1978" s="4" t="s">
        <v>336</v>
      </c>
      <c r="T1978" s="329" t="s">
        <v>337</v>
      </c>
    </row>
    <row r="1979" spans="1:20" x14ac:dyDescent="0.25">
      <c r="A1979" s="4"/>
      <c r="B1979" s="4" t="s">
        <v>102</v>
      </c>
      <c r="C1979" s="2" t="str">
        <f ca="1">IFERROR(VLOOKUP(B1979,MO_Matriz,2,0),"")</f>
        <v>Engenheiro consultor especial</v>
      </c>
      <c r="F1979" s="4" t="str">
        <f ca="1">IFERROR(VLOOKUP(B1979,MO_Matriz,3,0),"")</f>
        <v>S</v>
      </c>
      <c r="H1979" s="2">
        <v>1</v>
      </c>
      <c r="I1979" s="2">
        <v>1</v>
      </c>
      <c r="K1979" s="2">
        <f>Listas!$B$6</f>
        <v>7.333333333333333</v>
      </c>
      <c r="M1979" s="238">
        <f>M1975</f>
        <v>12.030460000000001</v>
      </c>
      <c r="O1979" s="2">
        <f>H1979*I1979*K1979*M1979</f>
        <v>88.223373333333342</v>
      </c>
      <c r="Q1979" s="2">
        <f>O1979/220</f>
        <v>0.40101533333333339</v>
      </c>
      <c r="S1979" s="310">
        <f ca="1">IFERROR(VLOOKUP(B1979,MO_Matriz,5,0),"")</f>
        <v>41989.87</v>
      </c>
      <c r="T1979" s="339">
        <f ca="1">Q1979*S1979</f>
        <v>16838.581714673335</v>
      </c>
    </row>
    <row r="1980" spans="1:20" x14ac:dyDescent="0.25">
      <c r="A1980" s="4"/>
      <c r="B1980" s="4" t="s">
        <v>181</v>
      </c>
      <c r="C1980" s="2" t="str">
        <f ca="1">IFERROR(VLOOKUP(B1980,MO_Matriz,2,0),"")</f>
        <v>Desenhista</v>
      </c>
      <c r="F1980" s="4" t="str">
        <f ca="1">IFERROR(VLOOKUP(B1980,MO_Matriz,3,0),"")</f>
        <v>T</v>
      </c>
      <c r="H1980" s="2">
        <v>1</v>
      </c>
      <c r="I1980" s="2">
        <v>1</v>
      </c>
      <c r="K1980" s="2">
        <f>Listas!$B$6</f>
        <v>7.333333333333333</v>
      </c>
      <c r="M1980" s="238">
        <f>M1975</f>
        <v>12.030460000000001</v>
      </c>
      <c r="O1980" s="2">
        <f>H1980*I1980*K1980*M1980</f>
        <v>88.223373333333342</v>
      </c>
      <c r="Q1980" s="2">
        <f>O1980/220</f>
        <v>0.40101533333333339</v>
      </c>
      <c r="S1980" s="310">
        <f ca="1">IFERROR(VLOOKUP(B1980,MO_Matriz,5,0),"")</f>
        <v>7821.6815999999999</v>
      </c>
      <c r="T1980" s="339">
        <f ca="1">Q1980*S1980</f>
        <v>3136.6142540512005</v>
      </c>
    </row>
    <row r="1981" spans="1:20" x14ac:dyDescent="0.25">
      <c r="A1981" s="4"/>
      <c r="S1981" s="332" t="s">
        <v>329</v>
      </c>
      <c r="T1981" s="331">
        <f ca="1">SUM(T1979:T1980)</f>
        <v>19975.195968724536</v>
      </c>
    </row>
    <row r="1982" spans="1:20" x14ac:dyDescent="0.25">
      <c r="A1982" s="4"/>
    </row>
    <row r="1983" spans="1:20" x14ac:dyDescent="0.25">
      <c r="A1983" s="329" t="s">
        <v>339</v>
      </c>
      <c r="B1983" s="2" t="s">
        <v>340</v>
      </c>
    </row>
    <row r="1984" spans="1:20" x14ac:dyDescent="0.25">
      <c r="B1984" s="2" t="s">
        <v>341</v>
      </c>
    </row>
    <row r="1986" spans="1:20" x14ac:dyDescent="0.25">
      <c r="A1986" s="4" t="s">
        <v>348</v>
      </c>
      <c r="B1986" s="2" t="s">
        <v>349</v>
      </c>
    </row>
    <row r="1987" spans="1:20" x14ac:dyDescent="0.25">
      <c r="A1987" s="4" t="s">
        <v>451</v>
      </c>
      <c r="B1987" s="2" t="s">
        <v>452</v>
      </c>
    </row>
    <row r="1988" spans="1:20" x14ac:dyDescent="0.25">
      <c r="B1988" s="4" t="s">
        <v>360</v>
      </c>
      <c r="C1988" s="2" t="s">
        <v>15</v>
      </c>
      <c r="F1988" s="4" t="s">
        <v>321</v>
      </c>
      <c r="G1988" s="4"/>
      <c r="H1988" s="4" t="s">
        <v>453</v>
      </c>
      <c r="I1988" s="4"/>
      <c r="J1988" s="4" t="s">
        <v>454</v>
      </c>
    </row>
    <row r="1989" spans="1:20" x14ac:dyDescent="0.25">
      <c r="B1989" s="4" t="str">
        <f>B1979</f>
        <v>P8060</v>
      </c>
      <c r="C1989" s="2" t="str">
        <f ca="1">IFERROR(VLOOKUP(B1989,MO_Matriz,2,0),"")</f>
        <v>Engenheiro consultor especial</v>
      </c>
      <c r="F1989" s="4" t="str">
        <f ca="1">IFERROR(VLOOKUP(B1989,MO_Matriz,3,0),"")</f>
        <v>S</v>
      </c>
      <c r="H1989" s="2" t="s">
        <v>455</v>
      </c>
      <c r="J1989" s="2">
        <v>1</v>
      </c>
    </row>
    <row r="1990" spans="1:20" x14ac:dyDescent="0.25">
      <c r="B1990" s="4" t="str">
        <f>B1980</f>
        <v>P9848</v>
      </c>
      <c r="C1990" s="2" t="str">
        <f ca="1">IFERROR(VLOOKUP(B1990,MO_Matriz,2,0),"")</f>
        <v>Desenhista</v>
      </c>
      <c r="F1990" s="4" t="str">
        <f ca="1">IFERROR(VLOOKUP(B1990,MO_Matriz,3,0),"")</f>
        <v>T</v>
      </c>
      <c r="H1990" s="2" t="s">
        <v>455</v>
      </c>
      <c r="J1990" s="2">
        <v>1</v>
      </c>
    </row>
    <row r="1991" spans="1:20" x14ac:dyDescent="0.25">
      <c r="I1991" s="332" t="s">
        <v>329</v>
      </c>
      <c r="J1991" s="332">
        <f>SUM(J1989:J1990)</f>
        <v>2</v>
      </c>
    </row>
    <row r="1993" spans="1:20" x14ac:dyDescent="0.25">
      <c r="A1993" s="4" t="s">
        <v>456</v>
      </c>
      <c r="B1993" s="2" t="s">
        <v>457</v>
      </c>
    </row>
    <row r="1994" spans="1:20" x14ac:dyDescent="0.25">
      <c r="A1994" s="4"/>
      <c r="B1994" s="2" t="s">
        <v>1032</v>
      </c>
    </row>
    <row r="1996" spans="1:20" x14ac:dyDescent="0.25">
      <c r="A1996" s="4" t="s">
        <v>350</v>
      </c>
      <c r="B1996" s="2" t="s">
        <v>351</v>
      </c>
    </row>
    <row r="1997" spans="1:20" x14ac:dyDescent="0.25">
      <c r="B1997" s="2" t="s">
        <v>344</v>
      </c>
    </row>
    <row r="1999" spans="1:20" x14ac:dyDescent="0.25">
      <c r="A1999" s="4" t="s">
        <v>197</v>
      </c>
      <c r="B1999" s="2" t="s">
        <v>352</v>
      </c>
    </row>
    <row r="2000" spans="1:20" ht="17.25" x14ac:dyDescent="0.25">
      <c r="B2000" s="2" t="s">
        <v>346</v>
      </c>
      <c r="P2000" s="28"/>
      <c r="Q2000" s="28"/>
      <c r="R2000" s="28"/>
      <c r="S2000" s="28"/>
      <c r="T2000" s="28"/>
    </row>
    <row r="2002" spans="1:16" x14ac:dyDescent="0.25">
      <c r="A2002" s="4" t="s">
        <v>353</v>
      </c>
      <c r="B2002" s="2" t="s">
        <v>354</v>
      </c>
    </row>
    <row r="2003" spans="1:16" x14ac:dyDescent="0.25">
      <c r="B2003" s="2" t="s">
        <v>347</v>
      </c>
    </row>
    <row r="2005" spans="1:16" x14ac:dyDescent="0.25">
      <c r="A2005" s="4" t="s">
        <v>355</v>
      </c>
      <c r="B2005" s="2" t="s">
        <v>356</v>
      </c>
    </row>
    <row r="2006" spans="1:16" x14ac:dyDescent="0.25">
      <c r="B2006" s="2" t="s">
        <v>15</v>
      </c>
      <c r="F2006" s="2" t="s">
        <v>357</v>
      </c>
    </row>
    <row r="2007" spans="1:16" x14ac:dyDescent="0.25">
      <c r="B2007" s="2" t="s">
        <v>317</v>
      </c>
      <c r="F2007" s="310">
        <f ca="1">T1981</f>
        <v>19975.195968724536</v>
      </c>
    </row>
    <row r="2008" spans="1:16" x14ac:dyDescent="0.25">
      <c r="B2008" s="2" t="s">
        <v>276</v>
      </c>
      <c r="F2008" s="310">
        <v>0</v>
      </c>
      <c r="P2008" s="4"/>
    </row>
    <row r="2009" spans="1:16" x14ac:dyDescent="0.25">
      <c r="B2009" s="2" t="s">
        <v>342</v>
      </c>
      <c r="F2009" s="310">
        <v>0</v>
      </c>
      <c r="P2009" s="4"/>
    </row>
    <row r="2010" spans="1:16" x14ac:dyDescent="0.25">
      <c r="B2010" s="2" t="s">
        <v>343</v>
      </c>
      <c r="F2010" s="310">
        <v>0</v>
      </c>
    </row>
    <row r="2011" spans="1:16" x14ac:dyDescent="0.25">
      <c r="B2011" s="2" t="s">
        <v>345</v>
      </c>
      <c r="F2011" s="310">
        <v>0</v>
      </c>
    </row>
    <row r="2012" spans="1:16" x14ac:dyDescent="0.25">
      <c r="B2012" s="2" t="s">
        <v>516</v>
      </c>
      <c r="F2012" s="310">
        <v>0</v>
      </c>
    </row>
    <row r="2013" spans="1:16" x14ac:dyDescent="0.25">
      <c r="E2013" s="332" t="s">
        <v>329</v>
      </c>
      <c r="F2013" s="331">
        <f ca="1">SUM(F2007:F2012)</f>
        <v>19975.195968724536</v>
      </c>
    </row>
    <row r="2017" ht="13.5" customHeight="1" x14ac:dyDescent="0.25"/>
  </sheetData>
  <pageMargins left="1.1811023622047245" right="0.78740157480314965" top="0.78740157480314965" bottom="0.78740157480314965" header="0.31496062992125984" footer="0.31496062992125984"/>
  <pageSetup paperSize="9" scale="25" fitToHeight="0" orientation="landscape" r:id="rId1"/>
  <rowBreaks count="13" manualBreakCount="13">
    <brk id="120" max="16383" man="1"/>
    <brk id="227" max="16383" man="1"/>
    <brk id="321" max="16383" man="1"/>
    <brk id="432" max="28" man="1"/>
    <brk id="960" max="16383" man="1"/>
    <brk id="1071" max="28" man="1"/>
    <brk id="1178" max="16383" man="1"/>
    <brk id="1289" max="28" man="1"/>
    <brk id="1399" max="16383" man="1"/>
    <brk id="1510" max="28" man="1"/>
    <brk id="1620" max="28" man="1"/>
    <brk id="1725" max="16383" man="1"/>
    <brk id="1902" max="28" man="1"/>
  </rowBreaks>
  <ignoredErrors>
    <ignoredError sqref="F1157" evalError="1"/>
  </ignoredError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8">
    <tabColor theme="9"/>
  </sheetPr>
  <dimension ref="B1:NH74"/>
  <sheetViews>
    <sheetView showGridLines="0" view="pageBreakPreview" topLeftCell="A35" zoomScale="90" zoomScaleNormal="10" zoomScaleSheetLayoutView="90" workbookViewId="0">
      <selection activeCell="G15" sqref="G15"/>
    </sheetView>
  </sheetViews>
  <sheetFormatPr defaultColWidth="9.140625" defaultRowHeight="15" customHeight="1" x14ac:dyDescent="0.25"/>
  <cols>
    <col min="1" max="1" width="1.7109375" style="2" customWidth="1"/>
    <col min="2" max="2" width="13.42578125" style="2" bestFit="1" customWidth="1"/>
    <col min="3" max="3" width="29.7109375" style="2" bestFit="1" customWidth="1"/>
    <col min="4" max="4" width="23.28515625" style="2" bestFit="1" customWidth="1"/>
    <col min="5" max="5" width="14.140625" style="2" bestFit="1" customWidth="1"/>
    <col min="6" max="6" width="18.28515625" style="2" bestFit="1" customWidth="1"/>
    <col min="7" max="7" width="12.28515625" style="2" bestFit="1" customWidth="1"/>
    <col min="8" max="16" width="3" style="2" bestFit="1" customWidth="1"/>
    <col min="17" max="106" width="4.28515625" style="2" customWidth="1"/>
    <col min="107" max="372" width="5.5703125" style="2" bestFit="1" customWidth="1"/>
    <col min="373" max="16384" width="9.140625" style="2"/>
  </cols>
  <sheetData>
    <row r="1" spans="2:372" ht="9" customHeight="1" x14ac:dyDescent="0.25"/>
    <row r="2" spans="2:372" ht="34.5" customHeight="1" x14ac:dyDescent="0.25"/>
    <row r="4" spans="2:372" ht="15" customHeight="1" x14ac:dyDescent="0.25">
      <c r="B4" s="23" t="s">
        <v>0</v>
      </c>
      <c r="C4" s="570" t="str">
        <f>'Qd abrang'!C4</f>
        <v>Contratação de Projeto Executivo de Engenharia para Implantação do Aeródromo no município de Nova Andradina</v>
      </c>
      <c r="D4" s="570"/>
      <c r="E4" s="570"/>
      <c r="F4" s="570"/>
      <c r="G4" s="570"/>
      <c r="H4" s="570"/>
      <c r="I4" s="570"/>
      <c r="J4" s="570"/>
      <c r="K4" s="570"/>
    </row>
    <row r="5" spans="2:372" x14ac:dyDescent="0.25">
      <c r="B5" s="5" t="s">
        <v>862</v>
      </c>
      <c r="C5" s="1" t="str">
        <f>'Qd abrang'!C5</f>
        <v>Nova Andradina/MS</v>
      </c>
    </row>
    <row r="6" spans="2:372" x14ac:dyDescent="0.25">
      <c r="B6" s="5" t="s">
        <v>863</v>
      </c>
      <c r="C6" s="1" t="str">
        <f>'Qd abrang'!C6</f>
        <v>Nova Andradina/MS</v>
      </c>
    </row>
    <row r="7" spans="2:372" x14ac:dyDescent="0.25">
      <c r="B7" s="5" t="s">
        <v>1</v>
      </c>
      <c r="C7" s="96">
        <f>'Qd abrang'!C7</f>
        <v>1.7</v>
      </c>
      <c r="D7" s="2" t="s">
        <v>3</v>
      </c>
      <c r="E7" s="5" t="s">
        <v>16</v>
      </c>
      <c r="F7" s="6" t="str">
        <f>'Qd abrang'!N7</f>
        <v>79.010.182-2025</v>
      </c>
    </row>
    <row r="8" spans="2:372" x14ac:dyDescent="0.25">
      <c r="B8" s="5" t="s">
        <v>2</v>
      </c>
      <c r="C8" s="1">
        <f>'Qd abrang'!C8</f>
        <v>365</v>
      </c>
      <c r="D8" s="2" t="s">
        <v>4</v>
      </c>
      <c r="E8" s="69" t="s">
        <v>17</v>
      </c>
      <c r="F8" s="6">
        <f>'Qd abrang'!N8</f>
        <v>45748</v>
      </c>
    </row>
    <row r="10" spans="2:372" s="11" customFormat="1" ht="21" x14ac:dyDescent="0.25">
      <c r="B10" s="547" t="s">
        <v>728</v>
      </c>
      <c r="C10" s="547"/>
      <c r="D10" s="547"/>
      <c r="E10" s="547"/>
      <c r="F10" s="547"/>
      <c r="G10" s="547"/>
    </row>
    <row r="11" spans="2:372" ht="15" customHeight="1" x14ac:dyDescent="0.25">
      <c r="G11" s="54" t="s">
        <v>361</v>
      </c>
      <c r="H11" s="563">
        <v>1</v>
      </c>
      <c r="I11" s="563"/>
      <c r="J11" s="563"/>
      <c r="K11" s="563"/>
      <c r="L11" s="563"/>
      <c r="M11" s="563"/>
      <c r="N11" s="563"/>
      <c r="O11" s="563"/>
      <c r="P11" s="563"/>
      <c r="Q11" s="563"/>
      <c r="R11" s="563"/>
      <c r="S11" s="563"/>
      <c r="T11" s="563"/>
      <c r="U11" s="563"/>
      <c r="V11" s="563"/>
      <c r="W11" s="563"/>
      <c r="X11" s="563"/>
      <c r="Y11" s="563"/>
      <c r="Z11" s="563"/>
      <c r="AA11" s="563"/>
      <c r="AB11" s="563"/>
      <c r="AC11" s="563"/>
      <c r="AD11" s="563"/>
      <c r="AE11" s="563"/>
      <c r="AF11" s="563"/>
      <c r="AG11" s="563"/>
      <c r="AH11" s="563"/>
      <c r="AI11" s="563"/>
      <c r="AJ11" s="563"/>
      <c r="AK11" s="563"/>
      <c r="AL11" s="563">
        <v>2</v>
      </c>
      <c r="AM11" s="563"/>
      <c r="AN11" s="563"/>
      <c r="AO11" s="563"/>
      <c r="AP11" s="563"/>
      <c r="AQ11" s="563"/>
      <c r="AR11" s="563"/>
      <c r="AS11" s="563"/>
      <c r="AT11" s="563"/>
      <c r="AU11" s="563"/>
      <c r="AV11" s="563"/>
      <c r="AW11" s="563"/>
      <c r="AX11" s="563"/>
      <c r="AY11" s="563"/>
      <c r="AZ11" s="563"/>
      <c r="BA11" s="563"/>
      <c r="BB11" s="563"/>
      <c r="BC11" s="563"/>
      <c r="BD11" s="563"/>
      <c r="BE11" s="563"/>
      <c r="BF11" s="563"/>
      <c r="BG11" s="563"/>
      <c r="BH11" s="563"/>
      <c r="BI11" s="563"/>
      <c r="BJ11" s="563"/>
      <c r="BK11" s="563"/>
      <c r="BL11" s="563"/>
      <c r="BM11" s="563"/>
      <c r="BN11" s="563"/>
      <c r="BO11" s="563"/>
      <c r="BP11" s="563"/>
      <c r="BQ11" s="564">
        <v>3</v>
      </c>
      <c r="BR11" s="616"/>
      <c r="BS11" s="616"/>
      <c r="BT11" s="616"/>
      <c r="BU11" s="616"/>
      <c r="BV11" s="616"/>
      <c r="BW11" s="616"/>
      <c r="BX11" s="616"/>
      <c r="BY11" s="616"/>
      <c r="BZ11" s="616"/>
      <c r="CA11" s="616"/>
      <c r="CB11" s="616"/>
      <c r="CC11" s="616"/>
      <c r="CD11" s="616"/>
      <c r="CE11" s="616"/>
      <c r="CF11" s="616"/>
      <c r="CG11" s="616"/>
      <c r="CH11" s="616"/>
      <c r="CI11" s="616"/>
      <c r="CJ11" s="616"/>
      <c r="CK11" s="616"/>
      <c r="CL11" s="616"/>
      <c r="CM11" s="616"/>
      <c r="CN11" s="616"/>
      <c r="CO11" s="616"/>
      <c r="CP11" s="616"/>
      <c r="CQ11" s="616"/>
      <c r="CR11" s="616"/>
      <c r="CS11" s="616"/>
      <c r="CT11" s="616"/>
      <c r="CU11" s="565"/>
      <c r="CV11" s="564">
        <v>4</v>
      </c>
      <c r="CW11" s="616"/>
      <c r="CX11" s="616"/>
      <c r="CY11" s="616"/>
      <c r="CZ11" s="616"/>
      <c r="DA11" s="616"/>
      <c r="DB11" s="616"/>
      <c r="DC11" s="616"/>
      <c r="DD11" s="616"/>
      <c r="DE11" s="616"/>
      <c r="DF11" s="616"/>
      <c r="DG11" s="616"/>
      <c r="DH11" s="616"/>
      <c r="DI11" s="616"/>
      <c r="DJ11" s="616"/>
      <c r="DK11" s="616"/>
      <c r="DL11" s="616"/>
      <c r="DM11" s="616"/>
      <c r="DN11" s="616"/>
      <c r="DO11" s="616"/>
      <c r="DP11" s="616"/>
      <c r="DQ11" s="616"/>
      <c r="DR11" s="616"/>
      <c r="DS11" s="616"/>
      <c r="DT11" s="616"/>
      <c r="DU11" s="616"/>
      <c r="DV11" s="616"/>
      <c r="DW11" s="616"/>
      <c r="DX11" s="616"/>
      <c r="DY11" s="616"/>
      <c r="DZ11" s="565"/>
      <c r="EA11" s="564">
        <v>5</v>
      </c>
      <c r="EB11" s="616"/>
      <c r="EC11" s="616"/>
      <c r="ED11" s="616"/>
      <c r="EE11" s="616"/>
      <c r="EF11" s="616"/>
      <c r="EG11" s="616"/>
      <c r="EH11" s="616"/>
      <c r="EI11" s="616"/>
      <c r="EJ11" s="616"/>
      <c r="EK11" s="616"/>
      <c r="EL11" s="616"/>
      <c r="EM11" s="616"/>
      <c r="EN11" s="616"/>
      <c r="EO11" s="616"/>
      <c r="EP11" s="616"/>
      <c r="EQ11" s="616"/>
      <c r="ER11" s="616"/>
      <c r="ES11" s="616"/>
      <c r="ET11" s="616"/>
      <c r="EU11" s="616"/>
      <c r="EV11" s="616"/>
      <c r="EW11" s="616"/>
      <c r="EX11" s="616"/>
      <c r="EY11" s="616"/>
      <c r="EZ11" s="616"/>
      <c r="FA11" s="616"/>
      <c r="FB11" s="616"/>
      <c r="FC11" s="616"/>
      <c r="FD11" s="616"/>
      <c r="FE11" s="565"/>
      <c r="FF11" s="564">
        <v>6</v>
      </c>
      <c r="FG11" s="616"/>
      <c r="FH11" s="616"/>
      <c r="FI11" s="616"/>
      <c r="FJ11" s="616"/>
      <c r="FK11" s="616"/>
      <c r="FL11" s="616"/>
      <c r="FM11" s="616"/>
      <c r="FN11" s="616"/>
      <c r="FO11" s="616"/>
      <c r="FP11" s="616"/>
      <c r="FQ11" s="616"/>
      <c r="FR11" s="616"/>
      <c r="FS11" s="616"/>
      <c r="FT11" s="616"/>
      <c r="FU11" s="616"/>
      <c r="FV11" s="616"/>
      <c r="FW11" s="616"/>
      <c r="FX11" s="616"/>
      <c r="FY11" s="616"/>
      <c r="FZ11" s="616"/>
      <c r="GA11" s="616"/>
      <c r="GB11" s="616"/>
      <c r="GC11" s="616"/>
      <c r="GD11" s="616"/>
      <c r="GE11" s="616"/>
      <c r="GF11" s="616"/>
      <c r="GG11" s="616"/>
      <c r="GH11" s="616"/>
      <c r="GI11" s="616"/>
      <c r="GJ11" s="565"/>
      <c r="GK11" s="564">
        <v>7</v>
      </c>
      <c r="GL11" s="616"/>
      <c r="GM11" s="616"/>
      <c r="GN11" s="616"/>
      <c r="GO11" s="616"/>
      <c r="GP11" s="616"/>
      <c r="GQ11" s="616"/>
      <c r="GR11" s="616"/>
      <c r="GS11" s="616"/>
      <c r="GT11" s="616"/>
      <c r="GU11" s="616"/>
      <c r="GV11" s="616"/>
      <c r="GW11" s="616"/>
      <c r="GX11" s="616"/>
      <c r="GY11" s="616"/>
      <c r="GZ11" s="616"/>
      <c r="HA11" s="616"/>
      <c r="HB11" s="616"/>
      <c r="HC11" s="616"/>
      <c r="HD11" s="616"/>
      <c r="HE11" s="616"/>
      <c r="HF11" s="616"/>
      <c r="HG11" s="616"/>
      <c r="HH11" s="616"/>
      <c r="HI11" s="616"/>
      <c r="HJ11" s="616"/>
      <c r="HK11" s="616"/>
      <c r="HL11" s="616"/>
      <c r="HM11" s="616"/>
      <c r="HN11" s="616"/>
      <c r="HO11" s="565"/>
      <c r="HP11" s="564">
        <v>8</v>
      </c>
      <c r="HQ11" s="616"/>
      <c r="HR11" s="616"/>
      <c r="HS11" s="616"/>
      <c r="HT11" s="616"/>
      <c r="HU11" s="616"/>
      <c r="HV11" s="616"/>
      <c r="HW11" s="616"/>
      <c r="HX11" s="616"/>
      <c r="HY11" s="616"/>
      <c r="HZ11" s="616"/>
      <c r="IA11" s="616"/>
      <c r="IB11" s="616"/>
      <c r="IC11" s="616"/>
      <c r="ID11" s="616"/>
      <c r="IE11" s="616"/>
      <c r="IF11" s="616"/>
      <c r="IG11" s="616"/>
      <c r="IH11" s="616"/>
      <c r="II11" s="616"/>
      <c r="IJ11" s="616"/>
      <c r="IK11" s="616"/>
      <c r="IL11" s="616"/>
      <c r="IM11" s="616"/>
      <c r="IN11" s="616"/>
      <c r="IO11" s="616"/>
      <c r="IP11" s="616"/>
      <c r="IQ11" s="616"/>
      <c r="IR11" s="616"/>
      <c r="IS11" s="616"/>
      <c r="IT11" s="565"/>
      <c r="IU11" s="564">
        <v>9</v>
      </c>
      <c r="IV11" s="616"/>
      <c r="IW11" s="616"/>
      <c r="IX11" s="616"/>
      <c r="IY11" s="616"/>
      <c r="IZ11" s="616"/>
      <c r="JA11" s="616"/>
      <c r="JB11" s="616"/>
      <c r="JC11" s="616"/>
      <c r="JD11" s="616"/>
      <c r="JE11" s="616"/>
      <c r="JF11" s="616"/>
      <c r="JG11" s="616"/>
      <c r="JH11" s="616"/>
      <c r="JI11" s="616"/>
      <c r="JJ11" s="616"/>
      <c r="JK11" s="616"/>
      <c r="JL11" s="616"/>
      <c r="JM11" s="616"/>
      <c r="JN11" s="616"/>
      <c r="JO11" s="616"/>
      <c r="JP11" s="616"/>
      <c r="JQ11" s="616"/>
      <c r="JR11" s="616"/>
      <c r="JS11" s="616"/>
      <c r="JT11" s="616"/>
      <c r="JU11" s="616"/>
      <c r="JV11" s="616"/>
      <c r="JW11" s="616"/>
      <c r="JX11" s="616"/>
      <c r="JY11" s="565"/>
      <c r="JZ11" s="564">
        <v>10</v>
      </c>
      <c r="KA11" s="616"/>
      <c r="KB11" s="616"/>
      <c r="KC11" s="616"/>
      <c r="KD11" s="616"/>
      <c r="KE11" s="616"/>
      <c r="KF11" s="616"/>
      <c r="KG11" s="616"/>
      <c r="KH11" s="616"/>
      <c r="KI11" s="616"/>
      <c r="KJ11" s="616"/>
      <c r="KK11" s="616"/>
      <c r="KL11" s="616"/>
      <c r="KM11" s="616"/>
      <c r="KN11" s="616"/>
      <c r="KO11" s="616"/>
      <c r="KP11" s="616"/>
      <c r="KQ11" s="616"/>
      <c r="KR11" s="616"/>
      <c r="KS11" s="616"/>
      <c r="KT11" s="616"/>
      <c r="KU11" s="616"/>
      <c r="KV11" s="616"/>
      <c r="KW11" s="616"/>
      <c r="KX11" s="616"/>
      <c r="KY11" s="616"/>
      <c r="KZ11" s="616"/>
      <c r="LA11" s="616"/>
      <c r="LB11" s="616"/>
      <c r="LC11" s="616"/>
      <c r="LD11" s="565"/>
      <c r="LE11" s="564">
        <v>11</v>
      </c>
      <c r="LF11" s="616"/>
      <c r="LG11" s="616"/>
      <c r="LH11" s="616"/>
      <c r="LI11" s="616"/>
      <c r="LJ11" s="616"/>
      <c r="LK11" s="616"/>
      <c r="LL11" s="616"/>
      <c r="LM11" s="616"/>
      <c r="LN11" s="616"/>
      <c r="LO11" s="616"/>
      <c r="LP11" s="616"/>
      <c r="LQ11" s="616"/>
      <c r="LR11" s="616"/>
      <c r="LS11" s="616"/>
      <c r="LT11" s="616"/>
      <c r="LU11" s="616"/>
      <c r="LV11" s="616"/>
      <c r="LW11" s="616"/>
      <c r="LX11" s="616"/>
      <c r="LY11" s="616"/>
      <c r="LZ11" s="616"/>
      <c r="MA11" s="616"/>
      <c r="MB11" s="616"/>
      <c r="MC11" s="616"/>
      <c r="MD11" s="616"/>
      <c r="ME11" s="616"/>
      <c r="MF11" s="616"/>
      <c r="MG11" s="616"/>
      <c r="MH11" s="616"/>
      <c r="MI11" s="565"/>
      <c r="MJ11" s="563">
        <v>12</v>
      </c>
      <c r="MK11" s="563"/>
      <c r="ML11" s="563"/>
      <c r="MM11" s="563"/>
      <c r="MN11" s="563"/>
      <c r="MO11" s="563"/>
      <c r="MP11" s="563"/>
      <c r="MQ11" s="563"/>
      <c r="MR11" s="563"/>
      <c r="MS11" s="563"/>
      <c r="MT11" s="563"/>
      <c r="MU11" s="563"/>
      <c r="MV11" s="563"/>
      <c r="MW11" s="563"/>
      <c r="MX11" s="563"/>
      <c r="MY11" s="563"/>
      <c r="MZ11" s="563"/>
      <c r="NA11" s="563"/>
      <c r="NB11" s="563"/>
      <c r="NC11" s="563"/>
      <c r="ND11" s="563"/>
      <c r="NE11" s="563"/>
      <c r="NF11" s="563"/>
      <c r="NG11" s="563"/>
      <c r="NH11" s="563"/>
    </row>
    <row r="12" spans="2:372" ht="30" customHeight="1" x14ac:dyDescent="0.25">
      <c r="B12" s="54" t="s">
        <v>19</v>
      </c>
      <c r="C12" s="564" t="s">
        <v>15</v>
      </c>
      <c r="D12" s="565"/>
      <c r="E12" s="54" t="s">
        <v>10</v>
      </c>
      <c r="F12" s="54" t="s">
        <v>522</v>
      </c>
      <c r="G12" s="55" t="s">
        <v>523</v>
      </c>
      <c r="H12" s="100">
        <v>1</v>
      </c>
      <c r="I12" s="100">
        <v>2</v>
      </c>
      <c r="J12" s="100">
        <v>3</v>
      </c>
      <c r="K12" s="100">
        <v>4</v>
      </c>
      <c r="L12" s="100">
        <v>5</v>
      </c>
      <c r="M12" s="100">
        <v>6</v>
      </c>
      <c r="N12" s="100">
        <v>7</v>
      </c>
      <c r="O12" s="100">
        <v>8</v>
      </c>
      <c r="P12" s="100">
        <v>9</v>
      </c>
      <c r="Q12" s="100">
        <v>10</v>
      </c>
      <c r="R12" s="100">
        <v>11</v>
      </c>
      <c r="S12" s="100">
        <v>12</v>
      </c>
      <c r="T12" s="100">
        <v>13</v>
      </c>
      <c r="U12" s="100">
        <v>14</v>
      </c>
      <c r="V12" s="100">
        <v>15</v>
      </c>
      <c r="W12" s="100">
        <v>16</v>
      </c>
      <c r="X12" s="100">
        <v>17</v>
      </c>
      <c r="Y12" s="100">
        <v>18</v>
      </c>
      <c r="Z12" s="100">
        <v>19</v>
      </c>
      <c r="AA12" s="100">
        <v>20</v>
      </c>
      <c r="AB12" s="100">
        <v>21</v>
      </c>
      <c r="AC12" s="100">
        <v>22</v>
      </c>
      <c r="AD12" s="100">
        <v>23</v>
      </c>
      <c r="AE12" s="100">
        <v>24</v>
      </c>
      <c r="AF12" s="100">
        <v>25</v>
      </c>
      <c r="AG12" s="100">
        <v>26</v>
      </c>
      <c r="AH12" s="100">
        <v>27</v>
      </c>
      <c r="AI12" s="100">
        <v>28</v>
      </c>
      <c r="AJ12" s="100">
        <v>29</v>
      </c>
      <c r="AK12" s="100">
        <v>30</v>
      </c>
      <c r="AL12" s="100">
        <v>31</v>
      </c>
      <c r="AM12" s="100">
        <v>32</v>
      </c>
      <c r="AN12" s="100">
        <v>33</v>
      </c>
      <c r="AO12" s="100">
        <v>34</v>
      </c>
      <c r="AP12" s="100">
        <v>35</v>
      </c>
      <c r="AQ12" s="100">
        <v>36</v>
      </c>
      <c r="AR12" s="100">
        <v>37</v>
      </c>
      <c r="AS12" s="100">
        <v>38</v>
      </c>
      <c r="AT12" s="100">
        <v>39</v>
      </c>
      <c r="AU12" s="100">
        <v>40</v>
      </c>
      <c r="AV12" s="100">
        <v>41</v>
      </c>
      <c r="AW12" s="100">
        <v>42</v>
      </c>
      <c r="AX12" s="100">
        <v>43</v>
      </c>
      <c r="AY12" s="100">
        <v>44</v>
      </c>
      <c r="AZ12" s="100">
        <v>45</v>
      </c>
      <c r="BA12" s="100">
        <v>46</v>
      </c>
      <c r="BB12" s="100">
        <v>47</v>
      </c>
      <c r="BC12" s="100">
        <v>48</v>
      </c>
      <c r="BD12" s="100">
        <v>49</v>
      </c>
      <c r="BE12" s="100">
        <v>50</v>
      </c>
      <c r="BF12" s="100">
        <v>51</v>
      </c>
      <c r="BG12" s="100">
        <v>52</v>
      </c>
      <c r="BH12" s="100">
        <v>53</v>
      </c>
      <c r="BI12" s="100">
        <v>54</v>
      </c>
      <c r="BJ12" s="100">
        <v>55</v>
      </c>
      <c r="BK12" s="100">
        <v>56</v>
      </c>
      <c r="BL12" s="100">
        <v>57</v>
      </c>
      <c r="BM12" s="100">
        <v>58</v>
      </c>
      <c r="BN12" s="100">
        <v>59</v>
      </c>
      <c r="BO12" s="100">
        <v>60</v>
      </c>
      <c r="BP12" s="100">
        <v>61</v>
      </c>
      <c r="BQ12" s="100">
        <v>62</v>
      </c>
      <c r="BR12" s="100">
        <v>63</v>
      </c>
      <c r="BS12" s="100">
        <v>64</v>
      </c>
      <c r="BT12" s="100">
        <v>65</v>
      </c>
      <c r="BU12" s="100">
        <v>66</v>
      </c>
      <c r="BV12" s="100">
        <v>67</v>
      </c>
      <c r="BW12" s="100">
        <v>68</v>
      </c>
      <c r="BX12" s="100">
        <v>69</v>
      </c>
      <c r="BY12" s="100">
        <v>70</v>
      </c>
      <c r="BZ12" s="100">
        <v>71</v>
      </c>
      <c r="CA12" s="100">
        <v>72</v>
      </c>
      <c r="CB12" s="100">
        <v>73</v>
      </c>
      <c r="CC12" s="100">
        <v>74</v>
      </c>
      <c r="CD12" s="100">
        <v>75</v>
      </c>
      <c r="CE12" s="100">
        <v>76</v>
      </c>
      <c r="CF12" s="100">
        <v>77</v>
      </c>
      <c r="CG12" s="100">
        <v>78</v>
      </c>
      <c r="CH12" s="100">
        <v>79</v>
      </c>
      <c r="CI12" s="100">
        <v>80</v>
      </c>
      <c r="CJ12" s="100">
        <v>81</v>
      </c>
      <c r="CK12" s="100">
        <v>82</v>
      </c>
      <c r="CL12" s="100">
        <v>83</v>
      </c>
      <c r="CM12" s="100">
        <v>84</v>
      </c>
      <c r="CN12" s="100">
        <v>85</v>
      </c>
      <c r="CO12" s="100">
        <v>86</v>
      </c>
      <c r="CP12" s="100">
        <v>87</v>
      </c>
      <c r="CQ12" s="100">
        <v>88</v>
      </c>
      <c r="CR12" s="100">
        <v>89</v>
      </c>
      <c r="CS12" s="100">
        <v>90</v>
      </c>
      <c r="CT12" s="100">
        <v>91</v>
      </c>
      <c r="CU12" s="100">
        <v>92</v>
      </c>
      <c r="CV12" s="100">
        <v>93</v>
      </c>
      <c r="CW12" s="100">
        <v>94</v>
      </c>
      <c r="CX12" s="100">
        <v>95</v>
      </c>
      <c r="CY12" s="100">
        <v>96</v>
      </c>
      <c r="CZ12" s="100">
        <v>97</v>
      </c>
      <c r="DA12" s="100">
        <v>98</v>
      </c>
      <c r="DB12" s="100">
        <v>99</v>
      </c>
      <c r="DC12" s="100">
        <v>100</v>
      </c>
      <c r="DD12" s="100">
        <v>101</v>
      </c>
      <c r="DE12" s="100">
        <v>102</v>
      </c>
      <c r="DF12" s="100">
        <v>103</v>
      </c>
      <c r="DG12" s="100">
        <v>104</v>
      </c>
      <c r="DH12" s="100">
        <v>105</v>
      </c>
      <c r="DI12" s="100">
        <v>106</v>
      </c>
      <c r="DJ12" s="100">
        <v>107</v>
      </c>
      <c r="DK12" s="100">
        <v>108</v>
      </c>
      <c r="DL12" s="100">
        <v>109</v>
      </c>
      <c r="DM12" s="100">
        <v>110</v>
      </c>
      <c r="DN12" s="100">
        <v>111</v>
      </c>
      <c r="DO12" s="100">
        <v>112</v>
      </c>
      <c r="DP12" s="100">
        <v>113</v>
      </c>
      <c r="DQ12" s="100">
        <v>114</v>
      </c>
      <c r="DR12" s="100">
        <v>115</v>
      </c>
      <c r="DS12" s="100">
        <v>116</v>
      </c>
      <c r="DT12" s="100">
        <v>117</v>
      </c>
      <c r="DU12" s="100">
        <v>118</v>
      </c>
      <c r="DV12" s="100">
        <v>119</v>
      </c>
      <c r="DW12" s="100">
        <v>120</v>
      </c>
      <c r="DX12" s="297">
        <v>121</v>
      </c>
      <c r="DY12" s="297">
        <v>122</v>
      </c>
      <c r="DZ12" s="297">
        <v>123</v>
      </c>
      <c r="EA12" s="297">
        <v>124</v>
      </c>
      <c r="EB12" s="297">
        <v>125</v>
      </c>
      <c r="EC12" s="297">
        <v>126</v>
      </c>
      <c r="ED12" s="308">
        <v>127</v>
      </c>
      <c r="EE12" s="308">
        <v>128</v>
      </c>
      <c r="EF12" s="308">
        <v>129</v>
      </c>
      <c r="EG12" s="308">
        <v>130</v>
      </c>
      <c r="EH12" s="308">
        <v>131</v>
      </c>
      <c r="EI12" s="308">
        <v>132</v>
      </c>
      <c r="EJ12" s="308">
        <v>133</v>
      </c>
      <c r="EK12" s="308">
        <v>134</v>
      </c>
      <c r="EL12" s="308">
        <v>135</v>
      </c>
      <c r="EM12" s="308">
        <v>136</v>
      </c>
      <c r="EN12" s="308">
        <v>137</v>
      </c>
      <c r="EO12" s="308">
        <v>138</v>
      </c>
      <c r="EP12" s="308">
        <v>139</v>
      </c>
      <c r="EQ12" s="308">
        <v>140</v>
      </c>
      <c r="ER12" s="308">
        <v>141</v>
      </c>
      <c r="ES12" s="308">
        <v>142</v>
      </c>
      <c r="ET12" s="308">
        <v>143</v>
      </c>
      <c r="EU12" s="308">
        <v>144</v>
      </c>
      <c r="EV12" s="308">
        <v>145</v>
      </c>
      <c r="EW12" s="308">
        <v>146</v>
      </c>
      <c r="EX12" s="308">
        <v>147</v>
      </c>
      <c r="EY12" s="308">
        <v>148</v>
      </c>
      <c r="EZ12" s="308">
        <v>149</v>
      </c>
      <c r="FA12" s="308">
        <v>150</v>
      </c>
      <c r="FB12" s="308">
        <v>151</v>
      </c>
      <c r="FC12" s="308">
        <v>152</v>
      </c>
      <c r="FD12" s="308">
        <v>153</v>
      </c>
      <c r="FE12" s="308">
        <v>154</v>
      </c>
      <c r="FF12" s="308">
        <v>155</v>
      </c>
      <c r="FG12" s="308">
        <v>156</v>
      </c>
      <c r="FH12" s="308">
        <v>157</v>
      </c>
      <c r="FI12" s="308">
        <v>158</v>
      </c>
      <c r="FJ12" s="308">
        <v>159</v>
      </c>
      <c r="FK12" s="308">
        <v>160</v>
      </c>
      <c r="FL12" s="308">
        <v>161</v>
      </c>
      <c r="FM12" s="308">
        <v>162</v>
      </c>
      <c r="FN12" s="308">
        <v>163</v>
      </c>
      <c r="FO12" s="308">
        <v>164</v>
      </c>
      <c r="FP12" s="308">
        <v>165</v>
      </c>
      <c r="FQ12" s="308">
        <v>166</v>
      </c>
      <c r="FR12" s="308">
        <v>167</v>
      </c>
      <c r="FS12" s="308">
        <v>168</v>
      </c>
      <c r="FT12" s="308">
        <v>169</v>
      </c>
      <c r="FU12" s="308">
        <v>170</v>
      </c>
      <c r="FV12" s="308">
        <v>171</v>
      </c>
      <c r="FW12" s="308">
        <v>172</v>
      </c>
      <c r="FX12" s="308">
        <v>173</v>
      </c>
      <c r="FY12" s="308">
        <v>174</v>
      </c>
      <c r="FZ12" s="308">
        <v>175</v>
      </c>
      <c r="GA12" s="308">
        <v>176</v>
      </c>
      <c r="GB12" s="308">
        <v>177</v>
      </c>
      <c r="GC12" s="308">
        <v>178</v>
      </c>
      <c r="GD12" s="308">
        <v>179</v>
      </c>
      <c r="GE12" s="308">
        <v>180</v>
      </c>
      <c r="GF12" s="308">
        <v>181</v>
      </c>
      <c r="GG12" s="308">
        <v>182</v>
      </c>
      <c r="GH12" s="308">
        <v>183</v>
      </c>
      <c r="GI12" s="308">
        <v>184</v>
      </c>
      <c r="GJ12" s="308">
        <v>185</v>
      </c>
      <c r="GK12" s="308">
        <v>186</v>
      </c>
      <c r="GL12" s="308">
        <v>187</v>
      </c>
      <c r="GM12" s="308">
        <v>188</v>
      </c>
      <c r="GN12" s="308">
        <v>189</v>
      </c>
      <c r="GO12" s="308">
        <v>190</v>
      </c>
      <c r="GP12" s="308">
        <v>191</v>
      </c>
      <c r="GQ12" s="308">
        <v>192</v>
      </c>
      <c r="GR12" s="308">
        <v>193</v>
      </c>
      <c r="GS12" s="308">
        <v>194</v>
      </c>
      <c r="GT12" s="308">
        <v>195</v>
      </c>
      <c r="GU12" s="308">
        <v>196</v>
      </c>
      <c r="GV12" s="308">
        <v>197</v>
      </c>
      <c r="GW12" s="308">
        <v>198</v>
      </c>
      <c r="GX12" s="308">
        <v>199</v>
      </c>
      <c r="GY12" s="308">
        <v>200</v>
      </c>
      <c r="GZ12" s="308">
        <v>201</v>
      </c>
      <c r="HA12" s="308">
        <v>202</v>
      </c>
      <c r="HB12" s="308">
        <v>203</v>
      </c>
      <c r="HC12" s="308">
        <v>204</v>
      </c>
      <c r="HD12" s="308">
        <v>205</v>
      </c>
      <c r="HE12" s="308">
        <v>206</v>
      </c>
      <c r="HF12" s="308">
        <v>207</v>
      </c>
      <c r="HG12" s="308">
        <v>208</v>
      </c>
      <c r="HH12" s="308">
        <v>209</v>
      </c>
      <c r="HI12" s="308">
        <v>210</v>
      </c>
      <c r="HJ12" s="308">
        <v>211</v>
      </c>
      <c r="HK12" s="308">
        <v>212</v>
      </c>
      <c r="HL12" s="308">
        <v>213</v>
      </c>
      <c r="HM12" s="308">
        <v>214</v>
      </c>
      <c r="HN12" s="308">
        <v>215</v>
      </c>
      <c r="HO12" s="308">
        <v>216</v>
      </c>
      <c r="HP12" s="308">
        <v>217</v>
      </c>
      <c r="HQ12" s="308">
        <v>218</v>
      </c>
      <c r="HR12" s="308">
        <v>219</v>
      </c>
      <c r="HS12" s="308">
        <v>220</v>
      </c>
      <c r="HT12" s="308">
        <v>221</v>
      </c>
      <c r="HU12" s="308">
        <v>222</v>
      </c>
      <c r="HV12" s="308">
        <v>223</v>
      </c>
      <c r="HW12" s="308">
        <v>224</v>
      </c>
      <c r="HX12" s="308">
        <v>225</v>
      </c>
      <c r="HY12" s="308">
        <v>226</v>
      </c>
      <c r="HZ12" s="308">
        <v>227</v>
      </c>
      <c r="IA12" s="308">
        <v>228</v>
      </c>
      <c r="IB12" s="308">
        <v>229</v>
      </c>
      <c r="IC12" s="308">
        <v>230</v>
      </c>
      <c r="ID12" s="308">
        <v>231</v>
      </c>
      <c r="IE12" s="308">
        <v>232</v>
      </c>
      <c r="IF12" s="308">
        <v>233</v>
      </c>
      <c r="IG12" s="308">
        <v>234</v>
      </c>
      <c r="IH12" s="308">
        <v>235</v>
      </c>
      <c r="II12" s="308">
        <v>236</v>
      </c>
      <c r="IJ12" s="308">
        <v>237</v>
      </c>
      <c r="IK12" s="308">
        <v>238</v>
      </c>
      <c r="IL12" s="308">
        <v>239</v>
      </c>
      <c r="IM12" s="308">
        <v>240</v>
      </c>
      <c r="IN12" s="308">
        <v>241</v>
      </c>
      <c r="IO12" s="308">
        <v>242</v>
      </c>
      <c r="IP12" s="308">
        <v>243</v>
      </c>
      <c r="IQ12" s="308">
        <v>244</v>
      </c>
      <c r="IR12" s="308">
        <v>245</v>
      </c>
      <c r="IS12" s="308">
        <v>246</v>
      </c>
      <c r="IT12" s="308">
        <v>247</v>
      </c>
      <c r="IU12" s="308">
        <v>248</v>
      </c>
      <c r="IV12" s="308">
        <v>249</v>
      </c>
      <c r="IW12" s="308">
        <v>250</v>
      </c>
      <c r="IX12" s="308">
        <v>251</v>
      </c>
      <c r="IY12" s="308">
        <v>252</v>
      </c>
      <c r="IZ12" s="308">
        <v>253</v>
      </c>
      <c r="JA12" s="308">
        <v>254</v>
      </c>
      <c r="JB12" s="308">
        <v>255</v>
      </c>
      <c r="JC12" s="308">
        <v>256</v>
      </c>
      <c r="JD12" s="308">
        <v>257</v>
      </c>
      <c r="JE12" s="308">
        <v>258</v>
      </c>
      <c r="JF12" s="308">
        <v>259</v>
      </c>
      <c r="JG12" s="308">
        <v>260</v>
      </c>
      <c r="JH12" s="308">
        <v>261</v>
      </c>
      <c r="JI12" s="308">
        <v>262</v>
      </c>
      <c r="JJ12" s="308">
        <v>263</v>
      </c>
      <c r="JK12" s="308">
        <v>264</v>
      </c>
      <c r="JL12" s="308">
        <v>265</v>
      </c>
      <c r="JM12" s="308">
        <v>266</v>
      </c>
      <c r="JN12" s="308">
        <v>267</v>
      </c>
      <c r="JO12" s="308">
        <v>268</v>
      </c>
      <c r="JP12" s="308">
        <v>269</v>
      </c>
      <c r="JQ12" s="308">
        <v>270</v>
      </c>
      <c r="JR12" s="308">
        <v>271</v>
      </c>
      <c r="JS12" s="308">
        <v>272</v>
      </c>
      <c r="JT12" s="308">
        <v>273</v>
      </c>
      <c r="JU12" s="308">
        <v>274</v>
      </c>
      <c r="JV12" s="308">
        <v>275</v>
      </c>
      <c r="JW12" s="308">
        <v>276</v>
      </c>
      <c r="JX12" s="308">
        <v>277</v>
      </c>
      <c r="JY12" s="308">
        <v>278</v>
      </c>
      <c r="JZ12" s="308">
        <v>279</v>
      </c>
      <c r="KA12" s="308">
        <v>280</v>
      </c>
      <c r="KB12" s="308">
        <v>281</v>
      </c>
      <c r="KC12" s="308">
        <v>282</v>
      </c>
      <c r="KD12" s="308">
        <v>283</v>
      </c>
      <c r="KE12" s="308">
        <v>284</v>
      </c>
      <c r="KF12" s="308">
        <v>285</v>
      </c>
      <c r="KG12" s="308">
        <v>286</v>
      </c>
      <c r="KH12" s="308">
        <v>287</v>
      </c>
      <c r="KI12" s="308">
        <v>288</v>
      </c>
      <c r="KJ12" s="308">
        <v>289</v>
      </c>
      <c r="KK12" s="308">
        <v>290</v>
      </c>
      <c r="KL12" s="308">
        <v>291</v>
      </c>
      <c r="KM12" s="308">
        <v>292</v>
      </c>
      <c r="KN12" s="308">
        <v>293</v>
      </c>
      <c r="KO12" s="308">
        <v>294</v>
      </c>
      <c r="KP12" s="308">
        <v>295</v>
      </c>
      <c r="KQ12" s="308">
        <v>296</v>
      </c>
      <c r="KR12" s="308">
        <v>297</v>
      </c>
      <c r="KS12" s="308">
        <v>298</v>
      </c>
      <c r="KT12" s="308">
        <v>299</v>
      </c>
      <c r="KU12" s="308">
        <v>300</v>
      </c>
      <c r="KV12" s="308">
        <v>301</v>
      </c>
      <c r="KW12" s="308">
        <v>302</v>
      </c>
      <c r="KX12" s="308">
        <v>303</v>
      </c>
      <c r="KY12" s="308">
        <v>304</v>
      </c>
      <c r="KZ12" s="308">
        <v>305</v>
      </c>
      <c r="LA12" s="308">
        <v>306</v>
      </c>
      <c r="LB12" s="308">
        <v>307</v>
      </c>
      <c r="LC12" s="308">
        <v>308</v>
      </c>
      <c r="LD12" s="308">
        <v>309</v>
      </c>
      <c r="LE12" s="308">
        <v>310</v>
      </c>
      <c r="LF12" s="308">
        <v>311</v>
      </c>
      <c r="LG12" s="308">
        <v>312</v>
      </c>
      <c r="LH12" s="308">
        <v>313</v>
      </c>
      <c r="LI12" s="308">
        <v>314</v>
      </c>
      <c r="LJ12" s="308">
        <v>315</v>
      </c>
      <c r="LK12" s="308">
        <v>316</v>
      </c>
      <c r="LL12" s="308">
        <v>317</v>
      </c>
      <c r="LM12" s="308">
        <v>318</v>
      </c>
      <c r="LN12" s="308">
        <v>319</v>
      </c>
      <c r="LO12" s="308">
        <v>320</v>
      </c>
      <c r="LP12" s="308">
        <v>321</v>
      </c>
      <c r="LQ12" s="308">
        <v>322</v>
      </c>
      <c r="LR12" s="308">
        <v>323</v>
      </c>
      <c r="LS12" s="308">
        <v>324</v>
      </c>
      <c r="LT12" s="308">
        <v>325</v>
      </c>
      <c r="LU12" s="308">
        <v>326</v>
      </c>
      <c r="LV12" s="308">
        <v>327</v>
      </c>
      <c r="LW12" s="308">
        <v>328</v>
      </c>
      <c r="LX12" s="308">
        <v>329</v>
      </c>
      <c r="LY12" s="308">
        <v>330</v>
      </c>
      <c r="LZ12" s="308">
        <v>331</v>
      </c>
      <c r="MA12" s="308">
        <v>332</v>
      </c>
      <c r="MB12" s="308">
        <v>333</v>
      </c>
      <c r="MC12" s="308">
        <v>334</v>
      </c>
      <c r="MD12" s="308">
        <v>335</v>
      </c>
      <c r="ME12" s="308">
        <v>336</v>
      </c>
      <c r="MF12" s="308">
        <v>337</v>
      </c>
      <c r="MG12" s="308">
        <v>338</v>
      </c>
      <c r="MH12" s="308">
        <v>339</v>
      </c>
      <c r="MI12" s="308">
        <v>340</v>
      </c>
      <c r="MJ12" s="308">
        <v>341</v>
      </c>
      <c r="MK12" s="308">
        <v>342</v>
      </c>
      <c r="ML12" s="308">
        <v>343</v>
      </c>
      <c r="MM12" s="308">
        <v>344</v>
      </c>
      <c r="MN12" s="308">
        <v>345</v>
      </c>
      <c r="MO12" s="308">
        <v>346</v>
      </c>
      <c r="MP12" s="308">
        <v>347</v>
      </c>
      <c r="MQ12" s="308">
        <v>348</v>
      </c>
      <c r="MR12" s="308">
        <v>349</v>
      </c>
      <c r="MS12" s="308">
        <v>350</v>
      </c>
      <c r="MT12" s="308">
        <v>351</v>
      </c>
      <c r="MU12" s="308">
        <v>352</v>
      </c>
      <c r="MV12" s="308">
        <v>353</v>
      </c>
      <c r="MW12" s="308">
        <v>354</v>
      </c>
      <c r="MX12" s="308">
        <v>355</v>
      </c>
      <c r="MY12" s="308">
        <v>356</v>
      </c>
      <c r="MZ12" s="308">
        <v>357</v>
      </c>
      <c r="NA12" s="308">
        <v>358</v>
      </c>
      <c r="NB12" s="308">
        <v>359</v>
      </c>
      <c r="NC12" s="308">
        <v>360</v>
      </c>
      <c r="ND12" s="308">
        <v>361</v>
      </c>
      <c r="NE12" s="308">
        <v>362</v>
      </c>
      <c r="NF12" s="308">
        <v>363</v>
      </c>
      <c r="NG12" s="308">
        <v>364</v>
      </c>
      <c r="NH12" s="308">
        <v>365</v>
      </c>
    </row>
    <row r="13" spans="2:372" ht="15" customHeight="1" x14ac:dyDescent="0.25">
      <c r="B13" s="65">
        <v>1</v>
      </c>
      <c r="C13" s="614" t="s">
        <v>525</v>
      </c>
      <c r="D13" s="615"/>
      <c r="E13" s="66">
        <f>MIN(E14:F74)</f>
        <v>1</v>
      </c>
      <c r="F13" s="66">
        <f>MAX(E14:F74)</f>
        <v>365</v>
      </c>
      <c r="G13" s="66">
        <f>F13-E13+1</f>
        <v>365</v>
      </c>
    </row>
    <row r="14" spans="2:372" s="3" customFormat="1" ht="15" customHeight="1" x14ac:dyDescent="0.25">
      <c r="B14" s="10" t="s">
        <v>316</v>
      </c>
      <c r="C14" s="610" t="s">
        <v>528</v>
      </c>
      <c r="D14" s="611"/>
      <c r="E14" s="66">
        <f>MIN(E15:F28)</f>
        <v>1</v>
      </c>
      <c r="F14" s="66">
        <f>MAX(E15:F28)</f>
        <v>57</v>
      </c>
      <c r="G14" s="66">
        <f>F14-E14+1</f>
        <v>57</v>
      </c>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c r="IV14" s="2"/>
      <c r="IW14" s="2"/>
      <c r="IX14" s="2"/>
      <c r="IY14" s="2"/>
      <c r="IZ14" s="2"/>
      <c r="JA14" s="2"/>
      <c r="JB14" s="2"/>
      <c r="JC14" s="2"/>
      <c r="JD14" s="2"/>
      <c r="JE14" s="2"/>
      <c r="JF14" s="2"/>
      <c r="JG14" s="2"/>
      <c r="JH14" s="2"/>
      <c r="JI14" s="2"/>
      <c r="JJ14" s="2"/>
      <c r="JK14" s="2"/>
      <c r="JL14" s="2"/>
      <c r="JM14" s="2"/>
      <c r="JN14" s="2"/>
      <c r="JO14" s="2"/>
      <c r="JP14" s="2"/>
      <c r="JQ14" s="2"/>
      <c r="JR14" s="2"/>
      <c r="JS14" s="2"/>
      <c r="JT14" s="2"/>
      <c r="JU14" s="2"/>
      <c r="JV14" s="2"/>
      <c r="JW14" s="2"/>
      <c r="JX14" s="2"/>
      <c r="JY14" s="2"/>
      <c r="JZ14" s="2"/>
      <c r="KA14" s="2"/>
      <c r="KB14" s="2"/>
      <c r="KC14" s="2"/>
      <c r="KD14" s="2"/>
      <c r="KE14" s="2"/>
      <c r="KF14" s="2"/>
      <c r="KG14" s="2"/>
      <c r="KH14" s="2"/>
      <c r="KI14" s="2"/>
      <c r="KJ14" s="2"/>
      <c r="KK14" s="2"/>
      <c r="KL14" s="2"/>
      <c r="KM14" s="2"/>
      <c r="KN14" s="2"/>
      <c r="KO14" s="2"/>
      <c r="KP14" s="2"/>
      <c r="KQ14" s="2"/>
      <c r="KR14" s="2"/>
      <c r="KS14" s="2"/>
      <c r="KT14" s="2"/>
      <c r="KU14" s="2"/>
      <c r="KV14" s="2"/>
      <c r="KW14" s="2"/>
      <c r="KX14" s="2"/>
      <c r="KY14" s="2"/>
      <c r="KZ14" s="2"/>
      <c r="LA14" s="2"/>
      <c r="LB14" s="2"/>
      <c r="LC14" s="2"/>
      <c r="LD14" s="2"/>
      <c r="LE14" s="2"/>
      <c r="LF14" s="2"/>
      <c r="LG14" s="2"/>
      <c r="LH14" s="2"/>
      <c r="LI14" s="2"/>
      <c r="LJ14" s="2"/>
      <c r="LK14" s="2"/>
      <c r="LL14" s="2"/>
      <c r="LM14" s="2"/>
      <c r="LN14" s="2"/>
      <c r="LO14" s="2"/>
      <c r="LP14" s="2"/>
      <c r="LQ14" s="2"/>
      <c r="LR14" s="2"/>
      <c r="LS14" s="2"/>
      <c r="LT14" s="2"/>
      <c r="LU14" s="2"/>
      <c r="LV14" s="2"/>
      <c r="LW14" s="2"/>
      <c r="LX14" s="2"/>
      <c r="LY14" s="2"/>
      <c r="LZ14" s="2"/>
      <c r="MA14" s="2"/>
      <c r="MB14" s="2"/>
      <c r="MC14" s="2"/>
      <c r="MD14" s="2"/>
      <c r="ME14" s="2"/>
      <c r="MF14" s="2"/>
      <c r="MG14" s="2"/>
      <c r="MH14" s="2"/>
      <c r="MI14" s="2"/>
      <c r="MJ14" s="2"/>
      <c r="MK14" s="2"/>
      <c r="ML14" s="2"/>
      <c r="MM14" s="2"/>
      <c r="MN14" s="2"/>
      <c r="MO14" s="2"/>
      <c r="MP14" s="2"/>
      <c r="MQ14" s="2"/>
      <c r="MR14" s="2"/>
      <c r="MS14" s="2"/>
      <c r="MT14" s="2"/>
      <c r="MU14" s="2"/>
      <c r="MV14" s="2"/>
      <c r="MW14" s="2"/>
      <c r="MX14" s="2"/>
      <c r="MY14" s="2"/>
      <c r="MZ14" s="2"/>
      <c r="NA14" s="2"/>
      <c r="NB14" s="2"/>
      <c r="NC14" s="2"/>
      <c r="ND14" s="2"/>
      <c r="NE14" s="2"/>
      <c r="NF14" s="2"/>
      <c r="NG14" s="2"/>
      <c r="NH14" s="2"/>
    </row>
    <row r="15" spans="2:372" s="3" customFormat="1" ht="15" customHeight="1" x14ac:dyDescent="0.25">
      <c r="B15" s="233" t="s">
        <v>482</v>
      </c>
      <c r="C15" s="589" t="s">
        <v>206</v>
      </c>
      <c r="D15" s="590"/>
      <c r="E15" s="56">
        <v>1</v>
      </c>
      <c r="F15" s="190">
        <f t="shared" ref="F15:F21" si="0">E15+G15-1</f>
        <v>2</v>
      </c>
      <c r="G15" s="56">
        <f>'Memo calc'!D25</f>
        <v>2</v>
      </c>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c r="IX15" s="2"/>
      <c r="IY15" s="2"/>
      <c r="IZ15" s="2"/>
      <c r="JA15" s="2"/>
      <c r="JB15" s="2"/>
      <c r="JC15" s="2"/>
      <c r="JD15" s="2"/>
      <c r="JE15" s="2"/>
      <c r="JF15" s="2"/>
      <c r="JG15" s="2"/>
      <c r="JH15" s="2"/>
      <c r="JI15" s="2"/>
      <c r="JJ15" s="2"/>
      <c r="JK15" s="2"/>
      <c r="JL15" s="2"/>
      <c r="JM15" s="2"/>
      <c r="JN15" s="2"/>
      <c r="JO15" s="2"/>
      <c r="JP15" s="2"/>
      <c r="JQ15" s="2"/>
      <c r="JR15" s="2"/>
      <c r="JS15" s="2"/>
      <c r="JT15" s="2"/>
      <c r="JU15" s="2"/>
      <c r="JV15" s="2"/>
      <c r="JW15" s="2"/>
      <c r="JX15" s="2"/>
      <c r="JY15" s="2"/>
      <c r="JZ15" s="2"/>
      <c r="KA15" s="2"/>
      <c r="KB15" s="2"/>
      <c r="KC15" s="2"/>
      <c r="KD15" s="2"/>
      <c r="KE15" s="2"/>
      <c r="KF15" s="2"/>
      <c r="KG15" s="2"/>
      <c r="KH15" s="2"/>
      <c r="KI15" s="2"/>
      <c r="KJ15" s="2"/>
      <c r="KK15" s="2"/>
      <c r="KL15" s="2"/>
      <c r="KM15" s="2"/>
      <c r="KN15" s="2"/>
      <c r="KO15" s="2"/>
      <c r="KP15" s="2"/>
      <c r="KQ15" s="2"/>
      <c r="KR15" s="2"/>
      <c r="KS15" s="2"/>
      <c r="KT15" s="2"/>
      <c r="KU15" s="2"/>
      <c r="KV15" s="2"/>
      <c r="KW15" s="2"/>
      <c r="KX15" s="2"/>
      <c r="KY15" s="2"/>
      <c r="KZ15" s="2"/>
      <c r="LA15" s="2"/>
      <c r="LB15" s="2"/>
      <c r="LC15" s="2"/>
      <c r="LD15" s="2"/>
      <c r="LE15" s="2"/>
      <c r="LF15" s="2"/>
      <c r="LG15" s="2"/>
      <c r="LH15" s="2"/>
      <c r="LI15" s="2"/>
      <c r="LJ15" s="2"/>
      <c r="LK15" s="2"/>
      <c r="LL15" s="2"/>
      <c r="LM15" s="2"/>
      <c r="LN15" s="2"/>
      <c r="LO15" s="2"/>
      <c r="LP15" s="2"/>
      <c r="LQ15" s="2"/>
      <c r="LR15" s="2"/>
      <c r="LS15" s="2"/>
      <c r="LT15" s="2"/>
      <c r="LU15" s="2"/>
      <c r="LV15" s="2"/>
      <c r="LW15" s="2"/>
      <c r="LX15" s="2"/>
      <c r="LY15" s="2"/>
      <c r="LZ15" s="2"/>
      <c r="MA15" s="2"/>
      <c r="MB15" s="2"/>
      <c r="MC15" s="2"/>
      <c r="MD15" s="2"/>
      <c r="ME15" s="2"/>
      <c r="MF15" s="2"/>
      <c r="MG15" s="2"/>
      <c r="MH15" s="2"/>
      <c r="MI15" s="2"/>
      <c r="MJ15" s="2"/>
      <c r="MK15" s="2"/>
      <c r="ML15" s="2"/>
      <c r="MM15" s="2"/>
      <c r="MN15" s="2"/>
      <c r="MO15" s="2"/>
      <c r="MP15" s="2"/>
      <c r="MQ15" s="2"/>
      <c r="MR15" s="2"/>
      <c r="MS15" s="2"/>
      <c r="MT15" s="2"/>
      <c r="MU15" s="2"/>
      <c r="MV15" s="2"/>
      <c r="MW15" s="2"/>
      <c r="MX15" s="2"/>
      <c r="MY15" s="2"/>
      <c r="MZ15" s="2"/>
      <c r="NA15" s="2"/>
      <c r="NB15" s="2"/>
      <c r="NC15" s="2"/>
      <c r="ND15" s="2"/>
      <c r="NE15" s="2"/>
      <c r="NF15" s="2"/>
      <c r="NG15" s="2"/>
      <c r="NH15" s="2"/>
    </row>
    <row r="16" spans="2:372" s="3" customFormat="1" ht="15" customHeight="1" x14ac:dyDescent="0.25">
      <c r="B16" s="233" t="s">
        <v>428</v>
      </c>
      <c r="C16" s="589" t="s">
        <v>721</v>
      </c>
      <c r="D16" s="590"/>
      <c r="E16" s="102">
        <f>MIN(E17:F18)</f>
        <v>3</v>
      </c>
      <c r="F16" s="102">
        <f>MAX(E17:F18)</f>
        <v>8</v>
      </c>
      <c r="G16" s="102">
        <f>F16-E16+1</f>
        <v>6</v>
      </c>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row>
    <row r="17" spans="2:372" s="3" customFormat="1" ht="15" customHeight="1" x14ac:dyDescent="0.25">
      <c r="B17" s="234" t="s">
        <v>429</v>
      </c>
      <c r="C17" s="612" t="s">
        <v>780</v>
      </c>
      <c r="D17" s="613"/>
      <c r="E17" s="67">
        <v>3</v>
      </c>
      <c r="F17" s="67">
        <f>E17+G17-1</f>
        <v>5</v>
      </c>
      <c r="G17" s="67">
        <f>'Memo calc'!K70</f>
        <v>3</v>
      </c>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c r="IV17" s="2"/>
      <c r="IW17" s="2"/>
      <c r="IX17" s="2"/>
      <c r="IY17" s="2"/>
      <c r="IZ17" s="2"/>
      <c r="JA17" s="2"/>
      <c r="JB17" s="2"/>
      <c r="JC17" s="2"/>
      <c r="JD17" s="2"/>
      <c r="JE17" s="2"/>
      <c r="JF17" s="2"/>
      <c r="JG17" s="2"/>
      <c r="JH17" s="2"/>
      <c r="JI17" s="2"/>
      <c r="JJ17" s="2"/>
      <c r="JK17" s="2"/>
      <c r="JL17" s="2"/>
      <c r="JM17" s="2"/>
      <c r="JN17" s="2"/>
      <c r="JO17" s="2"/>
      <c r="JP17" s="2"/>
      <c r="JQ17" s="2"/>
      <c r="JR17" s="2"/>
      <c r="JS17" s="2"/>
      <c r="JT17" s="2"/>
      <c r="JU17" s="2"/>
      <c r="JV17" s="2"/>
      <c r="JW17" s="2"/>
      <c r="JX17" s="2"/>
      <c r="JY17" s="2"/>
      <c r="JZ17" s="2"/>
      <c r="KA17" s="2"/>
      <c r="KB17" s="2"/>
      <c r="KC17" s="2"/>
      <c r="KD17" s="2"/>
      <c r="KE17" s="2"/>
      <c r="KF17" s="2"/>
      <c r="KG17" s="2"/>
      <c r="KH17" s="2"/>
      <c r="KI17" s="2"/>
      <c r="KJ17" s="2"/>
      <c r="KK17" s="2"/>
      <c r="KL17" s="2"/>
      <c r="KM17" s="2"/>
      <c r="KN17" s="2"/>
      <c r="KO17" s="2"/>
      <c r="KP17" s="2"/>
      <c r="KQ17" s="2"/>
      <c r="KR17" s="2"/>
      <c r="KS17" s="2"/>
      <c r="KT17" s="2"/>
      <c r="KU17" s="2"/>
      <c r="KV17" s="2"/>
      <c r="KW17" s="2"/>
      <c r="KX17" s="2"/>
      <c r="KY17" s="2"/>
      <c r="KZ17" s="2"/>
      <c r="LA17" s="2"/>
      <c r="LB17" s="2"/>
      <c r="LC17" s="2"/>
      <c r="LD17" s="2"/>
      <c r="LE17" s="2"/>
      <c r="LF17" s="2"/>
      <c r="LG17" s="2"/>
      <c r="LH17" s="2"/>
      <c r="LI17" s="2"/>
      <c r="LJ17" s="2"/>
      <c r="LK17" s="2"/>
      <c r="LL17" s="2"/>
      <c r="LM17" s="2"/>
      <c r="LN17" s="2"/>
      <c r="LO17" s="2"/>
      <c r="LP17" s="2"/>
      <c r="LQ17" s="2"/>
      <c r="LR17" s="2"/>
      <c r="LS17" s="2"/>
      <c r="LT17" s="2"/>
      <c r="LU17" s="2"/>
      <c r="LV17" s="2"/>
      <c r="LW17" s="2"/>
      <c r="LX17" s="2"/>
      <c r="LY17" s="2"/>
      <c r="LZ17" s="2"/>
      <c r="MA17" s="2"/>
      <c r="MB17" s="2"/>
      <c r="MC17" s="2"/>
      <c r="MD17" s="2"/>
      <c r="ME17" s="2"/>
      <c r="MF17" s="2"/>
      <c r="MG17" s="2"/>
      <c r="MH17" s="2"/>
      <c r="MI17" s="2"/>
      <c r="MJ17" s="2"/>
      <c r="MK17" s="2"/>
      <c r="ML17" s="2"/>
      <c r="MM17" s="2"/>
      <c r="MN17" s="2"/>
      <c r="MO17" s="2"/>
      <c r="MP17" s="2"/>
      <c r="MQ17" s="2"/>
      <c r="MR17" s="2"/>
      <c r="MS17" s="2"/>
      <c r="MT17" s="2"/>
      <c r="MU17" s="2"/>
      <c r="MV17" s="2"/>
      <c r="MW17" s="2"/>
      <c r="MX17" s="2"/>
      <c r="MY17" s="2"/>
      <c r="MZ17" s="2"/>
      <c r="NA17" s="2"/>
      <c r="NB17" s="2"/>
      <c r="NC17" s="2"/>
      <c r="ND17" s="2"/>
      <c r="NE17" s="2"/>
      <c r="NF17" s="2"/>
      <c r="NG17" s="2"/>
      <c r="NH17" s="2"/>
    </row>
    <row r="18" spans="2:372" s="3" customFormat="1" ht="15" customHeight="1" x14ac:dyDescent="0.25">
      <c r="B18" s="234" t="s">
        <v>440</v>
      </c>
      <c r="C18" s="612" t="s">
        <v>781</v>
      </c>
      <c r="D18" s="613"/>
      <c r="E18" s="67">
        <f>F17+1</f>
        <v>6</v>
      </c>
      <c r="F18" s="67">
        <f>E18+G18-1</f>
        <v>8</v>
      </c>
      <c r="G18" s="67">
        <f>'Memo calc'!L152</f>
        <v>3</v>
      </c>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c r="IW18" s="2"/>
      <c r="IX18" s="2"/>
      <c r="IY18" s="2"/>
      <c r="IZ18" s="2"/>
      <c r="JA18" s="2"/>
      <c r="JB18" s="2"/>
      <c r="JC18" s="2"/>
      <c r="JD18" s="2"/>
      <c r="JE18" s="2"/>
      <c r="JF18" s="2"/>
      <c r="JG18" s="2"/>
      <c r="JH18" s="2"/>
      <c r="JI18" s="2"/>
      <c r="JJ18" s="2"/>
      <c r="JK18" s="2"/>
      <c r="JL18" s="2"/>
      <c r="JM18" s="2"/>
      <c r="JN18" s="2"/>
      <c r="JO18" s="2"/>
      <c r="JP18" s="2"/>
      <c r="JQ18" s="2"/>
      <c r="JR18" s="2"/>
      <c r="JS18" s="2"/>
      <c r="JT18" s="2"/>
      <c r="JU18" s="2"/>
      <c r="JV18" s="2"/>
      <c r="JW18" s="2"/>
      <c r="JX18" s="2"/>
      <c r="JY18" s="2"/>
      <c r="JZ18" s="2"/>
      <c r="KA18" s="2"/>
      <c r="KB18" s="2"/>
      <c r="KC18" s="2"/>
      <c r="KD18" s="2"/>
      <c r="KE18" s="2"/>
      <c r="KF18" s="2"/>
      <c r="KG18" s="2"/>
      <c r="KH18" s="2"/>
      <c r="KI18" s="2"/>
      <c r="KJ18" s="2"/>
      <c r="KK18" s="2"/>
      <c r="KL18" s="2"/>
      <c r="KM18" s="2"/>
      <c r="KN18" s="2"/>
      <c r="KO18" s="2"/>
      <c r="KP18" s="2"/>
      <c r="KQ18" s="2"/>
      <c r="KR18" s="2"/>
      <c r="KS18" s="2"/>
      <c r="KT18" s="2"/>
      <c r="KU18" s="2"/>
      <c r="KV18" s="2"/>
      <c r="KW18" s="2"/>
      <c r="KX18" s="2"/>
      <c r="KY18" s="2"/>
      <c r="KZ18" s="2"/>
      <c r="LA18" s="2"/>
      <c r="LB18" s="2"/>
      <c r="LC18" s="2"/>
      <c r="LD18" s="2"/>
      <c r="LE18" s="2"/>
      <c r="LF18" s="2"/>
      <c r="LG18" s="2"/>
      <c r="LH18" s="2"/>
      <c r="LI18" s="2"/>
      <c r="LJ18" s="2"/>
      <c r="LK18" s="2"/>
      <c r="LL18" s="2"/>
      <c r="LM18" s="2"/>
      <c r="LN18" s="2"/>
      <c r="LO18" s="2"/>
      <c r="LP18" s="2"/>
      <c r="LQ18" s="2"/>
      <c r="LR18" s="2"/>
      <c r="LS18" s="2"/>
      <c r="LT18" s="2"/>
      <c r="LU18" s="2"/>
      <c r="LV18" s="2"/>
      <c r="LW18" s="2"/>
      <c r="LX18" s="2"/>
      <c r="LY18" s="2"/>
      <c r="LZ18" s="2"/>
      <c r="MA18" s="2"/>
      <c r="MB18" s="2"/>
      <c r="MC18" s="2"/>
      <c r="MD18" s="2"/>
      <c r="ME18" s="2"/>
      <c r="MF18" s="2"/>
      <c r="MG18" s="2"/>
      <c r="MH18" s="2"/>
      <c r="MI18" s="2"/>
      <c r="MJ18" s="2"/>
      <c r="MK18" s="2"/>
      <c r="ML18" s="2"/>
      <c r="MM18" s="2"/>
      <c r="MN18" s="2"/>
      <c r="MO18" s="2"/>
      <c r="MP18" s="2"/>
      <c r="MQ18" s="2"/>
      <c r="MR18" s="2"/>
      <c r="MS18" s="2"/>
      <c r="MT18" s="2"/>
      <c r="MU18" s="2"/>
      <c r="MV18" s="2"/>
      <c r="MW18" s="2"/>
      <c r="MX18" s="2"/>
      <c r="MY18" s="2"/>
      <c r="MZ18" s="2"/>
      <c r="NA18" s="2"/>
      <c r="NB18" s="2"/>
      <c r="NC18" s="2"/>
      <c r="ND18" s="2"/>
      <c r="NE18" s="2"/>
      <c r="NF18" s="2"/>
      <c r="NG18" s="2"/>
      <c r="NH18" s="2"/>
    </row>
    <row r="19" spans="2:372" s="3" customFormat="1" ht="15" customHeight="1" x14ac:dyDescent="0.25">
      <c r="B19" s="233" t="s">
        <v>483</v>
      </c>
      <c r="C19" s="589" t="s">
        <v>209</v>
      </c>
      <c r="D19" s="590"/>
      <c r="E19" s="56">
        <f>G15+1</f>
        <v>3</v>
      </c>
      <c r="F19" s="56">
        <f t="shared" si="0"/>
        <v>4</v>
      </c>
      <c r="G19" s="56">
        <f>'Memo calc'!H197</f>
        <v>2</v>
      </c>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c r="IW19" s="2"/>
      <c r="IX19" s="2"/>
      <c r="IY19" s="2"/>
      <c r="IZ19" s="2"/>
      <c r="JA19" s="2"/>
      <c r="JB19" s="2"/>
      <c r="JC19" s="2"/>
      <c r="JD19" s="2"/>
      <c r="JE19" s="2"/>
      <c r="JF19" s="2"/>
      <c r="JG19" s="2"/>
      <c r="JH19" s="2"/>
      <c r="JI19" s="2"/>
      <c r="JJ19" s="2"/>
      <c r="JK19" s="2"/>
      <c r="JL19" s="2"/>
      <c r="JM19" s="2"/>
      <c r="JN19" s="2"/>
      <c r="JO19" s="2"/>
      <c r="JP19" s="2"/>
      <c r="JQ19" s="2"/>
      <c r="JR19" s="2"/>
      <c r="JS19" s="2"/>
      <c r="JT19" s="2"/>
      <c r="JU19" s="2"/>
      <c r="JV19" s="2"/>
      <c r="JW19" s="2"/>
      <c r="JX19" s="2"/>
      <c r="JY19" s="2"/>
      <c r="JZ19" s="2"/>
      <c r="KA19" s="2"/>
      <c r="KB19" s="2"/>
      <c r="KC19" s="2"/>
      <c r="KD19" s="2"/>
      <c r="KE19" s="2"/>
      <c r="KF19" s="2"/>
      <c r="KG19" s="2"/>
      <c r="KH19" s="2"/>
      <c r="KI19" s="2"/>
      <c r="KJ19" s="2"/>
      <c r="KK19" s="2"/>
      <c r="KL19" s="2"/>
      <c r="KM19" s="2"/>
      <c r="KN19" s="2"/>
      <c r="KO19" s="2"/>
      <c r="KP19" s="2"/>
      <c r="KQ19" s="2"/>
      <c r="KR19" s="2"/>
      <c r="KS19" s="2"/>
      <c r="KT19" s="2"/>
      <c r="KU19" s="2"/>
      <c r="KV19" s="2"/>
      <c r="KW19" s="2"/>
      <c r="KX19" s="2"/>
      <c r="KY19" s="2"/>
      <c r="KZ19" s="2"/>
      <c r="LA19" s="2"/>
      <c r="LB19" s="2"/>
      <c r="LC19" s="2"/>
      <c r="LD19" s="2"/>
      <c r="LE19" s="2"/>
      <c r="LF19" s="2"/>
      <c r="LG19" s="2"/>
      <c r="LH19" s="2"/>
      <c r="LI19" s="2"/>
      <c r="LJ19" s="2"/>
      <c r="LK19" s="2"/>
      <c r="LL19" s="2"/>
      <c r="LM19" s="2"/>
      <c r="LN19" s="2"/>
      <c r="LO19" s="2"/>
      <c r="LP19" s="2"/>
      <c r="LQ19" s="2"/>
      <c r="LR19" s="2"/>
      <c r="LS19" s="2"/>
      <c r="LT19" s="2"/>
      <c r="LU19" s="2"/>
      <c r="LV19" s="2"/>
      <c r="LW19" s="2"/>
      <c r="LX19" s="2"/>
      <c r="LY19" s="2"/>
      <c r="LZ19" s="2"/>
      <c r="MA19" s="2"/>
      <c r="MB19" s="2"/>
      <c r="MC19" s="2"/>
      <c r="MD19" s="2"/>
      <c r="ME19" s="2"/>
      <c r="MF19" s="2"/>
      <c r="MG19" s="2"/>
      <c r="MH19" s="2"/>
      <c r="MI19" s="2"/>
      <c r="MJ19" s="2"/>
      <c r="MK19" s="2"/>
      <c r="ML19" s="2"/>
      <c r="MM19" s="2"/>
      <c r="MN19" s="2"/>
      <c r="MO19" s="2"/>
      <c r="MP19" s="2"/>
      <c r="MQ19" s="2"/>
      <c r="MR19" s="2"/>
      <c r="MS19" s="2"/>
      <c r="MT19" s="2"/>
      <c r="MU19" s="2"/>
      <c r="MV19" s="2"/>
      <c r="MW19" s="2"/>
      <c r="MX19" s="2"/>
      <c r="MY19" s="2"/>
      <c r="MZ19" s="2"/>
      <c r="NA19" s="2"/>
      <c r="NB19" s="2"/>
      <c r="NC19" s="2"/>
      <c r="ND19" s="2"/>
      <c r="NE19" s="2"/>
      <c r="NF19" s="2"/>
      <c r="NG19" s="2"/>
      <c r="NH19" s="2"/>
    </row>
    <row r="20" spans="2:372" s="3" customFormat="1" ht="15" customHeight="1" x14ac:dyDescent="0.25">
      <c r="B20" s="233" t="s">
        <v>423</v>
      </c>
      <c r="C20" s="589" t="s">
        <v>210</v>
      </c>
      <c r="D20" s="590"/>
      <c r="E20" s="56">
        <f>F19+1</f>
        <v>5</v>
      </c>
      <c r="F20" s="56">
        <f t="shared" si="0"/>
        <v>6</v>
      </c>
      <c r="G20" s="56">
        <f>'Memo calc'!H241</f>
        <v>2</v>
      </c>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c r="IW20" s="2"/>
      <c r="IX20" s="2"/>
      <c r="IY20" s="2"/>
      <c r="IZ20" s="2"/>
      <c r="JA20" s="2"/>
      <c r="JB20" s="2"/>
      <c r="JC20" s="2"/>
      <c r="JD20" s="2"/>
      <c r="JE20" s="2"/>
      <c r="JF20" s="2"/>
      <c r="JG20" s="2"/>
      <c r="JH20" s="2"/>
      <c r="JI20" s="2"/>
      <c r="JJ20" s="2"/>
      <c r="JK20" s="2"/>
      <c r="JL20" s="2"/>
      <c r="JM20" s="2"/>
      <c r="JN20" s="2"/>
      <c r="JO20" s="2"/>
      <c r="JP20" s="2"/>
      <c r="JQ20" s="2"/>
      <c r="JR20" s="2"/>
      <c r="JS20" s="2"/>
      <c r="JT20" s="2"/>
      <c r="JU20" s="2"/>
      <c r="JV20" s="2"/>
      <c r="JW20" s="2"/>
      <c r="JX20" s="2"/>
      <c r="JY20" s="2"/>
      <c r="JZ20" s="2"/>
      <c r="KA20" s="2"/>
      <c r="KB20" s="2"/>
      <c r="KC20" s="2"/>
      <c r="KD20" s="2"/>
      <c r="KE20" s="2"/>
      <c r="KF20" s="2"/>
      <c r="KG20" s="2"/>
      <c r="KH20" s="2"/>
      <c r="KI20" s="2"/>
      <c r="KJ20" s="2"/>
      <c r="KK20" s="2"/>
      <c r="KL20" s="2"/>
      <c r="KM20" s="2"/>
      <c r="KN20" s="2"/>
      <c r="KO20" s="2"/>
      <c r="KP20" s="2"/>
      <c r="KQ20" s="2"/>
      <c r="KR20" s="2"/>
      <c r="KS20" s="2"/>
      <c r="KT20" s="2"/>
      <c r="KU20" s="2"/>
      <c r="KV20" s="2"/>
      <c r="KW20" s="2"/>
      <c r="KX20" s="2"/>
      <c r="KY20" s="2"/>
      <c r="KZ20" s="2"/>
      <c r="LA20" s="2"/>
      <c r="LB20" s="2"/>
      <c r="LC20" s="2"/>
      <c r="LD20" s="2"/>
      <c r="LE20" s="2"/>
      <c r="LF20" s="2"/>
      <c r="LG20" s="2"/>
      <c r="LH20" s="2"/>
      <c r="LI20" s="2"/>
      <c r="LJ20" s="2"/>
      <c r="LK20" s="2"/>
      <c r="LL20" s="2"/>
      <c r="LM20" s="2"/>
      <c r="LN20" s="2"/>
      <c r="LO20" s="2"/>
      <c r="LP20" s="2"/>
      <c r="LQ20" s="2"/>
      <c r="LR20" s="2"/>
      <c r="LS20" s="2"/>
      <c r="LT20" s="2"/>
      <c r="LU20" s="2"/>
      <c r="LV20" s="2"/>
      <c r="LW20" s="2"/>
      <c r="LX20" s="2"/>
      <c r="LY20" s="2"/>
      <c r="LZ20" s="2"/>
      <c r="MA20" s="2"/>
      <c r="MB20" s="2"/>
      <c r="MC20" s="2"/>
      <c r="MD20" s="2"/>
      <c r="ME20" s="2"/>
      <c r="MF20" s="2"/>
      <c r="MG20" s="2"/>
      <c r="MH20" s="2"/>
      <c r="MI20" s="2"/>
      <c r="MJ20" s="2"/>
      <c r="MK20" s="2"/>
      <c r="ML20" s="2"/>
      <c r="MM20" s="2"/>
      <c r="MN20" s="2"/>
      <c r="MO20" s="2"/>
      <c r="MP20" s="2"/>
      <c r="MQ20" s="2"/>
      <c r="MR20" s="2"/>
      <c r="MS20" s="2"/>
      <c r="MT20" s="2"/>
      <c r="MU20" s="2"/>
      <c r="MV20" s="2"/>
      <c r="MW20" s="2"/>
      <c r="MX20" s="2"/>
      <c r="MY20" s="2"/>
      <c r="MZ20" s="2"/>
      <c r="NA20" s="2"/>
      <c r="NB20" s="2"/>
      <c r="NC20" s="2"/>
      <c r="ND20" s="2"/>
      <c r="NE20" s="2"/>
      <c r="NF20" s="2"/>
      <c r="NG20" s="2"/>
      <c r="NH20" s="2"/>
    </row>
    <row r="21" spans="2:372" s="3" customFormat="1" ht="15" customHeight="1" x14ac:dyDescent="0.25">
      <c r="B21" s="233" t="s">
        <v>484</v>
      </c>
      <c r="C21" s="589" t="s">
        <v>208</v>
      </c>
      <c r="D21" s="590"/>
      <c r="E21" s="56">
        <f>F20+1</f>
        <v>7</v>
      </c>
      <c r="F21" s="56">
        <f t="shared" si="0"/>
        <v>8</v>
      </c>
      <c r="G21" s="56">
        <f>'Memo calc'!H283</f>
        <v>2</v>
      </c>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c r="IW21" s="2"/>
      <c r="IX21" s="2"/>
      <c r="IY21" s="2"/>
      <c r="IZ21" s="2"/>
      <c r="JA21" s="2"/>
      <c r="JB21" s="2"/>
      <c r="JC21" s="2"/>
      <c r="JD21" s="2"/>
      <c r="JE21" s="2"/>
      <c r="JF21" s="2"/>
      <c r="JG21" s="2"/>
      <c r="JH21" s="2"/>
      <c r="JI21" s="2"/>
      <c r="JJ21" s="2"/>
      <c r="JK21" s="2"/>
      <c r="JL21" s="2"/>
      <c r="JM21" s="2"/>
      <c r="JN21" s="2"/>
      <c r="JO21" s="2"/>
      <c r="JP21" s="2"/>
      <c r="JQ21" s="2"/>
      <c r="JR21" s="2"/>
      <c r="JS21" s="2"/>
      <c r="JT21" s="2"/>
      <c r="JU21" s="2"/>
      <c r="JV21" s="2"/>
      <c r="JW21" s="2"/>
      <c r="JX21" s="2"/>
      <c r="JY21" s="2"/>
      <c r="JZ21" s="2"/>
      <c r="KA21" s="2"/>
      <c r="KB21" s="2"/>
      <c r="KC21" s="2"/>
      <c r="KD21" s="2"/>
      <c r="KE21" s="2"/>
      <c r="KF21" s="2"/>
      <c r="KG21" s="2"/>
      <c r="KH21" s="2"/>
      <c r="KI21" s="2"/>
      <c r="KJ21" s="2"/>
      <c r="KK21" s="2"/>
      <c r="KL21" s="2"/>
      <c r="KM21" s="2"/>
      <c r="KN21" s="2"/>
      <c r="KO21" s="2"/>
      <c r="KP21" s="2"/>
      <c r="KQ21" s="2"/>
      <c r="KR21" s="2"/>
      <c r="KS21" s="2"/>
      <c r="KT21" s="2"/>
      <c r="KU21" s="2"/>
      <c r="KV21" s="2"/>
      <c r="KW21" s="2"/>
      <c r="KX21" s="2"/>
      <c r="KY21" s="2"/>
      <c r="KZ21" s="2"/>
      <c r="LA21" s="2"/>
      <c r="LB21" s="2"/>
      <c r="LC21" s="2"/>
      <c r="LD21" s="2"/>
      <c r="LE21" s="2"/>
      <c r="LF21" s="2"/>
      <c r="LG21" s="2"/>
      <c r="LH21" s="2"/>
      <c r="LI21" s="2"/>
      <c r="LJ21" s="2"/>
      <c r="LK21" s="2"/>
      <c r="LL21" s="2"/>
      <c r="LM21" s="2"/>
      <c r="LN21" s="2"/>
      <c r="LO21" s="2"/>
      <c r="LP21" s="2"/>
      <c r="LQ21" s="2"/>
      <c r="LR21" s="2"/>
      <c r="LS21" s="2"/>
      <c r="LT21" s="2"/>
      <c r="LU21" s="2"/>
      <c r="LV21" s="2"/>
      <c r="LW21" s="2"/>
      <c r="LX21" s="2"/>
      <c r="LY21" s="2"/>
      <c r="LZ21" s="2"/>
      <c r="MA21" s="2"/>
      <c r="MB21" s="2"/>
      <c r="MC21" s="2"/>
      <c r="MD21" s="2"/>
      <c r="ME21" s="2"/>
      <c r="MF21" s="2"/>
      <c r="MG21" s="2"/>
      <c r="MH21" s="2"/>
      <c r="MI21" s="2"/>
      <c r="MJ21" s="2"/>
      <c r="MK21" s="2"/>
      <c r="ML21" s="2"/>
      <c r="MM21" s="2"/>
      <c r="MN21" s="2"/>
      <c r="MO21" s="2"/>
      <c r="MP21" s="2"/>
      <c r="MQ21" s="2"/>
      <c r="MR21" s="2"/>
      <c r="MS21" s="2"/>
      <c r="MT21" s="2"/>
      <c r="MU21" s="2"/>
      <c r="MV21" s="2"/>
      <c r="MW21" s="2"/>
      <c r="MX21" s="2"/>
      <c r="MY21" s="2"/>
      <c r="MZ21" s="2"/>
      <c r="NA21" s="2"/>
      <c r="NB21" s="2"/>
      <c r="NC21" s="2"/>
      <c r="ND21" s="2"/>
      <c r="NE21" s="2"/>
      <c r="NF21" s="2"/>
      <c r="NG21" s="2"/>
      <c r="NH21" s="2"/>
    </row>
    <row r="22" spans="2:372" ht="15" customHeight="1" x14ac:dyDescent="0.25">
      <c r="B22" s="233" t="s">
        <v>485</v>
      </c>
      <c r="C22" s="589" t="s">
        <v>211</v>
      </c>
      <c r="D22" s="590"/>
      <c r="E22" s="56">
        <f>MIN(E23:F24)</f>
        <v>3</v>
      </c>
      <c r="F22" s="56">
        <f>MAX(E23:F24)</f>
        <v>9</v>
      </c>
      <c r="G22" s="56">
        <f>F22-E22+1</f>
        <v>7</v>
      </c>
    </row>
    <row r="23" spans="2:372" ht="15" customHeight="1" x14ac:dyDescent="0.25">
      <c r="B23" s="234" t="s">
        <v>731</v>
      </c>
      <c r="C23" s="612" t="s">
        <v>740</v>
      </c>
      <c r="D23" s="613"/>
      <c r="E23" s="67">
        <v>3</v>
      </c>
      <c r="F23" s="67">
        <f>E23+G23-1</f>
        <v>6</v>
      </c>
      <c r="G23" s="67">
        <f>'Memo calc'!I404</f>
        <v>4</v>
      </c>
    </row>
    <row r="24" spans="2:372" ht="15" customHeight="1" x14ac:dyDescent="0.25">
      <c r="B24" s="234" t="s">
        <v>733</v>
      </c>
      <c r="C24" s="612" t="s">
        <v>741</v>
      </c>
      <c r="D24" s="613"/>
      <c r="E24" s="67">
        <f>F23+1</f>
        <v>7</v>
      </c>
      <c r="F24" s="67">
        <f>E24+G24-1</f>
        <v>9</v>
      </c>
      <c r="G24" s="67">
        <f>'Memo calc'!I405</f>
        <v>3</v>
      </c>
    </row>
    <row r="25" spans="2:372" ht="15" customHeight="1" x14ac:dyDescent="0.25">
      <c r="B25" s="233" t="s">
        <v>486</v>
      </c>
      <c r="C25" s="589" t="s">
        <v>530</v>
      </c>
      <c r="D25" s="590"/>
      <c r="E25" s="56">
        <f>F22+1</f>
        <v>10</v>
      </c>
      <c r="F25" s="56">
        <f>E25+9</f>
        <v>19</v>
      </c>
      <c r="G25" s="56">
        <f>F25-E25+1</f>
        <v>10</v>
      </c>
    </row>
    <row r="26" spans="2:372" ht="15" customHeight="1" x14ac:dyDescent="0.25">
      <c r="B26" s="233" t="s">
        <v>529</v>
      </c>
      <c r="C26" s="589" t="s">
        <v>532</v>
      </c>
      <c r="D26" s="590"/>
      <c r="E26" s="56">
        <f>F25+1</f>
        <v>20</v>
      </c>
      <c r="F26" s="56">
        <f>E26+G26-1</f>
        <v>34</v>
      </c>
      <c r="G26" s="56">
        <v>15</v>
      </c>
    </row>
    <row r="27" spans="2:372" ht="15" customHeight="1" x14ac:dyDescent="0.25">
      <c r="B27" s="233" t="s">
        <v>531</v>
      </c>
      <c r="C27" s="589" t="s">
        <v>534</v>
      </c>
      <c r="D27" s="590"/>
      <c r="E27" s="56">
        <f>F26+1</f>
        <v>35</v>
      </c>
      <c r="F27" s="56">
        <f>E27+G27-1</f>
        <v>47</v>
      </c>
      <c r="G27" s="56">
        <v>13</v>
      </c>
    </row>
    <row r="28" spans="2:372" ht="15" customHeight="1" x14ac:dyDescent="0.25">
      <c r="B28" s="233" t="s">
        <v>533</v>
      </c>
      <c r="C28" s="589" t="s">
        <v>535</v>
      </c>
      <c r="D28" s="590"/>
      <c r="E28" s="56">
        <f>F27+1</f>
        <v>48</v>
      </c>
      <c r="F28" s="56">
        <f>E28+G28-1</f>
        <v>57</v>
      </c>
      <c r="G28" s="56">
        <v>10</v>
      </c>
    </row>
    <row r="29" spans="2:372" ht="15" customHeight="1" x14ac:dyDescent="0.25">
      <c r="B29" s="10" t="s">
        <v>383</v>
      </c>
      <c r="C29" s="610" t="s">
        <v>536</v>
      </c>
      <c r="D29" s="611"/>
      <c r="E29" s="66">
        <f>MIN(E30:F47)</f>
        <v>3</v>
      </c>
      <c r="F29" s="66">
        <f>MAX(E30:F47)</f>
        <v>116</v>
      </c>
      <c r="G29" s="66">
        <f>F29-E29+1</f>
        <v>114</v>
      </c>
    </row>
    <row r="30" spans="2:372" ht="15" customHeight="1" x14ac:dyDescent="0.25">
      <c r="B30" s="233" t="s">
        <v>384</v>
      </c>
      <c r="C30" s="589" t="s">
        <v>559</v>
      </c>
      <c r="D30" s="590"/>
      <c r="E30" s="56">
        <f>MIN(E31:F33)</f>
        <v>3</v>
      </c>
      <c r="F30" s="56">
        <f>MAX(E31:F33)</f>
        <v>61</v>
      </c>
      <c r="G30" s="56">
        <f>F30-E30+1</f>
        <v>59</v>
      </c>
    </row>
    <row r="31" spans="2:372" ht="15" customHeight="1" x14ac:dyDescent="0.25">
      <c r="B31" s="234" t="s">
        <v>502</v>
      </c>
      <c r="C31" s="612" t="s">
        <v>537</v>
      </c>
      <c r="D31" s="613"/>
      <c r="E31" s="67">
        <f>E17</f>
        <v>3</v>
      </c>
      <c r="F31" s="67">
        <f>E31+G31-1</f>
        <v>7.8333333333333339</v>
      </c>
      <c r="G31" s="67">
        <f>'Memo calc'!P881</f>
        <v>5.8333333333333339</v>
      </c>
    </row>
    <row r="32" spans="2:372" ht="15" customHeight="1" x14ac:dyDescent="0.25">
      <c r="B32" s="234" t="s">
        <v>503</v>
      </c>
      <c r="C32" s="612" t="s">
        <v>538</v>
      </c>
      <c r="D32" s="613"/>
      <c r="E32" s="67">
        <f>F31+1</f>
        <v>8.8333333333333339</v>
      </c>
      <c r="F32" s="67">
        <f>E32+G32-1</f>
        <v>16.833333333333336</v>
      </c>
      <c r="G32" s="67">
        <f>'Memo calc'!K969</f>
        <v>9</v>
      </c>
    </row>
    <row r="33" spans="2:7" ht="15" customHeight="1" x14ac:dyDescent="0.25">
      <c r="B33" s="234" t="s">
        <v>506</v>
      </c>
      <c r="C33" s="612" t="s">
        <v>555</v>
      </c>
      <c r="D33" s="613"/>
      <c r="E33" s="67">
        <f>F28+1</f>
        <v>58</v>
      </c>
      <c r="F33" s="67">
        <f>E33+G33-1</f>
        <v>61</v>
      </c>
      <c r="G33" s="67">
        <f>'Memo calc'!L1026</f>
        <v>4</v>
      </c>
    </row>
    <row r="34" spans="2:7" ht="15" customHeight="1" x14ac:dyDescent="0.25">
      <c r="B34" s="233" t="s">
        <v>508</v>
      </c>
      <c r="C34" s="589" t="s">
        <v>558</v>
      </c>
      <c r="D34" s="590"/>
      <c r="E34" s="102">
        <f>F33</f>
        <v>61</v>
      </c>
      <c r="F34" s="60">
        <f>E34+G34-1</f>
        <v>61</v>
      </c>
      <c r="G34" s="56">
        <f>'Memo calc'!N153</f>
        <v>1</v>
      </c>
    </row>
    <row r="35" spans="2:7" ht="15" customHeight="1" x14ac:dyDescent="0.25">
      <c r="B35" s="233" t="s">
        <v>517</v>
      </c>
      <c r="C35" s="589" t="s">
        <v>540</v>
      </c>
      <c r="D35" s="590"/>
      <c r="E35" s="56">
        <f>F34</f>
        <v>61</v>
      </c>
      <c r="F35" s="60">
        <f t="shared" ref="F35:F40" si="1">E35+G35-1</f>
        <v>63</v>
      </c>
      <c r="G35" s="56">
        <f>'Memo calc'!O1166</f>
        <v>3</v>
      </c>
    </row>
    <row r="36" spans="2:7" ht="15" customHeight="1" x14ac:dyDescent="0.25">
      <c r="B36" s="233" t="s">
        <v>545</v>
      </c>
      <c r="C36" s="589" t="s">
        <v>541</v>
      </c>
      <c r="D36" s="590"/>
      <c r="E36" s="298">
        <f t="shared" ref="E36:E44" si="2">F35</f>
        <v>63</v>
      </c>
      <c r="F36" s="60">
        <f t="shared" si="1"/>
        <v>68</v>
      </c>
      <c r="G36" s="56">
        <f>'Memo calc'!O1212</f>
        <v>6</v>
      </c>
    </row>
    <row r="37" spans="2:7" ht="15" customHeight="1" x14ac:dyDescent="0.25">
      <c r="B37" s="233" t="s">
        <v>546</v>
      </c>
      <c r="C37" s="589" t="s">
        <v>782</v>
      </c>
      <c r="D37" s="590"/>
      <c r="E37" s="298">
        <f t="shared" si="2"/>
        <v>68</v>
      </c>
      <c r="F37" s="60">
        <f t="shared" si="1"/>
        <v>73</v>
      </c>
      <c r="G37" s="56">
        <f>'Memo calc'!O1258</f>
        <v>6</v>
      </c>
    </row>
    <row r="38" spans="2:7" ht="15" customHeight="1" x14ac:dyDescent="0.25">
      <c r="B38" s="233" t="s">
        <v>861</v>
      </c>
      <c r="C38" s="589" t="s">
        <v>542</v>
      </c>
      <c r="D38" s="590"/>
      <c r="E38" s="298">
        <f t="shared" si="2"/>
        <v>73</v>
      </c>
      <c r="F38" s="60">
        <f t="shared" si="1"/>
        <v>76</v>
      </c>
      <c r="G38" s="56">
        <f>'Memo calc'!O1304</f>
        <v>4</v>
      </c>
    </row>
    <row r="39" spans="2:7" ht="15" customHeight="1" x14ac:dyDescent="0.25">
      <c r="B39" s="233" t="s">
        <v>547</v>
      </c>
      <c r="C39" s="589" t="s">
        <v>543</v>
      </c>
      <c r="D39" s="590"/>
      <c r="E39" s="298">
        <f t="shared" si="2"/>
        <v>76</v>
      </c>
      <c r="F39" s="60">
        <f t="shared" si="1"/>
        <v>76</v>
      </c>
      <c r="G39" s="56">
        <f>'Memo calc'!O1350</f>
        <v>1</v>
      </c>
    </row>
    <row r="40" spans="2:7" ht="15" customHeight="1" x14ac:dyDescent="0.25">
      <c r="B40" s="233" t="s">
        <v>548</v>
      </c>
      <c r="C40" s="589" t="s">
        <v>544</v>
      </c>
      <c r="D40" s="590"/>
      <c r="E40" s="298">
        <f>F39-8</f>
        <v>68</v>
      </c>
      <c r="F40" s="60">
        <f t="shared" si="1"/>
        <v>71</v>
      </c>
      <c r="G40" s="56">
        <f>'Memo calc'!P1396</f>
        <v>4</v>
      </c>
    </row>
    <row r="41" spans="2:7" ht="15" customHeight="1" x14ac:dyDescent="0.25">
      <c r="B41" s="233" t="s">
        <v>785</v>
      </c>
      <c r="C41" s="589" t="s">
        <v>556</v>
      </c>
      <c r="D41" s="590"/>
      <c r="E41" s="298">
        <f t="shared" si="2"/>
        <v>71</v>
      </c>
      <c r="F41" s="60">
        <f>E41+G41-1</f>
        <v>72</v>
      </c>
      <c r="G41" s="56">
        <f>'Memo calc'!Q1442</f>
        <v>2</v>
      </c>
    </row>
    <row r="42" spans="2:7" ht="15" customHeight="1" x14ac:dyDescent="0.25">
      <c r="B42" s="233" t="s">
        <v>549</v>
      </c>
      <c r="C42" s="589" t="s">
        <v>557</v>
      </c>
      <c r="D42" s="590"/>
      <c r="E42" s="298">
        <f t="shared" si="2"/>
        <v>72</v>
      </c>
      <c r="F42" s="60">
        <f>E42+G42-1</f>
        <v>72</v>
      </c>
      <c r="G42" s="56">
        <f>'Memo calc'!R1488</f>
        <v>1</v>
      </c>
    </row>
    <row r="43" spans="2:7" ht="15" customHeight="1" x14ac:dyDescent="0.25">
      <c r="B43" s="233" t="s">
        <v>550</v>
      </c>
      <c r="C43" s="589" t="s">
        <v>560</v>
      </c>
      <c r="D43" s="590"/>
      <c r="E43" s="298">
        <f t="shared" si="2"/>
        <v>72</v>
      </c>
      <c r="F43" s="60">
        <f>E43+G43-1</f>
        <v>74</v>
      </c>
      <c r="G43" s="56">
        <f>'Memo calc'!O1534</f>
        <v>3</v>
      </c>
    </row>
    <row r="44" spans="2:7" ht="15" customHeight="1" x14ac:dyDescent="0.25">
      <c r="B44" s="233" t="s">
        <v>551</v>
      </c>
      <c r="C44" s="589" t="s">
        <v>561</v>
      </c>
      <c r="D44" s="590"/>
      <c r="E44" s="298">
        <f t="shared" si="2"/>
        <v>74</v>
      </c>
      <c r="F44" s="56">
        <f>E44</f>
        <v>74</v>
      </c>
      <c r="G44" s="60">
        <f>F44-E44+1</f>
        <v>1</v>
      </c>
    </row>
    <row r="45" spans="2:7" ht="15" customHeight="1" x14ac:dyDescent="0.25">
      <c r="B45" s="233" t="s">
        <v>552</v>
      </c>
      <c r="C45" s="589" t="s">
        <v>562</v>
      </c>
      <c r="D45" s="590"/>
      <c r="E45" s="60">
        <f>F44+1</f>
        <v>75</v>
      </c>
      <c r="F45" s="60">
        <f>E45+G45-1</f>
        <v>94</v>
      </c>
      <c r="G45" s="60">
        <v>20</v>
      </c>
    </row>
    <row r="46" spans="2:7" ht="15" customHeight="1" x14ac:dyDescent="0.25">
      <c r="B46" s="233" t="s">
        <v>553</v>
      </c>
      <c r="C46" s="589" t="s">
        <v>563</v>
      </c>
      <c r="D46" s="590"/>
      <c r="E46" s="60">
        <f>F45+1</f>
        <v>95</v>
      </c>
      <c r="F46" s="60">
        <f t="shared" ref="F46:F59" si="3">E46+G46-1</f>
        <v>109</v>
      </c>
      <c r="G46" s="60">
        <v>15</v>
      </c>
    </row>
    <row r="47" spans="2:7" ht="15" customHeight="1" x14ac:dyDescent="0.25">
      <c r="B47" s="233" t="s">
        <v>554</v>
      </c>
      <c r="C47" s="589" t="s">
        <v>564</v>
      </c>
      <c r="D47" s="590"/>
      <c r="E47" s="60">
        <f>F46+1</f>
        <v>110</v>
      </c>
      <c r="F47" s="60">
        <f t="shared" si="3"/>
        <v>116</v>
      </c>
      <c r="G47" s="60">
        <v>7</v>
      </c>
    </row>
    <row r="48" spans="2:7" ht="15" customHeight="1" x14ac:dyDescent="0.25">
      <c r="B48" s="10" t="s">
        <v>526</v>
      </c>
      <c r="C48" s="610" t="s">
        <v>565</v>
      </c>
      <c r="D48" s="611"/>
      <c r="E48" s="66">
        <f>MIN(E49:F64)</f>
        <v>117</v>
      </c>
      <c r="F48" s="66">
        <f>MAX(E49:F64)</f>
        <v>195</v>
      </c>
      <c r="G48" s="66">
        <f>F48-E48+1</f>
        <v>79</v>
      </c>
    </row>
    <row r="49" spans="2:7" ht="15" customHeight="1" x14ac:dyDescent="0.25">
      <c r="B49" s="233" t="s">
        <v>566</v>
      </c>
      <c r="C49" s="589" t="s">
        <v>580</v>
      </c>
      <c r="D49" s="590"/>
      <c r="E49" s="56">
        <f>F47+1</f>
        <v>117</v>
      </c>
      <c r="F49" s="60">
        <f t="shared" si="3"/>
        <v>118</v>
      </c>
      <c r="G49" s="56">
        <f>ROUNDUP('Memo calc'!M1033,0)</f>
        <v>2</v>
      </c>
    </row>
    <row r="50" spans="2:7" ht="15" customHeight="1" x14ac:dyDescent="0.25">
      <c r="B50" s="233" t="s">
        <v>567</v>
      </c>
      <c r="C50" s="589" t="s">
        <v>582</v>
      </c>
      <c r="D50" s="590"/>
      <c r="E50" s="223">
        <f>F49</f>
        <v>118</v>
      </c>
      <c r="F50" s="60">
        <f>E50+G50-1</f>
        <v>118</v>
      </c>
      <c r="G50" s="56">
        <f>'Memo calc'!N154</f>
        <v>1</v>
      </c>
    </row>
    <row r="51" spans="2:7" ht="15" customHeight="1" x14ac:dyDescent="0.25">
      <c r="B51" s="233" t="s">
        <v>518</v>
      </c>
      <c r="C51" s="589" t="s">
        <v>213</v>
      </c>
      <c r="D51" s="590"/>
      <c r="E51" s="298">
        <f t="shared" ref="E51:E64" si="4">F50</f>
        <v>118</v>
      </c>
      <c r="F51" s="60">
        <f t="shared" si="3"/>
        <v>120</v>
      </c>
      <c r="G51" s="56">
        <f>'Memo calc'!O1167</f>
        <v>3</v>
      </c>
    </row>
    <row r="52" spans="2:7" ht="15" customHeight="1" x14ac:dyDescent="0.25">
      <c r="B52" s="233" t="s">
        <v>568</v>
      </c>
      <c r="C52" s="589" t="s">
        <v>214</v>
      </c>
      <c r="D52" s="590"/>
      <c r="E52" s="298">
        <f t="shared" si="4"/>
        <v>120</v>
      </c>
      <c r="F52" s="60">
        <f t="shared" si="3"/>
        <v>122</v>
      </c>
      <c r="G52" s="56">
        <f>'Memo calc'!O1213</f>
        <v>3</v>
      </c>
    </row>
    <row r="53" spans="2:7" ht="15" customHeight="1" x14ac:dyDescent="0.25">
      <c r="B53" s="233" t="s">
        <v>569</v>
      </c>
      <c r="C53" s="589" t="s">
        <v>783</v>
      </c>
      <c r="D53" s="590"/>
      <c r="E53" s="298">
        <f t="shared" si="4"/>
        <v>122</v>
      </c>
      <c r="F53" s="60">
        <f t="shared" si="3"/>
        <v>124</v>
      </c>
      <c r="G53" s="56">
        <f>'Memo calc'!O1259</f>
        <v>3</v>
      </c>
    </row>
    <row r="54" spans="2:7" ht="15" customHeight="1" x14ac:dyDescent="0.25">
      <c r="B54" s="233" t="s">
        <v>570</v>
      </c>
      <c r="C54" s="589" t="s">
        <v>216</v>
      </c>
      <c r="D54" s="590"/>
      <c r="E54" s="298">
        <f t="shared" si="4"/>
        <v>124</v>
      </c>
      <c r="F54" s="60">
        <f t="shared" si="3"/>
        <v>125</v>
      </c>
      <c r="G54" s="56">
        <f>'Memo calc'!O1305</f>
        <v>2</v>
      </c>
    </row>
    <row r="55" spans="2:7" ht="15" customHeight="1" x14ac:dyDescent="0.25">
      <c r="B55" s="233" t="s">
        <v>571</v>
      </c>
      <c r="C55" s="589" t="s">
        <v>217</v>
      </c>
      <c r="D55" s="590"/>
      <c r="E55" s="298">
        <f t="shared" si="4"/>
        <v>125</v>
      </c>
      <c r="F55" s="60">
        <f t="shared" si="3"/>
        <v>128</v>
      </c>
      <c r="G55" s="56">
        <f>'Memo calc'!O1351</f>
        <v>4</v>
      </c>
    </row>
    <row r="56" spans="2:7" ht="15" customHeight="1" x14ac:dyDescent="0.25">
      <c r="B56" s="233" t="s">
        <v>572</v>
      </c>
      <c r="C56" s="589" t="s">
        <v>218</v>
      </c>
      <c r="D56" s="590"/>
      <c r="E56" s="298">
        <f>F55-4</f>
        <v>124</v>
      </c>
      <c r="F56" s="60">
        <f t="shared" si="3"/>
        <v>125</v>
      </c>
      <c r="G56" s="56">
        <f>'Memo calc'!P1397</f>
        <v>2</v>
      </c>
    </row>
    <row r="57" spans="2:7" ht="15" customHeight="1" x14ac:dyDescent="0.25">
      <c r="B57" s="233" t="s">
        <v>573</v>
      </c>
      <c r="C57" s="589" t="s">
        <v>581</v>
      </c>
      <c r="D57" s="590"/>
      <c r="E57" s="298">
        <f t="shared" si="4"/>
        <v>125</v>
      </c>
      <c r="F57" s="60">
        <f t="shared" si="3"/>
        <v>125</v>
      </c>
      <c r="G57" s="56">
        <f>'Memo calc'!Q1443</f>
        <v>1</v>
      </c>
    </row>
    <row r="58" spans="2:7" ht="15" customHeight="1" x14ac:dyDescent="0.25">
      <c r="B58" s="233" t="s">
        <v>574</v>
      </c>
      <c r="C58" s="589" t="s">
        <v>220</v>
      </c>
      <c r="D58" s="590"/>
      <c r="E58" s="298">
        <f t="shared" si="4"/>
        <v>125</v>
      </c>
      <c r="F58" s="60">
        <f t="shared" si="3"/>
        <v>125</v>
      </c>
      <c r="G58" s="56">
        <f>'Memo calc'!R1489</f>
        <v>1</v>
      </c>
    </row>
    <row r="59" spans="2:7" ht="15" customHeight="1" x14ac:dyDescent="0.25">
      <c r="B59" s="233" t="s">
        <v>575</v>
      </c>
      <c r="C59" s="589" t="s">
        <v>221</v>
      </c>
      <c r="D59" s="590"/>
      <c r="E59" s="298">
        <f t="shared" si="4"/>
        <v>125</v>
      </c>
      <c r="F59" s="60">
        <f t="shared" si="3"/>
        <v>125</v>
      </c>
      <c r="G59" s="56">
        <f>'Memo calc'!O1535</f>
        <v>1</v>
      </c>
    </row>
    <row r="60" spans="2:7" ht="15" customHeight="1" x14ac:dyDescent="0.25">
      <c r="B60" s="233" t="s">
        <v>576</v>
      </c>
      <c r="C60" s="221" t="s">
        <v>925</v>
      </c>
      <c r="D60" s="222"/>
      <c r="E60" s="298">
        <f t="shared" si="4"/>
        <v>125</v>
      </c>
      <c r="F60" s="223">
        <f>E60+G60-1</f>
        <v>130</v>
      </c>
      <c r="G60" s="223">
        <f>'Memo calc'!J1580</f>
        <v>6</v>
      </c>
    </row>
    <row r="61" spans="2:7" ht="15" customHeight="1" x14ac:dyDescent="0.25">
      <c r="B61" s="233" t="s">
        <v>577</v>
      </c>
      <c r="C61" s="589" t="s">
        <v>583</v>
      </c>
      <c r="D61" s="590"/>
      <c r="E61" s="298">
        <f t="shared" si="4"/>
        <v>130</v>
      </c>
      <c r="F61" s="309">
        <f t="shared" ref="F61:F69" si="5">E61+G61-1</f>
        <v>149</v>
      </c>
      <c r="G61" s="60">
        <v>20</v>
      </c>
    </row>
    <row r="62" spans="2:7" ht="15" customHeight="1" x14ac:dyDescent="0.25">
      <c r="B62" s="233" t="s">
        <v>578</v>
      </c>
      <c r="C62" s="589" t="s">
        <v>584</v>
      </c>
      <c r="D62" s="590"/>
      <c r="E62" s="298">
        <f>F61</f>
        <v>149</v>
      </c>
      <c r="F62" s="309">
        <f t="shared" si="5"/>
        <v>163</v>
      </c>
      <c r="G62" s="60">
        <v>15</v>
      </c>
    </row>
    <row r="63" spans="2:7" ht="15" customHeight="1" x14ac:dyDescent="0.25">
      <c r="B63" s="233" t="s">
        <v>579</v>
      </c>
      <c r="C63" s="589" t="s">
        <v>585</v>
      </c>
      <c r="D63" s="590"/>
      <c r="E63" s="298">
        <f t="shared" si="4"/>
        <v>163</v>
      </c>
      <c r="F63" s="309">
        <f t="shared" si="5"/>
        <v>182</v>
      </c>
      <c r="G63" s="60">
        <v>20</v>
      </c>
    </row>
    <row r="64" spans="2:7" ht="15" customHeight="1" x14ac:dyDescent="0.25">
      <c r="B64" s="233" t="s">
        <v>927</v>
      </c>
      <c r="C64" s="589" t="s">
        <v>586</v>
      </c>
      <c r="D64" s="590"/>
      <c r="E64" s="298">
        <f t="shared" si="4"/>
        <v>182</v>
      </c>
      <c r="F64" s="309">
        <f t="shared" si="5"/>
        <v>195</v>
      </c>
      <c r="G64" s="60">
        <v>14</v>
      </c>
    </row>
    <row r="65" spans="2:7" ht="15" customHeight="1" x14ac:dyDescent="0.25">
      <c r="B65" s="10" t="s">
        <v>527</v>
      </c>
      <c r="C65" s="610" t="s">
        <v>1180</v>
      </c>
      <c r="D65" s="611"/>
      <c r="E65" s="66">
        <f>MIN(E66:F69)</f>
        <v>195</v>
      </c>
      <c r="F65" s="66">
        <f>MAX(E66:F69)</f>
        <v>202</v>
      </c>
      <c r="G65" s="66">
        <f>F65-E65+1</f>
        <v>8</v>
      </c>
    </row>
    <row r="66" spans="2:7" ht="15" customHeight="1" x14ac:dyDescent="0.25">
      <c r="B66" s="233" t="s">
        <v>1041</v>
      </c>
      <c r="C66" s="589" t="s">
        <v>1187</v>
      </c>
      <c r="D66" s="590"/>
      <c r="E66" s="418">
        <f>F64</f>
        <v>195</v>
      </c>
      <c r="F66" s="418">
        <f t="shared" si="5"/>
        <v>197</v>
      </c>
      <c r="G66" s="418">
        <f>'Memo calc'!M1785</f>
        <v>3</v>
      </c>
    </row>
    <row r="67" spans="2:7" ht="15" customHeight="1" x14ac:dyDescent="0.25">
      <c r="B67" s="233" t="s">
        <v>929</v>
      </c>
      <c r="C67" s="416" t="s">
        <v>1211</v>
      </c>
      <c r="D67" s="417"/>
      <c r="E67" s="418">
        <v>195</v>
      </c>
      <c r="F67" s="418">
        <f t="shared" si="5"/>
        <v>195</v>
      </c>
      <c r="G67" s="418">
        <f>'Memo calc'!M1835</f>
        <v>1</v>
      </c>
    </row>
    <row r="68" spans="2:7" ht="15" customHeight="1" x14ac:dyDescent="0.25">
      <c r="B68" s="233" t="s">
        <v>1198</v>
      </c>
      <c r="C68" s="589" t="s">
        <v>1188</v>
      </c>
      <c r="D68" s="590"/>
      <c r="E68" s="418">
        <f>F64</f>
        <v>195</v>
      </c>
      <c r="F68" s="418">
        <f t="shared" si="5"/>
        <v>201</v>
      </c>
      <c r="G68" s="418">
        <f>'Memo calc'!M1881</f>
        <v>7</v>
      </c>
    </row>
    <row r="69" spans="2:7" ht="15" customHeight="1" x14ac:dyDescent="0.25">
      <c r="B69" s="233" t="s">
        <v>1214</v>
      </c>
      <c r="C69" s="589" t="s">
        <v>1191</v>
      </c>
      <c r="D69" s="590"/>
      <c r="E69" s="418">
        <f>F68</f>
        <v>201</v>
      </c>
      <c r="F69" s="418">
        <f t="shared" si="5"/>
        <v>202</v>
      </c>
      <c r="G69" s="418">
        <v>2</v>
      </c>
    </row>
    <row r="70" spans="2:7" ht="15" customHeight="1" x14ac:dyDescent="0.25">
      <c r="B70" s="10" t="s">
        <v>1193</v>
      </c>
      <c r="C70" s="610" t="s">
        <v>1006</v>
      </c>
      <c r="D70" s="611"/>
      <c r="E70" s="66">
        <f>MIN(E71:F74)</f>
        <v>117</v>
      </c>
      <c r="F70" s="66">
        <f>MAX(E71:F74)</f>
        <v>365</v>
      </c>
      <c r="G70" s="66">
        <f>F70-E70+1</f>
        <v>249</v>
      </c>
    </row>
    <row r="71" spans="2:7" ht="15" customHeight="1" x14ac:dyDescent="0.25">
      <c r="B71" s="233" t="s">
        <v>1194</v>
      </c>
      <c r="C71" s="589" t="s">
        <v>1103</v>
      </c>
      <c r="D71" s="590"/>
      <c r="E71" s="309">
        <f>F47+1</f>
        <v>117</v>
      </c>
      <c r="F71" s="309">
        <f>E71+G71-1</f>
        <v>162</v>
      </c>
      <c r="G71" s="309">
        <v>46</v>
      </c>
    </row>
    <row r="72" spans="2:7" ht="15" customHeight="1" x14ac:dyDescent="0.25">
      <c r="B72" s="233" t="s">
        <v>1195</v>
      </c>
      <c r="C72" s="589" t="s">
        <v>1042</v>
      </c>
      <c r="D72" s="590"/>
      <c r="E72" s="309">
        <f>F71</f>
        <v>162</v>
      </c>
      <c r="F72" s="309">
        <f>E72+G72-1</f>
        <v>181</v>
      </c>
      <c r="G72" s="309">
        <v>20</v>
      </c>
    </row>
    <row r="73" spans="2:7" ht="15" customHeight="1" x14ac:dyDescent="0.25">
      <c r="B73" s="233" t="s">
        <v>1196</v>
      </c>
      <c r="C73" s="589" t="s">
        <v>1104</v>
      </c>
      <c r="D73" s="590"/>
      <c r="E73" s="317">
        <f>F72</f>
        <v>181</v>
      </c>
      <c r="F73" s="317">
        <f>E73+G73-1</f>
        <v>195</v>
      </c>
      <c r="G73" s="317">
        <v>15</v>
      </c>
    </row>
    <row r="74" spans="2:7" ht="15" customHeight="1" x14ac:dyDescent="0.25">
      <c r="B74" s="233" t="s">
        <v>1197</v>
      </c>
      <c r="C74" s="589" t="s">
        <v>1043</v>
      </c>
      <c r="D74" s="590"/>
      <c r="E74" s="317">
        <f>F73</f>
        <v>195</v>
      </c>
      <c r="F74" s="317">
        <f>E74+G74-1</f>
        <v>365</v>
      </c>
      <c r="G74" s="317">
        <v>171</v>
      </c>
    </row>
  </sheetData>
  <mergeCells count="75">
    <mergeCell ref="HP11:IT11"/>
    <mergeCell ref="IU11:JY11"/>
    <mergeCell ref="JZ11:LD11"/>
    <mergeCell ref="LE11:MI11"/>
    <mergeCell ref="AL11:BP11"/>
    <mergeCell ref="BQ11:CU11"/>
    <mergeCell ref="CV11:DZ11"/>
    <mergeCell ref="EA11:FE11"/>
    <mergeCell ref="FF11:GJ11"/>
    <mergeCell ref="MJ11:NH11"/>
    <mergeCell ref="C71:D71"/>
    <mergeCell ref="C72:D72"/>
    <mergeCell ref="C15:D15"/>
    <mergeCell ref="B10:G10"/>
    <mergeCell ref="C14:D14"/>
    <mergeCell ref="C47:D47"/>
    <mergeCell ref="C39:D39"/>
    <mergeCell ref="C40:D40"/>
    <mergeCell ref="C41:D41"/>
    <mergeCell ref="C42:D42"/>
    <mergeCell ref="C34:D34"/>
    <mergeCell ref="C43:D43"/>
    <mergeCell ref="C44:D44"/>
    <mergeCell ref="C24:D24"/>
    <mergeCell ref="GK11:HO11"/>
    <mergeCell ref="C25:D25"/>
    <mergeCell ref="C64:D64"/>
    <mergeCell ref="C29:D29"/>
    <mergeCell ref="C30:D30"/>
    <mergeCell ref="C31:D31"/>
    <mergeCell ref="C32:D32"/>
    <mergeCell ref="C33:D33"/>
    <mergeCell ref="C35:D35"/>
    <mergeCell ref="C36:D36"/>
    <mergeCell ref="C48:D48"/>
    <mergeCell ref="C45:D45"/>
    <mergeCell ref="C46:D46"/>
    <mergeCell ref="C37:D37"/>
    <mergeCell ref="C70:D70"/>
    <mergeCell ref="C50:D50"/>
    <mergeCell ref="C59:D59"/>
    <mergeCell ref="C61:D61"/>
    <mergeCell ref="C62:D62"/>
    <mergeCell ref="C73:D73"/>
    <mergeCell ref="C74:D74"/>
    <mergeCell ref="C23:D23"/>
    <mergeCell ref="C17:D17"/>
    <mergeCell ref="H11:AK11"/>
    <mergeCell ref="C18:D18"/>
    <mergeCell ref="C22:D22"/>
    <mergeCell ref="C19:D19"/>
    <mergeCell ref="C20:D20"/>
    <mergeCell ref="C21:D21"/>
    <mergeCell ref="C12:D12"/>
    <mergeCell ref="C13:D13"/>
    <mergeCell ref="C16:D16"/>
    <mergeCell ref="C38:D38"/>
    <mergeCell ref="C63:D63"/>
    <mergeCell ref="C58:D58"/>
    <mergeCell ref="C4:K4"/>
    <mergeCell ref="C65:D65"/>
    <mergeCell ref="C66:D66"/>
    <mergeCell ref="C68:D68"/>
    <mergeCell ref="C69:D69"/>
    <mergeCell ref="C49:D49"/>
    <mergeCell ref="C51:D51"/>
    <mergeCell ref="C52:D52"/>
    <mergeCell ref="C53:D53"/>
    <mergeCell ref="C54:D54"/>
    <mergeCell ref="C55:D55"/>
    <mergeCell ref="C56:D56"/>
    <mergeCell ref="C57:D57"/>
    <mergeCell ref="C27:D27"/>
    <mergeCell ref="C28:D28"/>
    <mergeCell ref="C26:D26"/>
  </mergeCells>
  <conditionalFormatting sqref="H71:DY72 H13:NH70 DZ72:NH72 DZ74:NH74 DZ76:NH76 DZ78:NH78 DZ80:NH80 DZ82:NH82 EA71:NH73 EA75:NH75 EA77:NH77 EA79:NH79 EA81:NH81 EA83:NH83 DZ71:DZ83 DZ84:NH102">
    <cfRule type="expression" dxfId="4" priority="12">
      <formula>AND(H$12&gt;=$E13,H$12&lt;=$F13)</formula>
    </cfRule>
  </conditionalFormatting>
  <pageMargins left="0.511811024" right="0.511811024" top="0.78740157499999996" bottom="0.78740157499999996" header="0.31496062000000002" footer="0.31496062000000002"/>
  <pageSetup paperSize="9" scale="10" fitToHeight="0" orientation="landscape" r:id="rId1"/>
  <colBreaks count="1" manualBreakCount="1">
    <brk id="257" max="72" man="1"/>
  </colBreaks>
  <ignoredErrors>
    <ignoredError sqref="G15 F22 F44 F16" formula="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9">
    <tabColor theme="9"/>
  </sheetPr>
  <dimension ref="B1:HJ55"/>
  <sheetViews>
    <sheetView showGridLines="0" zoomScale="85" zoomScaleNormal="85" workbookViewId="0">
      <pane xSplit="7" ySplit="12" topLeftCell="H13" activePane="bottomRight" state="frozen"/>
      <selection pane="topRight" activeCell="H1" sqref="H1"/>
      <selection pane="bottomLeft" activeCell="A13" sqref="A13"/>
      <selection pane="bottomRight" activeCell="C7" sqref="C7"/>
    </sheetView>
  </sheetViews>
  <sheetFormatPr defaultColWidth="9.140625" defaultRowHeight="15" customHeight="1" x14ac:dyDescent="0.25"/>
  <cols>
    <col min="1" max="1" width="1.7109375" style="2" customWidth="1"/>
    <col min="2" max="2" width="88.140625" style="2" bestFit="1" customWidth="1"/>
    <col min="3" max="3" width="13.7109375" style="2" bestFit="1" customWidth="1"/>
    <col min="4" max="4" width="23.28515625" style="2" bestFit="1" customWidth="1"/>
    <col min="5" max="5" width="14.140625" style="2" bestFit="1" customWidth="1"/>
    <col min="6" max="6" width="17.85546875" style="2" bestFit="1" customWidth="1"/>
    <col min="7" max="7" width="19.5703125" style="2" bestFit="1" customWidth="1"/>
    <col min="8" max="8" width="3" style="2" bestFit="1" customWidth="1"/>
    <col min="9" max="16" width="3.5703125" style="2" bestFit="1" customWidth="1"/>
    <col min="17" max="18" width="4.85546875" style="2" bestFit="1" customWidth="1"/>
    <col min="19" max="68" width="4.28515625" style="2" bestFit="1" customWidth="1"/>
    <col min="69" max="69" width="4.85546875" style="2" bestFit="1" customWidth="1"/>
    <col min="70" max="71" width="4.28515625" style="2" bestFit="1" customWidth="1"/>
    <col min="72" max="72" width="4.85546875" style="2" bestFit="1" customWidth="1"/>
    <col min="73" max="107" width="4.28515625" style="2" bestFit="1" customWidth="1"/>
    <col min="108" max="218" width="5.5703125" style="2" bestFit="1" customWidth="1"/>
    <col min="219" max="16384" width="9.140625" style="2"/>
  </cols>
  <sheetData>
    <row r="1" spans="2:218" ht="9" customHeight="1" x14ac:dyDescent="0.25"/>
    <row r="2" spans="2:218" ht="34.5" customHeight="1" x14ac:dyDescent="0.25"/>
    <row r="4" spans="2:218" x14ac:dyDescent="0.25">
      <c r="B4" s="23" t="s">
        <v>0</v>
      </c>
      <c r="C4" s="548" t="str">
        <f>'Qd abrang'!C4</f>
        <v>Contratação de Projeto Executivo de Engenharia para Implantação do Aeródromo no município de Nova Andradina</v>
      </c>
      <c r="D4" s="548"/>
      <c r="E4" s="548"/>
      <c r="F4" s="548"/>
      <c r="G4" s="548"/>
      <c r="H4" s="53"/>
      <c r="I4" s="53"/>
      <c r="J4" s="53"/>
    </row>
    <row r="5" spans="2:218" x14ac:dyDescent="0.25">
      <c r="B5" s="5" t="s">
        <v>862</v>
      </c>
      <c r="C5" s="1" t="str">
        <f>'Qd abrang'!C5</f>
        <v>Nova Andradina/MS</v>
      </c>
    </row>
    <row r="6" spans="2:218" x14ac:dyDescent="0.25">
      <c r="B6" s="5" t="s">
        <v>863</v>
      </c>
      <c r="C6" s="1" t="str">
        <f>'Qd abrang'!C6</f>
        <v>Nova Andradina/MS</v>
      </c>
    </row>
    <row r="7" spans="2:218" x14ac:dyDescent="0.25">
      <c r="B7" s="5" t="s">
        <v>1</v>
      </c>
      <c r="C7" s="96">
        <f>'Qd abrang'!C7</f>
        <v>1.7</v>
      </c>
      <c r="D7" s="2" t="s">
        <v>3</v>
      </c>
      <c r="E7" s="5" t="s">
        <v>16</v>
      </c>
      <c r="F7" s="6" t="str">
        <f>'Qd abrang'!N7</f>
        <v>79.010.182-2025</v>
      </c>
    </row>
    <row r="8" spans="2:218" x14ac:dyDescent="0.25">
      <c r="B8" s="5" t="s">
        <v>2</v>
      </c>
      <c r="C8" s="1">
        <f>'Qd abrang'!C8</f>
        <v>365</v>
      </c>
      <c r="D8" s="2" t="s">
        <v>4</v>
      </c>
      <c r="E8" s="69" t="s">
        <v>17</v>
      </c>
      <c r="F8" s="6">
        <f>'Qd abrang'!N8</f>
        <v>45748</v>
      </c>
    </row>
    <row r="10" spans="2:218" s="11" customFormat="1" ht="21" x14ac:dyDescent="0.25">
      <c r="B10" s="547" t="s">
        <v>521</v>
      </c>
      <c r="C10" s="547"/>
      <c r="D10" s="547"/>
      <c r="E10" s="547"/>
      <c r="F10" s="547"/>
      <c r="G10" s="547"/>
    </row>
    <row r="11" spans="2:218" ht="15" customHeight="1" x14ac:dyDescent="0.25">
      <c r="G11" s="54" t="s">
        <v>361</v>
      </c>
      <c r="H11" s="563">
        <v>1</v>
      </c>
      <c r="I11" s="563"/>
      <c r="J11" s="563"/>
      <c r="K11" s="563"/>
      <c r="L11" s="563"/>
      <c r="M11" s="563"/>
      <c r="N11" s="563"/>
      <c r="O11" s="563"/>
      <c r="P11" s="563"/>
      <c r="Q11" s="563"/>
      <c r="R11" s="563"/>
      <c r="S11" s="563"/>
      <c r="T11" s="563"/>
      <c r="U11" s="563"/>
      <c r="V11" s="563"/>
      <c r="W11" s="563"/>
      <c r="X11" s="563"/>
      <c r="Y11" s="563"/>
      <c r="Z11" s="563"/>
      <c r="AA11" s="563"/>
      <c r="AB11" s="563"/>
      <c r="AC11" s="563"/>
      <c r="AD11" s="563"/>
      <c r="AE11" s="563"/>
      <c r="AF11" s="563"/>
      <c r="AG11" s="563"/>
      <c r="AH11" s="563"/>
      <c r="AI11" s="563"/>
      <c r="AJ11" s="563"/>
      <c r="AK11" s="563"/>
      <c r="AL11" s="563"/>
      <c r="AM11" s="563">
        <v>2</v>
      </c>
      <c r="AN11" s="563"/>
      <c r="AO11" s="563"/>
      <c r="AP11" s="563"/>
      <c r="AQ11" s="563"/>
      <c r="AR11" s="563"/>
      <c r="AS11" s="563"/>
      <c r="AT11" s="563"/>
      <c r="AU11" s="563"/>
      <c r="AV11" s="563"/>
      <c r="AW11" s="563"/>
      <c r="AX11" s="563"/>
      <c r="AY11" s="563"/>
      <c r="AZ11" s="563"/>
      <c r="BA11" s="563"/>
      <c r="BB11" s="563"/>
      <c r="BC11" s="563"/>
      <c r="BD11" s="563"/>
      <c r="BE11" s="563"/>
      <c r="BF11" s="563"/>
      <c r="BG11" s="563"/>
      <c r="BH11" s="563"/>
      <c r="BI11" s="563"/>
      <c r="BJ11" s="563"/>
      <c r="BK11" s="563"/>
      <c r="BL11" s="563"/>
      <c r="BM11" s="563"/>
      <c r="BN11" s="563"/>
      <c r="BO11" s="563"/>
      <c r="BP11" s="563"/>
      <c r="BQ11" s="563">
        <v>3</v>
      </c>
      <c r="BR11" s="563"/>
      <c r="BS11" s="563"/>
      <c r="BT11" s="563"/>
      <c r="BU11" s="563"/>
      <c r="BV11" s="563"/>
      <c r="BW11" s="563"/>
      <c r="BX11" s="563"/>
      <c r="BY11" s="563"/>
      <c r="BZ11" s="563"/>
      <c r="CA11" s="563"/>
      <c r="CB11" s="563"/>
      <c r="CC11" s="563"/>
      <c r="CD11" s="563"/>
      <c r="CE11" s="563"/>
      <c r="CF11" s="563"/>
      <c r="CG11" s="563"/>
      <c r="CH11" s="563"/>
      <c r="CI11" s="563"/>
      <c r="CJ11" s="563"/>
      <c r="CK11" s="563"/>
      <c r="CL11" s="563"/>
      <c r="CM11" s="563"/>
      <c r="CN11" s="563"/>
      <c r="CO11" s="563"/>
      <c r="CP11" s="563"/>
      <c r="CQ11" s="563"/>
      <c r="CR11" s="563"/>
      <c r="CS11" s="563"/>
      <c r="CT11" s="563"/>
      <c r="CU11" s="563">
        <v>4</v>
      </c>
      <c r="CV11" s="563"/>
      <c r="CW11" s="563"/>
      <c r="CX11" s="563"/>
      <c r="CY11" s="563"/>
      <c r="CZ11" s="563"/>
      <c r="DA11" s="563"/>
      <c r="DB11" s="563"/>
      <c r="DC11" s="563"/>
      <c r="DD11" s="563"/>
      <c r="DE11" s="563"/>
      <c r="DF11" s="563"/>
      <c r="DG11" s="563"/>
      <c r="DH11" s="563"/>
      <c r="DI11" s="563"/>
      <c r="DJ11" s="563"/>
      <c r="DK11" s="563"/>
      <c r="DL11" s="563"/>
      <c r="DM11" s="563"/>
      <c r="DN11" s="563"/>
      <c r="DO11" s="563"/>
      <c r="DP11" s="563"/>
      <c r="DQ11" s="563"/>
      <c r="DR11" s="563"/>
      <c r="DS11" s="563"/>
      <c r="DT11" s="563"/>
      <c r="DU11" s="563"/>
      <c r="DV11" s="563"/>
      <c r="DW11" s="563"/>
      <c r="DX11" s="563"/>
      <c r="DY11" s="563">
        <v>5</v>
      </c>
      <c r="DZ11" s="563"/>
      <c r="EA11" s="563"/>
      <c r="EB11" s="563"/>
      <c r="EC11" s="563"/>
      <c r="ED11" s="563"/>
      <c r="EE11" s="563"/>
      <c r="EF11" s="563"/>
      <c r="EG11" s="563"/>
      <c r="EH11" s="563"/>
      <c r="EI11" s="563"/>
      <c r="EJ11" s="563"/>
      <c r="EK11" s="563"/>
      <c r="EL11" s="563"/>
      <c r="EM11" s="563"/>
      <c r="EN11" s="563"/>
      <c r="EO11" s="563"/>
      <c r="EP11" s="563"/>
      <c r="EQ11" s="563"/>
      <c r="ER11" s="563"/>
      <c r="ES11" s="563"/>
      <c r="ET11" s="563"/>
      <c r="EU11" s="563"/>
      <c r="EV11" s="563"/>
      <c r="EW11" s="563"/>
      <c r="EX11" s="563"/>
      <c r="EY11" s="563"/>
      <c r="EZ11" s="563"/>
      <c r="FA11" s="563"/>
      <c r="FB11" s="563"/>
      <c r="FC11" s="563">
        <v>6</v>
      </c>
      <c r="FD11" s="563"/>
      <c r="FE11" s="563"/>
      <c r="FF11" s="563"/>
      <c r="FG11" s="563"/>
      <c r="FH11" s="563"/>
      <c r="FI11" s="563"/>
      <c r="FJ11" s="563"/>
      <c r="FK11" s="563"/>
      <c r="FL11" s="563"/>
      <c r="FM11" s="563"/>
      <c r="FN11" s="563"/>
      <c r="FO11" s="563"/>
      <c r="FP11" s="563"/>
      <c r="FQ11" s="563"/>
      <c r="FR11" s="563"/>
      <c r="FS11" s="563"/>
      <c r="FT11" s="563"/>
      <c r="FU11" s="563"/>
      <c r="FV11" s="563"/>
      <c r="FW11" s="563"/>
      <c r="FX11" s="563"/>
      <c r="FY11" s="563"/>
      <c r="FZ11" s="563"/>
      <c r="GA11" s="563"/>
      <c r="GB11" s="563"/>
      <c r="GC11" s="563"/>
      <c r="GD11" s="563"/>
      <c r="GE11" s="563"/>
      <c r="GF11" s="563"/>
      <c r="GG11" s="563">
        <v>7</v>
      </c>
      <c r="GH11" s="563"/>
      <c r="GI11" s="563"/>
      <c r="GJ11" s="563"/>
      <c r="GK11" s="563"/>
      <c r="GL11" s="563"/>
      <c r="GM11" s="563"/>
      <c r="GN11" s="563"/>
      <c r="GO11" s="563"/>
      <c r="GP11" s="563"/>
      <c r="GQ11" s="563"/>
      <c r="GR11" s="563"/>
      <c r="GS11" s="563"/>
      <c r="GT11" s="563"/>
      <c r="GU11" s="563"/>
      <c r="GV11" s="563"/>
      <c r="GW11" s="563"/>
      <c r="GX11" s="563"/>
      <c r="GY11" s="563"/>
      <c r="GZ11" s="563"/>
      <c r="HA11" s="563"/>
      <c r="HB11" s="563"/>
      <c r="HC11" s="563"/>
      <c r="HD11" s="563"/>
      <c r="HE11" s="563"/>
      <c r="HF11" s="563"/>
      <c r="HG11" s="563"/>
      <c r="HH11" s="563"/>
      <c r="HI11" s="563"/>
      <c r="HJ11" s="563"/>
    </row>
    <row r="12" spans="2:218" ht="30" customHeight="1" x14ac:dyDescent="0.25">
      <c r="B12" s="563" t="s">
        <v>15</v>
      </c>
      <c r="C12" s="563"/>
      <c r="D12" s="563"/>
      <c r="E12" s="54" t="s">
        <v>10</v>
      </c>
      <c r="F12" s="54" t="s">
        <v>522</v>
      </c>
      <c r="G12" s="55" t="s">
        <v>523</v>
      </c>
      <c r="H12" s="54">
        <v>0</v>
      </c>
      <c r="I12" s="54">
        <v>1</v>
      </c>
      <c r="J12" s="54">
        <v>2</v>
      </c>
      <c r="K12" s="54">
        <v>3</v>
      </c>
      <c r="L12" s="54">
        <v>4</v>
      </c>
      <c r="M12" s="54">
        <v>5</v>
      </c>
      <c r="N12" s="54">
        <v>6</v>
      </c>
      <c r="O12" s="54">
        <v>7</v>
      </c>
      <c r="P12" s="54">
        <v>8</v>
      </c>
      <c r="Q12" s="54">
        <v>9</v>
      </c>
      <c r="R12" s="54">
        <v>10</v>
      </c>
      <c r="S12" s="54">
        <v>11</v>
      </c>
      <c r="T12" s="54">
        <v>12</v>
      </c>
      <c r="U12" s="54">
        <v>13</v>
      </c>
      <c r="V12" s="54">
        <v>14</v>
      </c>
      <c r="W12" s="54">
        <v>15</v>
      </c>
      <c r="X12" s="54">
        <v>16</v>
      </c>
      <c r="Y12" s="54">
        <v>17</v>
      </c>
      <c r="Z12" s="54">
        <v>18</v>
      </c>
      <c r="AA12" s="54">
        <v>19</v>
      </c>
      <c r="AB12" s="54">
        <v>20</v>
      </c>
      <c r="AC12" s="54">
        <v>21</v>
      </c>
      <c r="AD12" s="54">
        <v>22</v>
      </c>
      <c r="AE12" s="54">
        <v>23</v>
      </c>
      <c r="AF12" s="54">
        <v>24</v>
      </c>
      <c r="AG12" s="54">
        <v>25</v>
      </c>
      <c r="AH12" s="54">
        <v>26</v>
      </c>
      <c r="AI12" s="54">
        <v>27</v>
      </c>
      <c r="AJ12" s="54">
        <v>28</v>
      </c>
      <c r="AK12" s="54">
        <v>29</v>
      </c>
      <c r="AL12" s="54">
        <v>30</v>
      </c>
      <c r="AM12" s="54">
        <v>31</v>
      </c>
      <c r="AN12" s="54">
        <v>32</v>
      </c>
      <c r="AO12" s="54">
        <v>33</v>
      </c>
      <c r="AP12" s="54">
        <v>34</v>
      </c>
      <c r="AQ12" s="54">
        <v>35</v>
      </c>
      <c r="AR12" s="54">
        <v>36</v>
      </c>
      <c r="AS12" s="54">
        <v>37</v>
      </c>
      <c r="AT12" s="54">
        <v>38</v>
      </c>
      <c r="AU12" s="54">
        <v>39</v>
      </c>
      <c r="AV12" s="54">
        <v>40</v>
      </c>
      <c r="AW12" s="54">
        <v>41</v>
      </c>
      <c r="AX12" s="54">
        <v>42</v>
      </c>
      <c r="AY12" s="54">
        <v>43</v>
      </c>
      <c r="AZ12" s="54">
        <v>44</v>
      </c>
      <c r="BA12" s="54">
        <v>45</v>
      </c>
      <c r="BB12" s="54">
        <v>46</v>
      </c>
      <c r="BC12" s="54">
        <v>47</v>
      </c>
      <c r="BD12" s="54">
        <v>48</v>
      </c>
      <c r="BE12" s="54">
        <v>49</v>
      </c>
      <c r="BF12" s="101">
        <v>50</v>
      </c>
      <c r="BG12" s="101">
        <v>51</v>
      </c>
      <c r="BH12" s="101">
        <v>52</v>
      </c>
      <c r="BI12" s="101">
        <v>53</v>
      </c>
      <c r="BJ12" s="101">
        <v>54</v>
      </c>
      <c r="BK12" s="101">
        <v>55</v>
      </c>
      <c r="BL12" s="101">
        <v>56</v>
      </c>
      <c r="BM12" s="101">
        <v>57</v>
      </c>
      <c r="BN12" s="101">
        <v>58</v>
      </c>
      <c r="BO12" s="101">
        <v>59</v>
      </c>
      <c r="BP12" s="101">
        <v>60</v>
      </c>
      <c r="BQ12" s="101">
        <v>61</v>
      </c>
      <c r="BR12" s="101">
        <v>62</v>
      </c>
      <c r="BS12" s="101">
        <v>63</v>
      </c>
      <c r="BT12" s="101">
        <v>64</v>
      </c>
      <c r="BU12" s="101">
        <v>65</v>
      </c>
      <c r="BV12" s="101">
        <v>66</v>
      </c>
      <c r="BW12" s="101">
        <v>67</v>
      </c>
      <c r="BX12" s="101">
        <v>68</v>
      </c>
      <c r="BY12" s="101">
        <v>69</v>
      </c>
      <c r="BZ12" s="101">
        <v>70</v>
      </c>
      <c r="CA12" s="101">
        <v>71</v>
      </c>
      <c r="CB12" s="101">
        <v>72</v>
      </c>
      <c r="CC12" s="101">
        <v>73</v>
      </c>
      <c r="CD12" s="101">
        <v>74</v>
      </c>
      <c r="CE12" s="101">
        <v>75</v>
      </c>
      <c r="CF12" s="101">
        <v>76</v>
      </c>
      <c r="CG12" s="101">
        <v>77</v>
      </c>
      <c r="CH12" s="101">
        <v>78</v>
      </c>
      <c r="CI12" s="101">
        <v>79</v>
      </c>
      <c r="CJ12" s="101">
        <v>80</v>
      </c>
      <c r="CK12" s="101">
        <v>81</v>
      </c>
      <c r="CL12" s="101">
        <v>82</v>
      </c>
      <c r="CM12" s="101">
        <v>83</v>
      </c>
      <c r="CN12" s="101">
        <v>84</v>
      </c>
      <c r="CO12" s="101">
        <v>85</v>
      </c>
      <c r="CP12" s="101">
        <v>86</v>
      </c>
      <c r="CQ12" s="101">
        <v>87</v>
      </c>
      <c r="CR12" s="101">
        <v>88</v>
      </c>
      <c r="CS12" s="101">
        <v>89</v>
      </c>
      <c r="CT12" s="101">
        <v>90</v>
      </c>
      <c r="CU12" s="107">
        <v>91</v>
      </c>
      <c r="CV12" s="107">
        <v>92</v>
      </c>
      <c r="CW12" s="107">
        <v>93</v>
      </c>
      <c r="CX12" s="107">
        <v>94</v>
      </c>
      <c r="CY12" s="107">
        <v>95</v>
      </c>
      <c r="CZ12" s="107">
        <v>96</v>
      </c>
      <c r="DA12" s="107">
        <v>97</v>
      </c>
      <c r="DB12" s="107">
        <v>98</v>
      </c>
      <c r="DC12" s="107">
        <v>99</v>
      </c>
      <c r="DD12" s="107">
        <v>100</v>
      </c>
      <c r="DE12" s="107">
        <v>101</v>
      </c>
      <c r="DF12" s="107">
        <v>102</v>
      </c>
      <c r="DG12" s="107">
        <v>103</v>
      </c>
      <c r="DH12" s="107">
        <v>104</v>
      </c>
      <c r="DI12" s="107">
        <v>105</v>
      </c>
      <c r="DJ12" s="107">
        <v>106</v>
      </c>
      <c r="DK12" s="107">
        <v>107</v>
      </c>
      <c r="DL12" s="107">
        <v>108</v>
      </c>
      <c r="DM12" s="107">
        <v>109</v>
      </c>
      <c r="DN12" s="107">
        <v>110</v>
      </c>
      <c r="DO12" s="107">
        <v>111</v>
      </c>
      <c r="DP12" s="107">
        <v>112</v>
      </c>
      <c r="DQ12" s="107">
        <v>113</v>
      </c>
      <c r="DR12" s="107">
        <v>114</v>
      </c>
      <c r="DS12" s="107">
        <v>115</v>
      </c>
      <c r="DT12" s="107">
        <v>116</v>
      </c>
      <c r="DU12" s="107">
        <v>117</v>
      </c>
      <c r="DV12" s="107">
        <v>118</v>
      </c>
      <c r="DW12" s="107">
        <v>119</v>
      </c>
      <c r="DX12" s="107">
        <v>120</v>
      </c>
      <c r="DY12" s="412">
        <v>121</v>
      </c>
      <c r="DZ12" s="412">
        <v>122</v>
      </c>
      <c r="EA12" s="412">
        <v>123</v>
      </c>
      <c r="EB12" s="412">
        <v>124</v>
      </c>
      <c r="EC12" s="412">
        <v>125</v>
      </c>
      <c r="ED12" s="412">
        <v>126</v>
      </c>
      <c r="EE12" s="412">
        <v>127</v>
      </c>
      <c r="EF12" s="412">
        <v>128</v>
      </c>
      <c r="EG12" s="412">
        <v>129</v>
      </c>
      <c r="EH12" s="412">
        <v>130</v>
      </c>
      <c r="EI12" s="412">
        <v>131</v>
      </c>
      <c r="EJ12" s="412">
        <v>132</v>
      </c>
      <c r="EK12" s="412">
        <v>133</v>
      </c>
      <c r="EL12" s="412">
        <v>134</v>
      </c>
      <c r="EM12" s="412">
        <v>135</v>
      </c>
      <c r="EN12" s="412">
        <v>136</v>
      </c>
      <c r="EO12" s="412">
        <v>137</v>
      </c>
      <c r="EP12" s="412">
        <v>138</v>
      </c>
      <c r="EQ12" s="412">
        <v>139</v>
      </c>
      <c r="ER12" s="412">
        <v>140</v>
      </c>
      <c r="ES12" s="412">
        <v>141</v>
      </c>
      <c r="ET12" s="412">
        <v>142</v>
      </c>
      <c r="EU12" s="412">
        <v>143</v>
      </c>
      <c r="EV12" s="412">
        <v>144</v>
      </c>
      <c r="EW12" s="412">
        <v>145</v>
      </c>
      <c r="EX12" s="412">
        <v>146</v>
      </c>
      <c r="EY12" s="412">
        <v>147</v>
      </c>
      <c r="EZ12" s="412">
        <v>148</v>
      </c>
      <c r="FA12" s="412">
        <v>149</v>
      </c>
      <c r="FB12" s="412">
        <v>150</v>
      </c>
      <c r="FC12" s="412">
        <f>FB12+1</f>
        <v>151</v>
      </c>
      <c r="FD12" s="412">
        <f t="shared" ref="FD12:GF12" si="0">FC12+1</f>
        <v>152</v>
      </c>
      <c r="FE12" s="412">
        <f t="shared" si="0"/>
        <v>153</v>
      </c>
      <c r="FF12" s="412">
        <f t="shared" si="0"/>
        <v>154</v>
      </c>
      <c r="FG12" s="412">
        <f t="shared" si="0"/>
        <v>155</v>
      </c>
      <c r="FH12" s="412">
        <f t="shared" si="0"/>
        <v>156</v>
      </c>
      <c r="FI12" s="412">
        <f t="shared" si="0"/>
        <v>157</v>
      </c>
      <c r="FJ12" s="412">
        <f t="shared" si="0"/>
        <v>158</v>
      </c>
      <c r="FK12" s="412">
        <f t="shared" si="0"/>
        <v>159</v>
      </c>
      <c r="FL12" s="412">
        <f t="shared" si="0"/>
        <v>160</v>
      </c>
      <c r="FM12" s="412">
        <f t="shared" si="0"/>
        <v>161</v>
      </c>
      <c r="FN12" s="412">
        <f t="shared" si="0"/>
        <v>162</v>
      </c>
      <c r="FO12" s="412">
        <f t="shared" si="0"/>
        <v>163</v>
      </c>
      <c r="FP12" s="412">
        <f t="shared" si="0"/>
        <v>164</v>
      </c>
      <c r="FQ12" s="412">
        <f t="shared" si="0"/>
        <v>165</v>
      </c>
      <c r="FR12" s="412">
        <f t="shared" si="0"/>
        <v>166</v>
      </c>
      <c r="FS12" s="412">
        <f t="shared" si="0"/>
        <v>167</v>
      </c>
      <c r="FT12" s="412">
        <f t="shared" si="0"/>
        <v>168</v>
      </c>
      <c r="FU12" s="412">
        <f t="shared" si="0"/>
        <v>169</v>
      </c>
      <c r="FV12" s="412">
        <f t="shared" si="0"/>
        <v>170</v>
      </c>
      <c r="FW12" s="412">
        <f t="shared" si="0"/>
        <v>171</v>
      </c>
      <c r="FX12" s="412">
        <f t="shared" si="0"/>
        <v>172</v>
      </c>
      <c r="FY12" s="412">
        <f t="shared" si="0"/>
        <v>173</v>
      </c>
      <c r="FZ12" s="412">
        <f t="shared" si="0"/>
        <v>174</v>
      </c>
      <c r="GA12" s="412">
        <f t="shared" si="0"/>
        <v>175</v>
      </c>
      <c r="GB12" s="412">
        <f t="shared" si="0"/>
        <v>176</v>
      </c>
      <c r="GC12" s="412">
        <f t="shared" si="0"/>
        <v>177</v>
      </c>
      <c r="GD12" s="412">
        <f t="shared" si="0"/>
        <v>178</v>
      </c>
      <c r="GE12" s="412">
        <f t="shared" si="0"/>
        <v>179</v>
      </c>
      <c r="GF12" s="412">
        <f t="shared" si="0"/>
        <v>180</v>
      </c>
      <c r="GG12" s="412">
        <f>GF12+1</f>
        <v>181</v>
      </c>
      <c r="GH12" s="412">
        <f t="shared" ref="GH12:HJ12" si="1">GG12+1</f>
        <v>182</v>
      </c>
      <c r="GI12" s="412">
        <f t="shared" si="1"/>
        <v>183</v>
      </c>
      <c r="GJ12" s="412">
        <f t="shared" si="1"/>
        <v>184</v>
      </c>
      <c r="GK12" s="412">
        <f t="shared" si="1"/>
        <v>185</v>
      </c>
      <c r="GL12" s="412">
        <f t="shared" si="1"/>
        <v>186</v>
      </c>
      <c r="GM12" s="412">
        <f t="shared" si="1"/>
        <v>187</v>
      </c>
      <c r="GN12" s="412">
        <f t="shared" si="1"/>
        <v>188</v>
      </c>
      <c r="GO12" s="412">
        <f t="shared" si="1"/>
        <v>189</v>
      </c>
      <c r="GP12" s="412">
        <f t="shared" si="1"/>
        <v>190</v>
      </c>
      <c r="GQ12" s="412">
        <f t="shared" si="1"/>
        <v>191</v>
      </c>
      <c r="GR12" s="412">
        <f t="shared" si="1"/>
        <v>192</v>
      </c>
      <c r="GS12" s="412">
        <f t="shared" si="1"/>
        <v>193</v>
      </c>
      <c r="GT12" s="412">
        <f t="shared" si="1"/>
        <v>194</v>
      </c>
      <c r="GU12" s="412">
        <f t="shared" si="1"/>
        <v>195</v>
      </c>
      <c r="GV12" s="412">
        <f t="shared" si="1"/>
        <v>196</v>
      </c>
      <c r="GW12" s="412">
        <f t="shared" si="1"/>
        <v>197</v>
      </c>
      <c r="GX12" s="412">
        <f t="shared" si="1"/>
        <v>198</v>
      </c>
      <c r="GY12" s="412">
        <f t="shared" si="1"/>
        <v>199</v>
      </c>
      <c r="GZ12" s="412">
        <f t="shared" si="1"/>
        <v>200</v>
      </c>
      <c r="HA12" s="412">
        <f t="shared" si="1"/>
        <v>201</v>
      </c>
      <c r="HB12" s="412">
        <f t="shared" si="1"/>
        <v>202</v>
      </c>
      <c r="HC12" s="412">
        <f t="shared" si="1"/>
        <v>203</v>
      </c>
      <c r="HD12" s="412">
        <f t="shared" si="1"/>
        <v>204</v>
      </c>
      <c r="HE12" s="412">
        <f t="shared" si="1"/>
        <v>205</v>
      </c>
      <c r="HF12" s="412">
        <f t="shared" si="1"/>
        <v>206</v>
      </c>
      <c r="HG12" s="412">
        <f t="shared" si="1"/>
        <v>207</v>
      </c>
      <c r="HH12" s="412">
        <f t="shared" si="1"/>
        <v>208</v>
      </c>
      <c r="HI12" s="412">
        <f t="shared" si="1"/>
        <v>209</v>
      </c>
      <c r="HJ12" s="412">
        <f t="shared" si="1"/>
        <v>210</v>
      </c>
    </row>
    <row r="13" spans="2:218" ht="15" customHeight="1" x14ac:dyDescent="0.25">
      <c r="B13" s="10" t="s">
        <v>524</v>
      </c>
      <c r="C13" s="64"/>
      <c r="D13" s="64"/>
      <c r="E13" s="70">
        <f>E14</f>
        <v>3</v>
      </c>
      <c r="F13" s="70">
        <f>F14</f>
        <v>7.8333333333333339</v>
      </c>
      <c r="G13" s="70">
        <f>G14</f>
        <v>5.8333333333333339</v>
      </c>
      <c r="H13" s="63"/>
      <c r="I13" s="63"/>
      <c r="J13" s="63"/>
      <c r="K13" s="306">
        <f>SUM(K14:K17)</f>
        <v>2</v>
      </c>
      <c r="L13" s="306">
        <f t="shared" ref="L13:S13" si="2">SUM(L14:L17)</f>
        <v>2</v>
      </c>
      <c r="M13" s="306">
        <f t="shared" si="2"/>
        <v>2</v>
      </c>
      <c r="N13" s="306">
        <f t="shared" si="2"/>
        <v>2</v>
      </c>
      <c r="O13" s="306">
        <f t="shared" si="2"/>
        <v>2</v>
      </c>
      <c r="P13" s="306">
        <f t="shared" si="2"/>
        <v>2</v>
      </c>
      <c r="Q13" s="306">
        <f t="shared" si="2"/>
        <v>2</v>
      </c>
      <c r="R13" s="306">
        <f t="shared" si="2"/>
        <v>2</v>
      </c>
      <c r="S13" s="306">
        <f t="shared" si="2"/>
        <v>2</v>
      </c>
      <c r="T13" s="63"/>
      <c r="U13" s="63"/>
      <c r="V13" s="63"/>
      <c r="W13" s="63"/>
      <c r="X13" s="63"/>
      <c r="Y13" s="63"/>
      <c r="Z13" s="63"/>
      <c r="AA13" s="63"/>
      <c r="AB13" s="63"/>
      <c r="AC13" s="63"/>
      <c r="AD13" s="63"/>
      <c r="AE13" s="63"/>
      <c r="AF13" s="63"/>
      <c r="AG13" s="63"/>
      <c r="AH13" s="63"/>
      <c r="AI13" s="63"/>
      <c r="AJ13" s="63"/>
      <c r="AK13" s="63"/>
      <c r="AL13" s="63"/>
      <c r="AM13" s="63"/>
      <c r="AN13" s="63"/>
      <c r="AO13" s="63"/>
      <c r="AP13" s="63"/>
      <c r="AQ13" s="63"/>
      <c r="AR13" s="63"/>
      <c r="AS13" s="63"/>
      <c r="AT13" s="63"/>
      <c r="AU13" s="63"/>
      <c r="AV13" s="63"/>
      <c r="AW13" s="63"/>
      <c r="AX13" s="63"/>
      <c r="AY13" s="63"/>
      <c r="AZ13" s="63"/>
      <c r="BA13" s="63"/>
      <c r="BB13" s="63"/>
      <c r="BC13" s="63"/>
      <c r="BD13" s="63"/>
      <c r="BE13" s="63"/>
      <c r="BF13" s="63"/>
      <c r="BG13" s="63"/>
      <c r="BH13" s="63"/>
      <c r="BI13" s="63"/>
      <c r="BJ13" s="63"/>
      <c r="BK13" s="63"/>
      <c r="BL13" s="63"/>
      <c r="BM13" s="63"/>
      <c r="BN13" s="63"/>
      <c r="BO13" s="63"/>
      <c r="BP13" s="63"/>
      <c r="BQ13" s="63"/>
      <c r="BR13" s="63"/>
      <c r="BS13" s="63"/>
      <c r="BT13" s="63"/>
      <c r="BU13" s="63"/>
      <c r="BV13" s="63"/>
      <c r="BW13" s="63"/>
      <c r="BX13" s="63"/>
      <c r="BY13" s="63"/>
      <c r="BZ13" s="63"/>
      <c r="CA13" s="63"/>
      <c r="CB13" s="63"/>
      <c r="CC13" s="63"/>
      <c r="CD13" s="63"/>
      <c r="CE13" s="63"/>
      <c r="CF13" s="63"/>
      <c r="CG13" s="63"/>
      <c r="CH13" s="63"/>
      <c r="CI13" s="63"/>
      <c r="CJ13" s="63"/>
      <c r="CK13" s="63"/>
      <c r="CL13" s="63"/>
      <c r="CM13" s="63"/>
      <c r="CN13" s="63"/>
      <c r="CO13" s="63"/>
      <c r="CP13" s="63"/>
      <c r="CQ13" s="63"/>
      <c r="CR13" s="63"/>
      <c r="CS13" s="63"/>
      <c r="CT13" s="63"/>
      <c r="CU13" s="63"/>
      <c r="CV13" s="63"/>
      <c r="CW13" s="63"/>
      <c r="CX13" s="63"/>
      <c r="CY13" s="63"/>
      <c r="CZ13" s="63"/>
      <c r="DA13" s="63"/>
      <c r="DB13" s="63"/>
      <c r="DC13" s="63"/>
      <c r="DD13" s="63"/>
    </row>
    <row r="14" spans="2:218" s="3" customFormat="1" ht="15" customHeight="1" x14ac:dyDescent="0.25">
      <c r="B14" s="416" t="s">
        <v>519</v>
      </c>
      <c r="C14" s="15"/>
      <c r="D14" s="417"/>
      <c r="E14" s="31">
        <f>MIN(E15:F17)</f>
        <v>3</v>
      </c>
      <c r="F14" s="31">
        <f>MAX(E17:F17)</f>
        <v>7.8333333333333339</v>
      </c>
      <c r="G14" s="31">
        <f>F14-E14+1</f>
        <v>5.8333333333333339</v>
      </c>
      <c r="H14" s="63"/>
      <c r="I14" s="63"/>
      <c r="J14" s="63"/>
      <c r="K14" s="63">
        <f>'Memo calc'!$J$1104</f>
        <v>2</v>
      </c>
      <c r="L14" s="63">
        <f>'Memo calc'!$J$1104</f>
        <v>2</v>
      </c>
      <c r="M14" s="63">
        <f>'Memo calc'!$J$1104</f>
        <v>2</v>
      </c>
      <c r="N14" s="63">
        <f>'Memo calc'!$J$1104</f>
        <v>2</v>
      </c>
      <c r="O14" s="63">
        <f>'Memo calc'!$J$1104</f>
        <v>2</v>
      </c>
      <c r="P14" s="63">
        <f>'Memo calc'!$J$1104</f>
        <v>2</v>
      </c>
      <c r="Q14" s="63">
        <f>'Memo calc'!$J$1104</f>
        <v>2</v>
      </c>
      <c r="R14" s="63">
        <f>'Memo calc'!$J$1104</f>
        <v>2</v>
      </c>
      <c r="S14" s="63">
        <f>'Memo calc'!$J$1104</f>
        <v>2</v>
      </c>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3"/>
      <c r="BK14" s="63"/>
      <c r="BL14" s="63"/>
      <c r="BM14" s="63"/>
      <c r="BN14" s="63"/>
      <c r="BO14" s="63"/>
      <c r="BP14" s="63"/>
      <c r="BQ14" s="63"/>
      <c r="BR14" s="63"/>
      <c r="BS14" s="63"/>
      <c r="BT14" s="63"/>
      <c r="BU14" s="63"/>
      <c r="BV14" s="63"/>
      <c r="BW14" s="63"/>
      <c r="BX14" s="63"/>
      <c r="BY14" s="63"/>
      <c r="BZ14" s="63"/>
      <c r="CA14" s="63"/>
      <c r="CB14" s="63"/>
      <c r="CC14" s="63"/>
      <c r="CD14" s="63"/>
      <c r="CE14" s="63"/>
      <c r="CF14" s="63"/>
      <c r="CG14" s="63"/>
      <c r="CH14" s="63"/>
      <c r="CI14" s="63"/>
      <c r="CJ14" s="63"/>
      <c r="CK14" s="63"/>
      <c r="CL14" s="63"/>
      <c r="CM14" s="63"/>
      <c r="CN14" s="63"/>
      <c r="CO14" s="63"/>
      <c r="CP14" s="63"/>
      <c r="CQ14" s="63"/>
      <c r="CR14" s="63"/>
      <c r="CS14" s="63"/>
      <c r="CT14" s="63"/>
      <c r="CU14" s="63"/>
      <c r="CV14" s="63"/>
      <c r="CW14" s="63"/>
      <c r="CX14" s="63"/>
      <c r="CY14" s="63"/>
      <c r="CZ14" s="63"/>
      <c r="DA14" s="63"/>
      <c r="DB14" s="63"/>
      <c r="DC14" s="63"/>
      <c r="DD14" s="63"/>
    </row>
    <row r="15" spans="2:218" s="3" customFormat="1" ht="15" customHeight="1" x14ac:dyDescent="0.25">
      <c r="B15" s="416" t="s">
        <v>780</v>
      </c>
      <c r="C15" s="15"/>
      <c r="D15" s="417"/>
      <c r="E15" s="31">
        <f>'Crono fisico'!E17</f>
        <v>3</v>
      </c>
      <c r="F15" s="31">
        <f>'Crono fisico'!F17</f>
        <v>5</v>
      </c>
      <c r="G15" s="31">
        <f>F15-E15+1</f>
        <v>3</v>
      </c>
      <c r="H15" s="63"/>
      <c r="I15" s="63"/>
      <c r="J15" s="63"/>
      <c r="K15" s="63">
        <v>0</v>
      </c>
      <c r="L15" s="63">
        <v>0</v>
      </c>
      <c r="M15" s="63">
        <v>0</v>
      </c>
      <c r="N15" s="63">
        <v>0</v>
      </c>
      <c r="O15" s="63">
        <v>0</v>
      </c>
      <c r="P15" s="63">
        <v>0</v>
      </c>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3"/>
      <c r="BK15" s="63"/>
      <c r="BL15" s="63"/>
      <c r="BM15" s="63"/>
      <c r="BN15" s="63"/>
      <c r="BO15" s="63"/>
      <c r="BP15" s="63"/>
      <c r="BQ15" s="63"/>
      <c r="BR15" s="63"/>
      <c r="BS15" s="63"/>
      <c r="BT15" s="63"/>
      <c r="BU15" s="63"/>
      <c r="BV15" s="63"/>
      <c r="BW15" s="63"/>
      <c r="BX15" s="63"/>
      <c r="BY15" s="63"/>
      <c r="BZ15" s="63"/>
      <c r="CA15" s="63"/>
      <c r="CB15" s="63"/>
      <c r="CC15" s="63"/>
      <c r="CD15" s="63"/>
      <c r="CE15" s="63"/>
      <c r="CF15" s="63"/>
      <c r="CG15" s="63"/>
      <c r="CH15" s="63"/>
      <c r="CI15" s="63"/>
      <c r="CJ15" s="63"/>
      <c r="CK15" s="63"/>
      <c r="CL15" s="63"/>
      <c r="CM15" s="63"/>
      <c r="CN15" s="63"/>
      <c r="CO15" s="63"/>
      <c r="CP15" s="63"/>
      <c r="CQ15" s="63"/>
      <c r="CR15" s="63"/>
      <c r="CS15" s="63"/>
      <c r="CT15" s="63"/>
      <c r="CU15" s="63"/>
      <c r="CV15" s="63"/>
      <c r="CW15" s="63"/>
      <c r="CX15" s="63"/>
      <c r="CY15" s="63"/>
      <c r="CZ15" s="63"/>
      <c r="DA15" s="63"/>
      <c r="DB15" s="63"/>
      <c r="DC15" s="63"/>
      <c r="DD15" s="63"/>
    </row>
    <row r="16" spans="2:218" s="3" customFormat="1" ht="15" customHeight="1" x14ac:dyDescent="0.25">
      <c r="B16" s="416" t="s">
        <v>740</v>
      </c>
      <c r="C16" s="15"/>
      <c r="D16" s="417"/>
      <c r="E16" s="31">
        <f>'Crono fisico'!E23</f>
        <v>3</v>
      </c>
      <c r="F16" s="31">
        <f>'Crono fisico'!F23</f>
        <v>6</v>
      </c>
      <c r="G16" s="31">
        <f>F16-E16+1</f>
        <v>4</v>
      </c>
      <c r="H16" s="63"/>
      <c r="I16" s="63"/>
      <c r="J16" s="63"/>
      <c r="K16" s="63">
        <v>0</v>
      </c>
      <c r="L16" s="63">
        <v>0</v>
      </c>
      <c r="M16" s="63">
        <v>0</v>
      </c>
      <c r="N16" s="63">
        <v>0</v>
      </c>
      <c r="O16" s="63">
        <v>0</v>
      </c>
      <c r="P16" s="63">
        <v>0</v>
      </c>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c r="BH16" s="63"/>
      <c r="BI16" s="63"/>
      <c r="BJ16" s="63"/>
      <c r="BK16" s="63"/>
      <c r="BL16" s="63"/>
      <c r="BM16" s="63"/>
      <c r="BN16" s="63"/>
      <c r="BO16" s="63"/>
      <c r="BP16" s="63"/>
      <c r="BQ16" s="63"/>
      <c r="BR16" s="63"/>
      <c r="BS16" s="63"/>
      <c r="BT16" s="63"/>
      <c r="BU16" s="63"/>
      <c r="BV16" s="63"/>
      <c r="BW16" s="63"/>
      <c r="BX16" s="63"/>
      <c r="BY16" s="63"/>
      <c r="BZ16" s="63"/>
      <c r="CA16" s="63"/>
      <c r="CB16" s="63"/>
      <c r="CC16" s="63"/>
      <c r="CD16" s="63"/>
      <c r="CE16" s="63"/>
      <c r="CF16" s="63"/>
      <c r="CG16" s="63"/>
      <c r="CH16" s="63"/>
      <c r="CI16" s="63"/>
      <c r="CJ16" s="63"/>
      <c r="CK16" s="63"/>
      <c r="CL16" s="63"/>
      <c r="CM16" s="63"/>
      <c r="CN16" s="63"/>
      <c r="CO16" s="63"/>
      <c r="CP16" s="63"/>
      <c r="CQ16" s="63"/>
      <c r="CR16" s="63"/>
      <c r="CS16" s="63"/>
      <c r="CT16" s="63"/>
      <c r="CU16" s="63"/>
      <c r="CV16" s="63"/>
      <c r="CW16" s="63"/>
      <c r="CX16" s="63"/>
      <c r="CY16" s="63"/>
      <c r="CZ16" s="63"/>
      <c r="DA16" s="63"/>
      <c r="DB16" s="63"/>
      <c r="DC16" s="63"/>
      <c r="DD16" s="63"/>
    </row>
    <row r="17" spans="2:120" s="3" customFormat="1" ht="15" customHeight="1" x14ac:dyDescent="0.25">
      <c r="B17" s="416" t="s">
        <v>520</v>
      </c>
      <c r="C17" s="15"/>
      <c r="D17" s="417"/>
      <c r="E17" s="31">
        <f>'Crono fisico'!E31</f>
        <v>3</v>
      </c>
      <c r="F17" s="31">
        <f>'Crono fisico'!F31</f>
        <v>7.8333333333333339</v>
      </c>
      <c r="G17" s="31">
        <f>'Crono fisico'!G31</f>
        <v>5.8333333333333339</v>
      </c>
      <c r="H17" s="63"/>
      <c r="I17" s="63"/>
      <c r="J17" s="63"/>
      <c r="K17" s="63">
        <v>0</v>
      </c>
      <c r="L17" s="63">
        <v>0</v>
      </c>
      <c r="M17" s="63">
        <v>0</v>
      </c>
      <c r="N17" s="63">
        <v>0</v>
      </c>
      <c r="O17" s="63">
        <v>0</v>
      </c>
      <c r="P17" s="63">
        <v>0</v>
      </c>
      <c r="Q17" s="63">
        <v>0</v>
      </c>
      <c r="R17" s="63">
        <v>0</v>
      </c>
      <c r="S17" s="63">
        <v>0</v>
      </c>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row>
    <row r="18" spans="2:120" s="3" customFormat="1" ht="15" customHeight="1" x14ac:dyDescent="0.25">
      <c r="B18" s="10" t="s">
        <v>1038</v>
      </c>
      <c r="C18" s="64"/>
      <c r="D18" s="64"/>
      <c r="E18" s="70">
        <f>E19</f>
        <v>8.8333333333333339</v>
      </c>
      <c r="F18" s="70">
        <f>F19</f>
        <v>16.833333333333336</v>
      </c>
      <c r="G18" s="70">
        <f>G19</f>
        <v>9.0000000000000018</v>
      </c>
      <c r="H18" s="63"/>
      <c r="I18" s="63"/>
      <c r="J18" s="63"/>
      <c r="K18" s="63"/>
      <c r="L18" s="63"/>
      <c r="M18" s="63"/>
      <c r="N18" s="63"/>
      <c r="O18" s="63"/>
      <c r="P18" s="63"/>
      <c r="Q18" s="63"/>
      <c r="R18" s="63"/>
      <c r="S18" s="63"/>
      <c r="T18" s="306">
        <f>SUM(T19)</f>
        <v>2</v>
      </c>
      <c r="U18" s="306">
        <f t="shared" ref="U18:AH18" si="3">SUM(U19)</f>
        <v>2</v>
      </c>
      <c r="V18" s="306">
        <f t="shared" si="3"/>
        <v>2</v>
      </c>
      <c r="W18" s="306">
        <f t="shared" si="3"/>
        <v>2</v>
      </c>
      <c r="X18" s="306">
        <f t="shared" si="3"/>
        <v>2</v>
      </c>
      <c r="Y18" s="306">
        <f t="shared" si="3"/>
        <v>2</v>
      </c>
      <c r="Z18" s="306">
        <f t="shared" si="3"/>
        <v>2</v>
      </c>
      <c r="AA18" s="306">
        <f t="shared" si="3"/>
        <v>2</v>
      </c>
      <c r="AB18" s="306">
        <f t="shared" si="3"/>
        <v>2</v>
      </c>
      <c r="AC18" s="306">
        <f t="shared" si="3"/>
        <v>2</v>
      </c>
      <c r="AD18" s="306">
        <f t="shared" si="3"/>
        <v>2</v>
      </c>
      <c r="AE18" s="306">
        <f t="shared" si="3"/>
        <v>2</v>
      </c>
      <c r="AF18" s="306">
        <f t="shared" si="3"/>
        <v>2</v>
      </c>
      <c r="AG18" s="306">
        <f t="shared" si="3"/>
        <v>2</v>
      </c>
      <c r="AH18" s="306">
        <f t="shared" si="3"/>
        <v>2</v>
      </c>
      <c r="AI18" s="63"/>
      <c r="AJ18" s="63"/>
      <c r="AK18" s="63"/>
      <c r="AL18" s="63"/>
      <c r="AM18" s="63"/>
      <c r="AN18" s="63"/>
      <c r="AO18" s="63"/>
      <c r="AP18" s="63"/>
      <c r="AQ18" s="63"/>
      <c r="AR18" s="63"/>
      <c r="AS18" s="63"/>
      <c r="AT18" s="63"/>
      <c r="AU18" s="63"/>
      <c r="AV18" s="63"/>
      <c r="AW18" s="63"/>
      <c r="AX18" s="63"/>
      <c r="AY18" s="63"/>
      <c r="AZ18" s="63"/>
      <c r="BA18" s="63"/>
      <c r="BB18" s="63"/>
      <c r="BC18" s="63"/>
      <c r="BD18" s="63"/>
      <c r="BE18" s="63"/>
      <c r="BF18" s="63"/>
      <c r="BG18" s="63"/>
      <c r="BH18" s="63"/>
      <c r="BI18" s="63"/>
      <c r="BJ18" s="63"/>
      <c r="BK18" s="63"/>
      <c r="BL18" s="63"/>
      <c r="BM18" s="63"/>
      <c r="BN18" s="63"/>
    </row>
    <row r="19" spans="2:120" s="3" customFormat="1" ht="15" customHeight="1" x14ac:dyDescent="0.25">
      <c r="B19" s="416" t="s">
        <v>538</v>
      </c>
      <c r="C19" s="15"/>
      <c r="D19" s="417"/>
      <c r="E19" s="31">
        <f>'Crono fisico'!E32</f>
        <v>8.8333333333333339</v>
      </c>
      <c r="F19" s="31">
        <f>'Crono fisico'!F32</f>
        <v>16.833333333333336</v>
      </c>
      <c r="G19" s="31">
        <f t="shared" ref="G19:G24" si="4">F19-E19+1</f>
        <v>9.0000000000000018</v>
      </c>
      <c r="H19" s="63"/>
      <c r="I19" s="63"/>
      <c r="J19" s="63"/>
      <c r="K19" s="63"/>
      <c r="L19" s="63"/>
      <c r="M19" s="63"/>
      <c r="N19" s="63"/>
      <c r="O19" s="63"/>
      <c r="P19" s="63"/>
      <c r="Q19" s="63"/>
      <c r="R19" s="63"/>
      <c r="S19" s="63"/>
      <c r="T19" s="63">
        <f>'Memo calc'!$J$988</f>
        <v>2</v>
      </c>
      <c r="U19" s="63">
        <f>'Memo calc'!$J$988</f>
        <v>2</v>
      </c>
      <c r="V19" s="63">
        <f>'Memo calc'!$J$988</f>
        <v>2</v>
      </c>
      <c r="W19" s="63">
        <f>'Memo calc'!$J$988</f>
        <v>2</v>
      </c>
      <c r="X19" s="63">
        <f>'Memo calc'!$J$988</f>
        <v>2</v>
      </c>
      <c r="Y19" s="63">
        <f>'Memo calc'!$J$988</f>
        <v>2</v>
      </c>
      <c r="Z19" s="63">
        <f>'Memo calc'!$J$988</f>
        <v>2</v>
      </c>
      <c r="AA19" s="63">
        <f>'Memo calc'!$J$988</f>
        <v>2</v>
      </c>
      <c r="AB19" s="63">
        <f>'Memo calc'!$J$988</f>
        <v>2</v>
      </c>
      <c r="AC19" s="63">
        <f>'Memo calc'!$J$988</f>
        <v>2</v>
      </c>
      <c r="AD19" s="63">
        <f>'Memo calc'!$J$988</f>
        <v>2</v>
      </c>
      <c r="AE19" s="63">
        <f>'Memo calc'!$J$988</f>
        <v>2</v>
      </c>
      <c r="AF19" s="63">
        <f>'Memo calc'!$J$988</f>
        <v>2</v>
      </c>
      <c r="AG19" s="63">
        <f>'Memo calc'!$J$988</f>
        <v>2</v>
      </c>
      <c r="AH19" s="63">
        <f>'Memo calc'!$J$988</f>
        <v>2</v>
      </c>
      <c r="AI19" s="63"/>
      <c r="AJ19" s="63"/>
      <c r="AK19" s="63"/>
      <c r="AL19" s="63"/>
      <c r="AM19" s="63"/>
      <c r="AN19" s="63"/>
      <c r="AO19" s="63"/>
      <c r="AP19" s="63"/>
      <c r="AQ19" s="63"/>
      <c r="AR19" s="63"/>
      <c r="AS19" s="63"/>
      <c r="AT19" s="63"/>
      <c r="AU19" s="63"/>
      <c r="AV19" s="63"/>
      <c r="AW19" s="63"/>
      <c r="AX19" s="63"/>
      <c r="AY19" s="63"/>
      <c r="AZ19" s="63"/>
      <c r="BA19" s="63"/>
      <c r="BB19" s="63"/>
      <c r="BC19" s="63"/>
      <c r="BD19" s="63"/>
      <c r="BE19" s="63"/>
      <c r="BF19" s="63"/>
      <c r="BG19" s="63"/>
      <c r="BH19" s="63"/>
      <c r="BI19" s="63"/>
      <c r="BJ19" s="63"/>
      <c r="BK19" s="63"/>
      <c r="BL19" s="63"/>
      <c r="BM19" s="63"/>
      <c r="BN19" s="63"/>
    </row>
    <row r="20" spans="2:120" s="3" customFormat="1" ht="15" customHeight="1" x14ac:dyDescent="0.25">
      <c r="B20" s="10" t="s">
        <v>1037</v>
      </c>
      <c r="C20" s="64"/>
      <c r="D20" s="64"/>
      <c r="E20" s="70">
        <f>MIN(E22:F38)</f>
        <v>1</v>
      </c>
      <c r="F20" s="70">
        <f>MAX(E22:F41)</f>
        <v>130</v>
      </c>
      <c r="G20" s="70">
        <f t="shared" si="4"/>
        <v>130</v>
      </c>
      <c r="H20" s="63"/>
      <c r="I20" s="306">
        <f>I21</f>
        <v>2</v>
      </c>
      <c r="J20" s="306">
        <f t="shared" ref="J20:T20" si="5">J21</f>
        <v>2</v>
      </c>
      <c r="K20" s="306">
        <f t="shared" si="5"/>
        <v>3</v>
      </c>
      <c r="L20" s="306">
        <f t="shared" si="5"/>
        <v>3</v>
      </c>
      <c r="M20" s="306">
        <f t="shared" si="5"/>
        <v>2</v>
      </c>
      <c r="N20" s="306">
        <f t="shared" si="5"/>
        <v>2</v>
      </c>
      <c r="O20" s="306">
        <f t="shared" si="5"/>
        <v>2</v>
      </c>
      <c r="P20" s="306">
        <f t="shared" si="5"/>
        <v>2</v>
      </c>
      <c r="Q20" s="306">
        <f t="shared" si="5"/>
        <v>7</v>
      </c>
      <c r="R20" s="306">
        <f t="shared" si="5"/>
        <v>7</v>
      </c>
      <c r="S20" s="306">
        <f t="shared" si="5"/>
        <v>5</v>
      </c>
      <c r="T20" s="306">
        <f t="shared" si="5"/>
        <v>5</v>
      </c>
      <c r="U20" s="306"/>
      <c r="V20" s="306"/>
      <c r="W20" s="306"/>
      <c r="X20" s="306"/>
      <c r="Y20" s="306"/>
      <c r="Z20" s="306"/>
      <c r="AA20" s="306"/>
      <c r="AB20" s="306"/>
      <c r="AC20" s="306"/>
      <c r="AD20" s="306"/>
      <c r="AE20" s="306"/>
      <c r="AF20" s="306"/>
      <c r="AG20" s="306"/>
      <c r="AH20" s="306"/>
      <c r="AI20" s="306"/>
      <c r="AJ20" s="306"/>
      <c r="AK20" s="306"/>
      <c r="AL20" s="306"/>
      <c r="AM20" s="306"/>
      <c r="AN20" s="306"/>
      <c r="AO20" s="306"/>
      <c r="AP20" s="306"/>
      <c r="AQ20" s="306"/>
      <c r="AR20" s="306"/>
      <c r="AS20" s="306"/>
      <c r="AT20" s="306"/>
      <c r="AU20" s="306"/>
      <c r="AV20" s="306"/>
      <c r="AW20" s="306"/>
      <c r="AX20" s="306"/>
      <c r="AY20" s="306"/>
      <c r="AZ20" s="306"/>
      <c r="BA20" s="306"/>
      <c r="BB20" s="306"/>
      <c r="BC20" s="306"/>
      <c r="BD20" s="306">
        <f>BD28</f>
        <v>2</v>
      </c>
      <c r="BE20" s="306">
        <f t="shared" ref="BE20:CK20" si="6">BE28</f>
        <v>2</v>
      </c>
      <c r="BF20" s="306">
        <f t="shared" si="6"/>
        <v>2</v>
      </c>
      <c r="BG20" s="306">
        <f t="shared" si="6"/>
        <v>2</v>
      </c>
      <c r="BH20" s="306">
        <f t="shared" si="6"/>
        <v>2</v>
      </c>
      <c r="BI20" s="306">
        <f t="shared" si="6"/>
        <v>2</v>
      </c>
      <c r="BJ20" s="306">
        <f t="shared" si="6"/>
        <v>2</v>
      </c>
      <c r="BK20" s="306">
        <f t="shared" si="6"/>
        <v>4</v>
      </c>
      <c r="BL20" s="306">
        <f t="shared" si="6"/>
        <v>2</v>
      </c>
      <c r="BM20" s="306">
        <f t="shared" si="6"/>
        <v>4</v>
      </c>
      <c r="BN20" s="306">
        <f t="shared" si="6"/>
        <v>2</v>
      </c>
      <c r="BO20" s="306">
        <f t="shared" si="6"/>
        <v>4</v>
      </c>
      <c r="BP20" s="306">
        <f t="shared" si="6"/>
        <v>2</v>
      </c>
      <c r="BQ20" s="306">
        <f t="shared" si="6"/>
        <v>6</v>
      </c>
      <c r="BR20" s="306">
        <f t="shared" si="6"/>
        <v>2</v>
      </c>
      <c r="BS20" s="306">
        <f t="shared" si="6"/>
        <v>4</v>
      </c>
      <c r="BT20" s="306">
        <f t="shared" si="6"/>
        <v>6</v>
      </c>
      <c r="BU20" s="306">
        <f t="shared" si="6"/>
        <v>2</v>
      </c>
      <c r="BV20" s="306">
        <f t="shared" si="6"/>
        <v>2</v>
      </c>
      <c r="BW20" s="306">
        <f t="shared" si="6"/>
        <v>0</v>
      </c>
      <c r="BX20" s="306">
        <f t="shared" si="6"/>
        <v>0</v>
      </c>
      <c r="BY20" s="306">
        <f t="shared" si="6"/>
        <v>0</v>
      </c>
      <c r="BZ20" s="306">
        <f t="shared" si="6"/>
        <v>0</v>
      </c>
      <c r="CA20" s="306">
        <f t="shared" si="6"/>
        <v>0</v>
      </c>
      <c r="CB20" s="306">
        <f t="shared" si="6"/>
        <v>0</v>
      </c>
      <c r="CC20" s="306">
        <f t="shared" si="6"/>
        <v>0</v>
      </c>
      <c r="CD20" s="306">
        <f t="shared" si="6"/>
        <v>0</v>
      </c>
      <c r="CE20" s="306">
        <f t="shared" si="6"/>
        <v>0</v>
      </c>
      <c r="CF20" s="306">
        <f t="shared" si="6"/>
        <v>0</v>
      </c>
      <c r="CG20" s="306">
        <f t="shared" si="6"/>
        <v>0</v>
      </c>
      <c r="CH20" s="306">
        <f t="shared" si="6"/>
        <v>0</v>
      </c>
      <c r="CI20" s="306">
        <f t="shared" si="6"/>
        <v>0</v>
      </c>
      <c r="CJ20" s="306">
        <f t="shared" si="6"/>
        <v>0</v>
      </c>
      <c r="CK20" s="306">
        <f t="shared" si="6"/>
        <v>0</v>
      </c>
      <c r="CL20" s="306"/>
      <c r="CM20" s="306"/>
      <c r="CN20" s="306"/>
      <c r="CO20" s="306"/>
      <c r="CP20" s="306"/>
      <c r="CQ20" s="306"/>
      <c r="CR20" s="306"/>
      <c r="CS20" s="306"/>
      <c r="CT20" s="306"/>
      <c r="CU20" s="306"/>
      <c r="CV20" s="306"/>
      <c r="CW20" s="306"/>
      <c r="CX20" s="306"/>
      <c r="CY20" s="306"/>
      <c r="CZ20" s="306"/>
      <c r="DA20" s="306"/>
      <c r="DB20" s="306"/>
      <c r="DC20" s="306"/>
      <c r="DD20" s="306"/>
      <c r="DE20" s="306"/>
      <c r="DF20" s="306"/>
      <c r="DG20" s="306"/>
      <c r="DH20" s="306"/>
      <c r="DI20" s="306"/>
      <c r="DJ20" s="306"/>
      <c r="DK20" s="306"/>
      <c r="DL20" s="306"/>
      <c r="DM20" s="306"/>
      <c r="DN20" s="306"/>
      <c r="DO20" s="306"/>
      <c r="DP20" s="306"/>
    </row>
    <row r="21" spans="2:120" s="3" customFormat="1" ht="15" customHeight="1" x14ac:dyDescent="0.25">
      <c r="B21" s="303" t="s">
        <v>528</v>
      </c>
      <c r="C21" s="12"/>
      <c r="D21" s="304"/>
      <c r="E21" s="70">
        <f>MIN(E22:F27)</f>
        <v>1</v>
      </c>
      <c r="F21" s="70">
        <f>MAX(E22:F27)</f>
        <v>9</v>
      </c>
      <c r="G21" s="70">
        <f t="shared" si="4"/>
        <v>9</v>
      </c>
      <c r="H21" s="63"/>
      <c r="I21" s="306">
        <f t="shared" ref="I21:T21" si="7">SUM(I22:I27)</f>
        <v>2</v>
      </c>
      <c r="J21" s="306">
        <f t="shared" si="7"/>
        <v>2</v>
      </c>
      <c r="K21" s="306">
        <f t="shared" si="7"/>
        <v>3</v>
      </c>
      <c r="L21" s="306">
        <f t="shared" si="7"/>
        <v>3</v>
      </c>
      <c r="M21" s="306">
        <f t="shared" si="7"/>
        <v>2</v>
      </c>
      <c r="N21" s="306">
        <f t="shared" si="7"/>
        <v>2</v>
      </c>
      <c r="O21" s="306">
        <f t="shared" si="7"/>
        <v>2</v>
      </c>
      <c r="P21" s="306">
        <f t="shared" si="7"/>
        <v>2</v>
      </c>
      <c r="Q21" s="306">
        <f t="shared" si="7"/>
        <v>7</v>
      </c>
      <c r="R21" s="306">
        <f t="shared" si="7"/>
        <v>7</v>
      </c>
      <c r="S21" s="306">
        <f t="shared" si="7"/>
        <v>5</v>
      </c>
      <c r="T21" s="306">
        <f t="shared" si="7"/>
        <v>5</v>
      </c>
      <c r="U21" s="306"/>
      <c r="V21" s="306"/>
      <c r="W21" s="306"/>
      <c r="X21" s="306"/>
      <c r="Y21" s="306"/>
      <c r="Z21" s="306"/>
      <c r="AA21" s="306"/>
      <c r="AB21" s="306"/>
      <c r="AC21" s="306"/>
      <c r="AD21" s="306"/>
      <c r="AE21" s="306"/>
      <c r="AF21" s="306"/>
      <c r="AG21" s="306"/>
      <c r="AH21" s="306"/>
      <c r="AI21" s="306"/>
      <c r="AJ21" s="306"/>
      <c r="AK21" s="306"/>
      <c r="AL21" s="306"/>
      <c r="AM21" s="306"/>
      <c r="AN21" s="306"/>
      <c r="AO21" s="306"/>
      <c r="AP21" s="306"/>
      <c r="AQ21" s="306"/>
      <c r="AR21" s="306"/>
      <c r="AS21" s="306"/>
      <c r="AT21" s="306"/>
      <c r="AU21" s="306"/>
      <c r="AV21" s="306"/>
      <c r="AW21" s="306"/>
      <c r="AX21" s="306"/>
      <c r="AY21" s="306"/>
      <c r="AZ21" s="306"/>
      <c r="BA21" s="306"/>
      <c r="BB21" s="306"/>
      <c r="BC21" s="306"/>
      <c r="BD21" s="63"/>
      <c r="BE21" s="63"/>
      <c r="BF21" s="63"/>
      <c r="BG21" s="63"/>
      <c r="BH21" s="63"/>
      <c r="BI21" s="63"/>
      <c r="BJ21" s="63"/>
      <c r="BK21" s="63"/>
      <c r="BL21" s="63"/>
      <c r="BM21" s="63"/>
      <c r="BN21" s="63"/>
    </row>
    <row r="22" spans="2:120" s="3" customFormat="1" ht="15" customHeight="1" x14ac:dyDescent="0.25">
      <c r="B22" s="416" t="s">
        <v>206</v>
      </c>
      <c r="C22" s="15"/>
      <c r="D22" s="417"/>
      <c r="E22" s="31">
        <f>'Crono fisico'!E15</f>
        <v>1</v>
      </c>
      <c r="F22" s="31">
        <f>'Crono fisico'!F15</f>
        <v>2</v>
      </c>
      <c r="G22" s="31">
        <f t="shared" si="4"/>
        <v>2</v>
      </c>
      <c r="H22" s="63"/>
      <c r="I22" s="63">
        <f>'Memo calc'!$J$41</f>
        <v>2</v>
      </c>
      <c r="J22" s="63">
        <f>'Memo calc'!$J$41</f>
        <v>2</v>
      </c>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row>
    <row r="23" spans="2:120" s="3" customFormat="1" ht="15" customHeight="1" x14ac:dyDescent="0.25">
      <c r="B23" s="416" t="s">
        <v>781</v>
      </c>
      <c r="C23" s="15"/>
      <c r="D23" s="417"/>
      <c r="E23" s="31">
        <f>'Crono fisico'!E18</f>
        <v>6</v>
      </c>
      <c r="F23" s="31">
        <f>'Crono fisico'!F18</f>
        <v>8</v>
      </c>
      <c r="G23" s="31">
        <f t="shared" si="4"/>
        <v>3</v>
      </c>
      <c r="H23" s="63"/>
      <c r="I23" s="63"/>
      <c r="J23" s="63"/>
      <c r="K23" s="63"/>
      <c r="L23" s="63"/>
      <c r="M23" s="63"/>
      <c r="N23" s="63"/>
      <c r="O23" s="63"/>
      <c r="P23" s="63"/>
      <c r="Q23" s="63">
        <f>'Memo calc'!$J$170</f>
        <v>2</v>
      </c>
      <c r="R23" s="63">
        <f>'Memo calc'!$J$170</f>
        <v>2</v>
      </c>
      <c r="S23" s="63">
        <f>'Memo calc'!$J$170</f>
        <v>2</v>
      </c>
      <c r="T23" s="63">
        <f>'Memo calc'!$J$170</f>
        <v>2</v>
      </c>
      <c r="U23" s="63"/>
      <c r="V23" s="63"/>
      <c r="W23" s="63"/>
      <c r="X23" s="63"/>
      <c r="Y23" s="63"/>
      <c r="Z23" s="63"/>
      <c r="AA23" s="63"/>
      <c r="AB23" s="63"/>
      <c r="AC23" s="63"/>
      <c r="AD23" s="63"/>
      <c r="AE23" s="63"/>
      <c r="AF23" s="63"/>
      <c r="AG23" s="63"/>
      <c r="AH23" s="63"/>
      <c r="AI23" s="63"/>
      <c r="AJ23" s="63"/>
      <c r="AK23" s="63"/>
      <c r="AL23" s="63"/>
      <c r="AM23" s="63"/>
      <c r="AN23" s="63"/>
      <c r="AO23" s="63"/>
      <c r="AP23" s="63"/>
      <c r="AQ23" s="63"/>
      <c r="AR23" s="63"/>
      <c r="AS23" s="63"/>
      <c r="AT23" s="63"/>
      <c r="AU23" s="63"/>
      <c r="AV23" s="63"/>
      <c r="AW23" s="63"/>
      <c r="AX23" s="63"/>
      <c r="AY23" s="63"/>
      <c r="AZ23" s="63"/>
      <c r="BA23" s="63"/>
      <c r="BB23" s="63"/>
      <c r="BC23" s="63"/>
      <c r="BD23" s="63"/>
      <c r="BE23" s="63"/>
      <c r="BF23" s="63"/>
      <c r="BG23" s="63"/>
      <c r="BH23" s="63"/>
      <c r="BI23" s="63"/>
      <c r="BJ23" s="63"/>
      <c r="BK23" s="63"/>
      <c r="BL23" s="63"/>
      <c r="BM23" s="63"/>
      <c r="BN23" s="63"/>
    </row>
    <row r="24" spans="2:120" s="3" customFormat="1" ht="15" customHeight="1" x14ac:dyDescent="0.25">
      <c r="B24" s="618" t="s">
        <v>209</v>
      </c>
      <c r="C24" s="619"/>
      <c r="D24" s="620"/>
      <c r="E24" s="31">
        <f>'Crono fisico'!E19</f>
        <v>3</v>
      </c>
      <c r="F24" s="31">
        <f>'Crono fisico'!F19</f>
        <v>4</v>
      </c>
      <c r="G24" s="31">
        <f t="shared" si="4"/>
        <v>2</v>
      </c>
      <c r="H24" s="63"/>
      <c r="I24" s="63"/>
      <c r="J24" s="63"/>
      <c r="K24" s="63">
        <f>'Memo calc'!$J$214</f>
        <v>3</v>
      </c>
      <c r="L24" s="63">
        <f>'Memo calc'!$J$214</f>
        <v>3</v>
      </c>
      <c r="M24" s="63"/>
      <c r="N24" s="63"/>
      <c r="O24" s="63"/>
      <c r="P24" s="63"/>
      <c r="Q24" s="63"/>
      <c r="R24" s="63"/>
      <c r="S24" s="63"/>
      <c r="T24" s="63"/>
      <c r="U24" s="63"/>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row>
    <row r="25" spans="2:120" s="3" customFormat="1" ht="15" customHeight="1" x14ac:dyDescent="0.25">
      <c r="B25" s="301" t="s">
        <v>210</v>
      </c>
      <c r="C25" s="15"/>
      <c r="D25" s="302"/>
      <c r="E25" s="31">
        <f>'Crono fisico'!E20</f>
        <v>5</v>
      </c>
      <c r="F25" s="31">
        <f>'Crono fisico'!F20</f>
        <v>6</v>
      </c>
      <c r="G25" s="31">
        <f t="shared" ref="G25:G27" si="8">F25-E25+1</f>
        <v>2</v>
      </c>
      <c r="H25" s="63"/>
      <c r="I25" s="63"/>
      <c r="J25" s="63"/>
      <c r="K25" s="63"/>
      <c r="L25" s="63"/>
      <c r="M25" s="63">
        <f>'Memo calc'!$J$256</f>
        <v>2</v>
      </c>
      <c r="N25" s="63">
        <f>'Memo calc'!$J$256</f>
        <v>2</v>
      </c>
      <c r="O25" s="63">
        <f>'Memo calc'!$J$256</f>
        <v>2</v>
      </c>
      <c r="P25" s="63"/>
      <c r="Q25" s="63"/>
      <c r="R25" s="63"/>
      <c r="S25" s="63"/>
      <c r="T25" s="63"/>
      <c r="U25" s="63"/>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63"/>
      <c r="BH25" s="63"/>
      <c r="BI25" s="63"/>
      <c r="BJ25" s="63"/>
      <c r="BK25" s="63"/>
      <c r="BL25" s="63"/>
      <c r="BM25" s="63"/>
      <c r="BN25" s="63"/>
    </row>
    <row r="26" spans="2:120" s="3" customFormat="1" ht="15" customHeight="1" x14ac:dyDescent="0.25">
      <c r="B26" s="301" t="s">
        <v>208</v>
      </c>
      <c r="C26" s="15"/>
      <c r="D26" s="302"/>
      <c r="E26" s="31">
        <f>'Crono fisico'!E21</f>
        <v>7</v>
      </c>
      <c r="F26" s="31">
        <f>'Crono fisico'!F21</f>
        <v>8</v>
      </c>
      <c r="G26" s="31">
        <f t="shared" si="8"/>
        <v>2</v>
      </c>
      <c r="H26" s="63"/>
      <c r="I26" s="63"/>
      <c r="J26" s="63"/>
      <c r="K26" s="63"/>
      <c r="L26" s="63"/>
      <c r="M26" s="63"/>
      <c r="N26" s="63"/>
      <c r="O26" s="63"/>
      <c r="P26" s="63">
        <f>'Memo calc'!$J$298</f>
        <v>2</v>
      </c>
      <c r="Q26" s="63">
        <f>'Memo calc'!$J$298</f>
        <v>2</v>
      </c>
      <c r="R26" s="63">
        <f>'Memo calc'!$J$298</f>
        <v>2</v>
      </c>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c r="BK26" s="63"/>
      <c r="BL26" s="63"/>
      <c r="BM26" s="63"/>
      <c r="BN26" s="63"/>
    </row>
    <row r="27" spans="2:120" s="3" customFormat="1" ht="15" customHeight="1" x14ac:dyDescent="0.25">
      <c r="B27" s="301" t="s">
        <v>741</v>
      </c>
      <c r="C27" s="15"/>
      <c r="D27" s="302"/>
      <c r="E27" s="31">
        <f>'Crono fisico'!E24</f>
        <v>7</v>
      </c>
      <c r="F27" s="31">
        <f>'Crono fisico'!F24</f>
        <v>9</v>
      </c>
      <c r="G27" s="31">
        <f t="shared" si="8"/>
        <v>3</v>
      </c>
      <c r="H27" s="63"/>
      <c r="I27" s="63"/>
      <c r="J27" s="63"/>
      <c r="K27" s="63"/>
      <c r="L27" s="63"/>
      <c r="M27" s="63"/>
      <c r="N27" s="63"/>
      <c r="O27" s="63"/>
      <c r="P27" s="63"/>
      <c r="Q27" s="63">
        <f>'Memo calc'!$J$423</f>
        <v>3</v>
      </c>
      <c r="R27" s="63">
        <f>'Memo calc'!$J$423</f>
        <v>3</v>
      </c>
      <c r="S27" s="63">
        <f>'Memo calc'!$J$423</f>
        <v>3</v>
      </c>
      <c r="T27" s="63">
        <f>'Memo calc'!$J$423</f>
        <v>3</v>
      </c>
      <c r="U27" s="63"/>
      <c r="V27" s="63"/>
      <c r="W27" s="63"/>
      <c r="X27" s="63"/>
      <c r="Y27" s="63"/>
      <c r="Z27" s="63"/>
      <c r="AA27" s="63"/>
      <c r="AB27" s="63"/>
      <c r="AC27" s="63"/>
      <c r="AD27" s="63"/>
      <c r="AE27" s="63"/>
      <c r="AF27" s="63"/>
      <c r="AG27" s="63"/>
      <c r="AH27" s="63"/>
      <c r="AI27" s="63"/>
      <c r="AJ27" s="63"/>
      <c r="AK27" s="63"/>
      <c r="AL27" s="63"/>
      <c r="AM27" s="63"/>
      <c r="AN27" s="63"/>
      <c r="AO27" s="63"/>
      <c r="AP27" s="63"/>
      <c r="AQ27" s="63"/>
      <c r="AR27" s="63"/>
      <c r="AS27" s="63"/>
      <c r="AT27" s="63"/>
      <c r="AU27" s="63"/>
      <c r="AV27" s="63"/>
      <c r="AW27" s="63"/>
      <c r="AX27" s="63"/>
      <c r="AY27" s="63"/>
      <c r="AZ27" s="63"/>
      <c r="BA27" s="63"/>
      <c r="BB27" s="63"/>
      <c r="BC27" s="63"/>
      <c r="BD27" s="63"/>
      <c r="BE27" s="63"/>
      <c r="BF27" s="63"/>
      <c r="BG27" s="63"/>
      <c r="BH27" s="63"/>
      <c r="BI27" s="63"/>
      <c r="BJ27" s="63"/>
      <c r="BK27" s="63"/>
      <c r="BL27" s="63"/>
      <c r="BM27" s="63"/>
      <c r="BN27" s="63"/>
    </row>
    <row r="28" spans="2:120" s="3" customFormat="1" ht="15" customHeight="1" x14ac:dyDescent="0.25">
      <c r="B28" s="303" t="s">
        <v>536</v>
      </c>
      <c r="C28" s="12"/>
      <c r="D28" s="304"/>
      <c r="E28" s="70">
        <f>MIN(E29:F38)</f>
        <v>58</v>
      </c>
      <c r="F28" s="70">
        <f>MAX(E29:F38)</f>
        <v>76</v>
      </c>
      <c r="G28" s="70">
        <f>F28-E28+1</f>
        <v>19</v>
      </c>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306">
        <f t="shared" ref="BD28:BV28" si="9">SUM(BD29:BD38)</f>
        <v>2</v>
      </c>
      <c r="BE28" s="306">
        <f t="shared" si="9"/>
        <v>2</v>
      </c>
      <c r="BF28" s="306">
        <f t="shared" si="9"/>
        <v>2</v>
      </c>
      <c r="BG28" s="306">
        <f t="shared" si="9"/>
        <v>2</v>
      </c>
      <c r="BH28" s="306">
        <f t="shared" si="9"/>
        <v>2</v>
      </c>
      <c r="BI28" s="306">
        <f t="shared" si="9"/>
        <v>2</v>
      </c>
      <c r="BJ28" s="306">
        <f t="shared" si="9"/>
        <v>2</v>
      </c>
      <c r="BK28" s="306">
        <f t="shared" si="9"/>
        <v>4</v>
      </c>
      <c r="BL28" s="306">
        <f t="shared" si="9"/>
        <v>2</v>
      </c>
      <c r="BM28" s="306">
        <f t="shared" si="9"/>
        <v>4</v>
      </c>
      <c r="BN28" s="306">
        <f t="shared" si="9"/>
        <v>2</v>
      </c>
      <c r="BO28" s="306">
        <f t="shared" si="9"/>
        <v>4</v>
      </c>
      <c r="BP28" s="306">
        <f t="shared" si="9"/>
        <v>2</v>
      </c>
      <c r="BQ28" s="306">
        <f t="shared" si="9"/>
        <v>6</v>
      </c>
      <c r="BR28" s="306">
        <f t="shared" si="9"/>
        <v>2</v>
      </c>
      <c r="BS28" s="306">
        <f t="shared" si="9"/>
        <v>4</v>
      </c>
      <c r="BT28" s="306">
        <f t="shared" si="9"/>
        <v>6</v>
      </c>
      <c r="BU28" s="306">
        <f t="shared" si="9"/>
        <v>2</v>
      </c>
      <c r="BV28" s="306">
        <f t="shared" si="9"/>
        <v>2</v>
      </c>
      <c r="BW28" s="306"/>
      <c r="BX28" s="306"/>
      <c r="BY28" s="306"/>
      <c r="BZ28" s="306"/>
      <c r="CA28" s="306"/>
      <c r="CB28" s="306"/>
      <c r="CC28" s="306"/>
      <c r="CD28" s="306"/>
      <c r="CE28" s="306"/>
      <c r="CF28" s="306"/>
      <c r="CG28" s="306"/>
      <c r="CH28" s="306"/>
      <c r="CI28" s="306"/>
      <c r="CJ28" s="306"/>
      <c r="CK28" s="306"/>
    </row>
    <row r="29" spans="2:120" s="3" customFormat="1" ht="15" customHeight="1" x14ac:dyDescent="0.25">
      <c r="B29" s="416" t="s">
        <v>555</v>
      </c>
      <c r="C29" s="15"/>
      <c r="D29" s="417"/>
      <c r="E29" s="31">
        <f>'Crono fisico'!E33</f>
        <v>58</v>
      </c>
      <c r="F29" s="31">
        <f>'Crono fisico'!F33</f>
        <v>61</v>
      </c>
      <c r="G29" s="31">
        <f>F29-E29+1</f>
        <v>4</v>
      </c>
      <c r="H29" s="63"/>
      <c r="I29" s="63"/>
      <c r="J29" s="63"/>
      <c r="K29" s="63"/>
      <c r="L29" s="63"/>
      <c r="M29" s="63"/>
      <c r="N29" s="63"/>
      <c r="O29" s="63"/>
      <c r="P29" s="63"/>
      <c r="Q29" s="63"/>
      <c r="R29" s="63"/>
      <c r="S29" s="63"/>
      <c r="T29" s="63"/>
      <c r="U29" s="63"/>
      <c r="V29" s="63"/>
      <c r="W29" s="63"/>
      <c r="X29" s="63"/>
      <c r="Y29" s="63"/>
      <c r="Z29" s="63"/>
      <c r="AA29" s="63"/>
      <c r="AB29" s="63"/>
      <c r="AC29" s="63"/>
      <c r="AD29" s="63"/>
      <c r="AE29" s="63"/>
      <c r="AF29" s="63"/>
      <c r="AG29" s="63"/>
      <c r="AH29" s="63"/>
      <c r="AI29" s="63"/>
      <c r="AJ29" s="63"/>
      <c r="AK29" s="63"/>
      <c r="AL29" s="63"/>
      <c r="AM29" s="63"/>
      <c r="AN29" s="63"/>
      <c r="AO29" s="63"/>
      <c r="AP29" s="63"/>
      <c r="AQ29" s="63"/>
      <c r="AR29" s="63"/>
      <c r="AS29" s="63"/>
      <c r="AT29" s="63"/>
      <c r="AU29" s="63"/>
      <c r="AV29" s="63"/>
      <c r="AW29" s="63"/>
      <c r="AX29" s="63"/>
      <c r="AY29" s="63"/>
      <c r="AZ29" s="63"/>
      <c r="BA29" s="63"/>
      <c r="BB29" s="63"/>
      <c r="BC29" s="63"/>
      <c r="BD29" s="63">
        <f>'Memo calc'!$J$1049</f>
        <v>2</v>
      </c>
      <c r="BE29" s="63">
        <f>'Memo calc'!$J$1049</f>
        <v>2</v>
      </c>
      <c r="BF29" s="63">
        <f>'Memo calc'!$J$1049</f>
        <v>2</v>
      </c>
      <c r="BG29" s="63">
        <f>'Memo calc'!$J$1049</f>
        <v>2</v>
      </c>
      <c r="BH29" s="63">
        <f>'Memo calc'!$J$1049</f>
        <v>2</v>
      </c>
      <c r="BI29" s="63"/>
      <c r="BJ29" s="63"/>
      <c r="BK29" s="63"/>
      <c r="BL29" s="63"/>
      <c r="BM29" s="63"/>
      <c r="BN29" s="63"/>
    </row>
    <row r="30" spans="2:120" s="3" customFormat="1" ht="15" customHeight="1" x14ac:dyDescent="0.25">
      <c r="B30" s="416" t="s">
        <v>540</v>
      </c>
      <c r="C30" s="15"/>
      <c r="D30" s="417"/>
      <c r="E30" s="31">
        <f>'Crono fisico'!E35</f>
        <v>61</v>
      </c>
      <c r="F30" s="31">
        <f>'Crono fisico'!F35</f>
        <v>63</v>
      </c>
      <c r="G30" s="31">
        <f t="shared" ref="G30:G38" si="10">F30-E30+1</f>
        <v>3</v>
      </c>
      <c r="H30" s="63"/>
      <c r="I30" s="63"/>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c r="AM30" s="63"/>
      <c r="AN30" s="63"/>
      <c r="AO30" s="63"/>
      <c r="AP30" s="63"/>
      <c r="AQ30" s="63"/>
      <c r="AR30" s="63"/>
      <c r="AS30" s="63"/>
      <c r="AT30" s="63"/>
      <c r="AU30" s="63"/>
      <c r="AV30" s="63"/>
      <c r="AW30" s="63"/>
      <c r="AX30" s="63"/>
      <c r="AY30" s="63"/>
      <c r="AZ30" s="63"/>
      <c r="BA30" s="63"/>
      <c r="BB30" s="63"/>
      <c r="BC30" s="63"/>
      <c r="BD30" s="63"/>
      <c r="BE30" s="63"/>
      <c r="BF30" s="63"/>
      <c r="BG30" s="63"/>
      <c r="BH30" s="63"/>
      <c r="BI30" s="63">
        <f>'Memo calc'!$J$1184</f>
        <v>2</v>
      </c>
      <c r="BJ30" s="63">
        <f>'Memo calc'!$J$1184</f>
        <v>2</v>
      </c>
      <c r="BK30" s="63">
        <f>'Memo calc'!$J$1184</f>
        <v>2</v>
      </c>
      <c r="BL30" s="63"/>
      <c r="BM30" s="63"/>
      <c r="BN30" s="63"/>
    </row>
    <row r="31" spans="2:120" s="3" customFormat="1" ht="15" customHeight="1" x14ac:dyDescent="0.25">
      <c r="B31" s="301" t="s">
        <v>541</v>
      </c>
      <c r="C31" s="15"/>
      <c r="D31" s="302"/>
      <c r="E31" s="31">
        <f>'Crono fisico'!E36</f>
        <v>63</v>
      </c>
      <c r="F31" s="31">
        <f>'Crono fisico'!F36</f>
        <v>68</v>
      </c>
      <c r="G31" s="31">
        <f t="shared" si="10"/>
        <v>6</v>
      </c>
      <c r="H31" s="63"/>
      <c r="I31" s="63"/>
      <c r="J31" s="63"/>
      <c r="K31" s="63"/>
      <c r="L31" s="63"/>
      <c r="M31" s="63"/>
      <c r="N31" s="63"/>
      <c r="O31" s="63"/>
      <c r="P31" s="63"/>
      <c r="Q31" s="63"/>
      <c r="R31" s="63"/>
      <c r="S31" s="63"/>
      <c r="T31" s="63"/>
      <c r="U31" s="63"/>
      <c r="V31" s="63"/>
      <c r="W31" s="63"/>
      <c r="X31" s="63"/>
      <c r="Y31" s="63"/>
      <c r="Z31" s="63"/>
      <c r="AA31" s="63"/>
      <c r="AB31" s="63"/>
      <c r="AC31" s="63"/>
      <c r="AD31" s="63"/>
      <c r="AE31" s="63"/>
      <c r="AF31" s="63"/>
      <c r="AG31" s="63"/>
      <c r="AH31" s="63"/>
      <c r="AI31" s="63"/>
      <c r="AJ31" s="63"/>
      <c r="AK31" s="63"/>
      <c r="AL31" s="63"/>
      <c r="AM31" s="63"/>
      <c r="AN31" s="63"/>
      <c r="AO31" s="63"/>
      <c r="AP31" s="63"/>
      <c r="AQ31" s="63"/>
      <c r="AR31" s="63"/>
      <c r="AS31" s="63"/>
      <c r="AT31" s="63"/>
      <c r="AU31" s="63"/>
      <c r="AV31" s="63"/>
      <c r="AW31" s="63"/>
      <c r="AX31" s="63"/>
      <c r="AY31" s="63"/>
      <c r="AZ31" s="63"/>
      <c r="BA31" s="63"/>
      <c r="BB31" s="63"/>
      <c r="BC31" s="63"/>
      <c r="BD31" s="63"/>
      <c r="BE31" s="63"/>
      <c r="BF31" s="63"/>
      <c r="BG31" s="63"/>
      <c r="BH31" s="63"/>
      <c r="BI31" s="63"/>
      <c r="BJ31" s="63"/>
      <c r="BK31" s="63">
        <f>'Memo calc'!$J$1230</f>
        <v>2</v>
      </c>
      <c r="BL31" s="63">
        <f>'Memo calc'!$J$1230</f>
        <v>2</v>
      </c>
      <c r="BM31" s="63">
        <f>'Memo calc'!$J$1230</f>
        <v>2</v>
      </c>
      <c r="BN31" s="63"/>
    </row>
    <row r="32" spans="2:120" s="3" customFormat="1" ht="15" customHeight="1" x14ac:dyDescent="0.25">
      <c r="B32" s="301" t="s">
        <v>782</v>
      </c>
      <c r="C32" s="15"/>
      <c r="D32" s="302"/>
      <c r="E32" s="31">
        <f>'Crono fisico'!E37</f>
        <v>68</v>
      </c>
      <c r="F32" s="31">
        <f>'Crono fisico'!F37</f>
        <v>73</v>
      </c>
      <c r="G32" s="31">
        <f t="shared" si="10"/>
        <v>6</v>
      </c>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3"/>
      <c r="BM32" s="63">
        <f>'Memo calc'!$J$1276</f>
        <v>2</v>
      </c>
      <c r="BN32" s="63">
        <f>'Memo calc'!$J$1276</f>
        <v>2</v>
      </c>
      <c r="BO32" s="63">
        <f>'Memo calc'!$J$1276</f>
        <v>2</v>
      </c>
    </row>
    <row r="33" spans="2:218" s="3" customFormat="1" ht="15" customHeight="1" x14ac:dyDescent="0.25">
      <c r="B33" s="301" t="s">
        <v>542</v>
      </c>
      <c r="C33" s="15"/>
      <c r="D33" s="302"/>
      <c r="E33" s="31">
        <f>'Crono fisico'!E38</f>
        <v>73</v>
      </c>
      <c r="F33" s="31">
        <f>'Crono fisico'!F38</f>
        <v>76</v>
      </c>
      <c r="G33" s="31">
        <f t="shared" si="10"/>
        <v>4</v>
      </c>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c r="AH33" s="63"/>
      <c r="AI33" s="63"/>
      <c r="AJ33" s="63"/>
      <c r="AK33" s="63"/>
      <c r="AL33" s="63"/>
      <c r="AM33" s="63"/>
      <c r="AN33" s="63"/>
      <c r="AO33" s="63"/>
      <c r="AP33" s="63"/>
      <c r="AQ33" s="63"/>
      <c r="AR33" s="63"/>
      <c r="AS33" s="63"/>
      <c r="AT33" s="63"/>
      <c r="AU33" s="63"/>
      <c r="AV33" s="63"/>
      <c r="AW33" s="63"/>
      <c r="AX33" s="63"/>
      <c r="AY33" s="63"/>
      <c r="AZ33" s="63"/>
      <c r="BA33" s="63"/>
      <c r="BB33" s="63"/>
      <c r="BC33" s="63"/>
      <c r="BD33" s="63"/>
      <c r="BE33" s="63"/>
      <c r="BF33" s="63"/>
      <c r="BG33" s="63"/>
      <c r="BH33" s="63"/>
      <c r="BI33" s="63"/>
      <c r="BJ33" s="63"/>
      <c r="BK33" s="63"/>
      <c r="BL33" s="63"/>
      <c r="BM33" s="63"/>
      <c r="BN33" s="63"/>
      <c r="BO33" s="3">
        <f>'Memo calc'!$J$1322</f>
        <v>2</v>
      </c>
      <c r="BP33" s="3">
        <f>'Memo calc'!$J$1322</f>
        <v>2</v>
      </c>
      <c r="BQ33" s="3">
        <f>'Memo calc'!$J$1322</f>
        <v>2</v>
      </c>
    </row>
    <row r="34" spans="2:218" s="3" customFormat="1" ht="15" customHeight="1" x14ac:dyDescent="0.25">
      <c r="B34" s="301" t="s">
        <v>543</v>
      </c>
      <c r="C34" s="15"/>
      <c r="D34" s="302"/>
      <c r="E34" s="31">
        <f>'Crono fisico'!E39</f>
        <v>76</v>
      </c>
      <c r="F34" s="31">
        <f>'Crono fisico'!F39</f>
        <v>76</v>
      </c>
      <c r="G34" s="31">
        <f t="shared" si="10"/>
        <v>1</v>
      </c>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Q34" s="3">
        <f>'Memo calc'!J1368</f>
        <v>2</v>
      </c>
    </row>
    <row r="35" spans="2:218" s="3" customFormat="1" ht="15" customHeight="1" x14ac:dyDescent="0.25">
      <c r="B35" s="301" t="s">
        <v>544</v>
      </c>
      <c r="C35" s="15"/>
      <c r="D35" s="302"/>
      <c r="E35" s="31">
        <f>'Crono fisico'!E40</f>
        <v>68</v>
      </c>
      <c r="F35" s="31">
        <f>'Crono fisico'!F40</f>
        <v>71</v>
      </c>
      <c r="G35" s="31">
        <f t="shared" si="10"/>
        <v>4</v>
      </c>
      <c r="H35" s="63"/>
      <c r="I35" s="63"/>
      <c r="J35" s="63"/>
      <c r="K35" s="63"/>
      <c r="L35" s="63"/>
      <c r="M35" s="63"/>
      <c r="N35" s="63"/>
      <c r="O35" s="63"/>
      <c r="P35" s="63"/>
      <c r="Q35" s="63"/>
      <c r="R35" s="63"/>
      <c r="S35" s="63"/>
      <c r="T35" s="63"/>
      <c r="U35" s="63"/>
      <c r="V35" s="63"/>
      <c r="W35" s="63"/>
      <c r="X35" s="63"/>
      <c r="Y35" s="63"/>
      <c r="Z35" s="63"/>
      <c r="AA35" s="63"/>
      <c r="AB35" s="63"/>
      <c r="AC35" s="63"/>
      <c r="AD35" s="63"/>
      <c r="AE35" s="63"/>
      <c r="AF35" s="63"/>
      <c r="AG35" s="63"/>
      <c r="AH35" s="63"/>
      <c r="AI35" s="63"/>
      <c r="AJ35" s="63"/>
      <c r="AK35" s="63"/>
      <c r="AL35" s="63"/>
      <c r="AM35" s="63"/>
      <c r="AN35" s="63"/>
      <c r="AO35" s="63"/>
      <c r="AP35" s="63"/>
      <c r="AQ35" s="63"/>
      <c r="AR35" s="63"/>
      <c r="AS35" s="63"/>
      <c r="AT35" s="63"/>
      <c r="AU35" s="63"/>
      <c r="AV35" s="63"/>
      <c r="AW35" s="63"/>
      <c r="AX35" s="63"/>
      <c r="AY35" s="63"/>
      <c r="AZ35" s="63"/>
      <c r="BA35" s="63"/>
      <c r="BB35" s="63"/>
      <c r="BC35" s="63"/>
      <c r="BD35" s="63"/>
      <c r="BE35" s="63"/>
      <c r="BF35" s="63"/>
      <c r="BG35" s="63"/>
      <c r="BH35" s="63"/>
      <c r="BI35" s="63"/>
      <c r="BJ35" s="63"/>
      <c r="BK35" s="63"/>
      <c r="BL35" s="63"/>
      <c r="BM35" s="63"/>
      <c r="BN35" s="63"/>
      <c r="BQ35" s="3">
        <f>'Memo calc'!$J$1414</f>
        <v>2</v>
      </c>
      <c r="BR35" s="3">
        <f>'Memo calc'!$J$1414</f>
        <v>2</v>
      </c>
      <c r="BS35" s="3">
        <f>'Memo calc'!$J$1414</f>
        <v>2</v>
      </c>
    </row>
    <row r="36" spans="2:218" s="3" customFormat="1" ht="15" customHeight="1" x14ac:dyDescent="0.25">
      <c r="B36" s="301" t="s">
        <v>556</v>
      </c>
      <c r="C36" s="15"/>
      <c r="D36" s="302"/>
      <c r="E36" s="31">
        <f>'Crono fisico'!E41</f>
        <v>71</v>
      </c>
      <c r="F36" s="31">
        <f>'Crono fisico'!F41</f>
        <v>72</v>
      </c>
      <c r="G36" s="31">
        <f t="shared" si="10"/>
        <v>2</v>
      </c>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63"/>
      <c r="BH36" s="63"/>
      <c r="BI36" s="63"/>
      <c r="BJ36" s="63"/>
      <c r="BK36" s="63"/>
      <c r="BL36" s="63"/>
      <c r="BM36" s="63"/>
      <c r="BN36" s="63"/>
      <c r="BS36" s="3">
        <f>'Memo calc'!$J$1460</f>
        <v>2</v>
      </c>
      <c r="BT36" s="3">
        <f>'Memo calc'!$J$1460</f>
        <v>2</v>
      </c>
    </row>
    <row r="37" spans="2:218" s="3" customFormat="1" ht="15" customHeight="1" x14ac:dyDescent="0.25">
      <c r="B37" s="301" t="s">
        <v>557</v>
      </c>
      <c r="C37" s="15"/>
      <c r="D37" s="302"/>
      <c r="E37" s="31">
        <f>'Crono fisico'!E42</f>
        <v>72</v>
      </c>
      <c r="F37" s="31">
        <f>'Crono fisico'!F42</f>
        <v>72</v>
      </c>
      <c r="G37" s="31">
        <f t="shared" si="10"/>
        <v>1</v>
      </c>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c r="BB37" s="63"/>
      <c r="BC37" s="63"/>
      <c r="BD37" s="63"/>
      <c r="BE37" s="63"/>
      <c r="BF37" s="63"/>
      <c r="BG37" s="63"/>
      <c r="BH37" s="63"/>
      <c r="BI37" s="63"/>
      <c r="BJ37" s="63"/>
      <c r="BK37" s="63"/>
      <c r="BL37" s="63"/>
      <c r="BM37" s="63"/>
      <c r="BN37" s="63"/>
      <c r="BT37" s="3">
        <f>'Memo calc'!J1506</f>
        <v>2</v>
      </c>
    </row>
    <row r="38" spans="2:218" s="3" customFormat="1" ht="15" customHeight="1" x14ac:dyDescent="0.25">
      <c r="B38" s="301" t="s">
        <v>560</v>
      </c>
      <c r="C38" s="15"/>
      <c r="D38" s="302"/>
      <c r="E38" s="31">
        <f>'Crono fisico'!E43</f>
        <v>72</v>
      </c>
      <c r="F38" s="31">
        <f>'Crono fisico'!F43</f>
        <v>74</v>
      </c>
      <c r="G38" s="31">
        <f t="shared" si="10"/>
        <v>3</v>
      </c>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c r="BB38" s="63"/>
      <c r="BC38" s="63"/>
      <c r="BD38" s="63"/>
      <c r="BE38" s="63"/>
      <c r="BF38" s="63"/>
      <c r="BG38" s="63"/>
      <c r="BH38" s="63"/>
      <c r="BI38" s="63"/>
      <c r="BJ38" s="63"/>
      <c r="BK38" s="63"/>
      <c r="BL38" s="63"/>
      <c r="BM38" s="63"/>
      <c r="BN38" s="63"/>
      <c r="BT38" s="3">
        <f>'Memo calc'!$J1552</f>
        <v>2</v>
      </c>
      <c r="BU38" s="3">
        <f>'Memo calc'!$J1552</f>
        <v>2</v>
      </c>
      <c r="BV38" s="3">
        <f>'Memo calc'!$J1552</f>
        <v>2</v>
      </c>
    </row>
    <row r="39" spans="2:218" s="3" customFormat="1" ht="15" customHeight="1" x14ac:dyDescent="0.25">
      <c r="B39" s="303" t="s">
        <v>565</v>
      </c>
      <c r="C39" s="12"/>
      <c r="D39" s="304"/>
      <c r="E39" s="70">
        <f>MIN(E40:F41)</f>
        <v>1</v>
      </c>
      <c r="F39" s="70">
        <f>MAX(E40:F41)</f>
        <v>130</v>
      </c>
      <c r="G39" s="70">
        <f>F39-E39+1</f>
        <v>130</v>
      </c>
      <c r="H39" s="63"/>
      <c r="I39" s="68">
        <f t="shared" ref="I39:BT39" si="11">SUM(I40:I41)</f>
        <v>1</v>
      </c>
      <c r="J39" s="68">
        <f t="shared" si="11"/>
        <v>1</v>
      </c>
      <c r="K39" s="68">
        <f t="shared" si="11"/>
        <v>1</v>
      </c>
      <c r="L39" s="68">
        <f t="shared" si="11"/>
        <v>1</v>
      </c>
      <c r="M39" s="68">
        <f t="shared" si="11"/>
        <v>1</v>
      </c>
      <c r="N39" s="68">
        <f t="shared" si="11"/>
        <v>1</v>
      </c>
      <c r="O39" s="68">
        <f t="shared" si="11"/>
        <v>1</v>
      </c>
      <c r="P39" s="68">
        <f t="shared" si="11"/>
        <v>1</v>
      </c>
      <c r="Q39" s="68">
        <f t="shared" si="11"/>
        <v>1</v>
      </c>
      <c r="R39" s="68">
        <f t="shared" si="11"/>
        <v>1</v>
      </c>
      <c r="S39" s="68">
        <f t="shared" si="11"/>
        <v>1</v>
      </c>
      <c r="T39" s="68">
        <f t="shared" si="11"/>
        <v>1</v>
      </c>
      <c r="U39" s="68">
        <f t="shared" si="11"/>
        <v>1</v>
      </c>
      <c r="V39" s="68">
        <f t="shared" si="11"/>
        <v>1</v>
      </c>
      <c r="W39" s="68">
        <f t="shared" si="11"/>
        <v>1</v>
      </c>
      <c r="X39" s="68">
        <f t="shared" si="11"/>
        <v>1</v>
      </c>
      <c r="Y39" s="68">
        <f t="shared" si="11"/>
        <v>1</v>
      </c>
      <c r="Z39" s="68">
        <f t="shared" si="11"/>
        <v>1</v>
      </c>
      <c r="AA39" s="68">
        <f t="shared" si="11"/>
        <v>1</v>
      </c>
      <c r="AB39" s="68">
        <f t="shared" si="11"/>
        <v>1</v>
      </c>
      <c r="AC39" s="68">
        <f t="shared" si="11"/>
        <v>1</v>
      </c>
      <c r="AD39" s="68">
        <f t="shared" si="11"/>
        <v>1</v>
      </c>
      <c r="AE39" s="68">
        <f t="shared" si="11"/>
        <v>1</v>
      </c>
      <c r="AF39" s="68">
        <f t="shared" si="11"/>
        <v>1</v>
      </c>
      <c r="AG39" s="68">
        <f t="shared" si="11"/>
        <v>1</v>
      </c>
      <c r="AH39" s="68">
        <f t="shared" si="11"/>
        <v>1</v>
      </c>
      <c r="AI39" s="68">
        <f t="shared" si="11"/>
        <v>1</v>
      </c>
      <c r="AJ39" s="68">
        <f t="shared" si="11"/>
        <v>1</v>
      </c>
      <c r="AK39" s="68">
        <f t="shared" si="11"/>
        <v>1</v>
      </c>
      <c r="AL39" s="68">
        <f t="shared" si="11"/>
        <v>1</v>
      </c>
      <c r="AM39" s="68">
        <f t="shared" si="11"/>
        <v>1</v>
      </c>
      <c r="AN39" s="68">
        <f t="shared" si="11"/>
        <v>1</v>
      </c>
      <c r="AO39" s="68">
        <f t="shared" si="11"/>
        <v>1</v>
      </c>
      <c r="AP39" s="68">
        <f t="shared" si="11"/>
        <v>1</v>
      </c>
      <c r="AQ39" s="68">
        <f t="shared" si="11"/>
        <v>1</v>
      </c>
      <c r="AR39" s="68">
        <f t="shared" si="11"/>
        <v>1</v>
      </c>
      <c r="AS39" s="68">
        <f t="shared" si="11"/>
        <v>1</v>
      </c>
      <c r="AT39" s="68">
        <f t="shared" si="11"/>
        <v>1</v>
      </c>
      <c r="AU39" s="68">
        <f t="shared" si="11"/>
        <v>1</v>
      </c>
      <c r="AV39" s="68">
        <f t="shared" si="11"/>
        <v>1</v>
      </c>
      <c r="AW39" s="68">
        <f t="shared" si="11"/>
        <v>1</v>
      </c>
      <c r="AX39" s="68">
        <f t="shared" si="11"/>
        <v>1</v>
      </c>
      <c r="AY39" s="68">
        <f t="shared" si="11"/>
        <v>1</v>
      </c>
      <c r="AZ39" s="68">
        <f t="shared" si="11"/>
        <v>1</v>
      </c>
      <c r="BA39" s="68">
        <f t="shared" si="11"/>
        <v>1</v>
      </c>
      <c r="BB39" s="68">
        <f t="shared" si="11"/>
        <v>1</v>
      </c>
      <c r="BC39" s="68">
        <f t="shared" si="11"/>
        <v>1</v>
      </c>
      <c r="BD39" s="68">
        <f t="shared" si="11"/>
        <v>1</v>
      </c>
      <c r="BE39" s="68">
        <f t="shared" si="11"/>
        <v>1</v>
      </c>
      <c r="BF39" s="68">
        <f t="shared" si="11"/>
        <v>1</v>
      </c>
      <c r="BG39" s="68">
        <f t="shared" si="11"/>
        <v>1</v>
      </c>
      <c r="BH39" s="68">
        <f t="shared" si="11"/>
        <v>1</v>
      </c>
      <c r="BI39" s="68">
        <f t="shared" si="11"/>
        <v>1</v>
      </c>
      <c r="BJ39" s="68">
        <f t="shared" si="11"/>
        <v>1</v>
      </c>
      <c r="BK39" s="68">
        <f t="shared" si="11"/>
        <v>1</v>
      </c>
      <c r="BL39" s="68">
        <f t="shared" si="11"/>
        <v>1</v>
      </c>
      <c r="BM39" s="68">
        <f t="shared" si="11"/>
        <v>1</v>
      </c>
      <c r="BN39" s="68">
        <f t="shared" si="11"/>
        <v>1</v>
      </c>
      <c r="BO39" s="68">
        <f t="shared" si="11"/>
        <v>1</v>
      </c>
      <c r="BP39" s="68">
        <f t="shared" si="11"/>
        <v>1</v>
      </c>
      <c r="BQ39" s="68">
        <f t="shared" si="11"/>
        <v>1</v>
      </c>
      <c r="BR39" s="68">
        <f t="shared" si="11"/>
        <v>1</v>
      </c>
      <c r="BS39" s="68">
        <f t="shared" si="11"/>
        <v>1</v>
      </c>
      <c r="BT39" s="68">
        <f t="shared" si="11"/>
        <v>1</v>
      </c>
      <c r="BU39" s="68">
        <f t="shared" ref="BU39:CT39" si="12">SUM(BU40:BU41)</f>
        <v>1</v>
      </c>
      <c r="BV39" s="68">
        <f t="shared" si="12"/>
        <v>1</v>
      </c>
      <c r="BW39" s="68">
        <f t="shared" si="12"/>
        <v>1</v>
      </c>
      <c r="BX39" s="68">
        <f t="shared" si="12"/>
        <v>1</v>
      </c>
      <c r="BY39" s="68">
        <f t="shared" si="12"/>
        <v>1</v>
      </c>
      <c r="BZ39" s="68">
        <f t="shared" si="12"/>
        <v>1</v>
      </c>
      <c r="CA39" s="68">
        <f t="shared" si="12"/>
        <v>1</v>
      </c>
      <c r="CB39" s="68">
        <f t="shared" si="12"/>
        <v>1</v>
      </c>
      <c r="CC39" s="68">
        <f t="shared" si="12"/>
        <v>1</v>
      </c>
      <c r="CD39" s="68">
        <f t="shared" si="12"/>
        <v>1</v>
      </c>
      <c r="CE39" s="68">
        <f t="shared" si="12"/>
        <v>1</v>
      </c>
      <c r="CF39" s="68">
        <f t="shared" si="12"/>
        <v>1</v>
      </c>
      <c r="CG39" s="68">
        <f t="shared" si="12"/>
        <v>1</v>
      </c>
      <c r="CH39" s="68">
        <f t="shared" si="12"/>
        <v>1</v>
      </c>
      <c r="CI39" s="68">
        <f t="shared" si="12"/>
        <v>1</v>
      </c>
      <c r="CJ39" s="68">
        <f t="shared" si="12"/>
        <v>1</v>
      </c>
      <c r="CK39" s="68">
        <f t="shared" si="12"/>
        <v>1</v>
      </c>
      <c r="CL39" s="68">
        <f t="shared" si="12"/>
        <v>1</v>
      </c>
      <c r="CM39" s="68">
        <f t="shared" si="12"/>
        <v>1</v>
      </c>
      <c r="CN39" s="68">
        <f t="shared" si="12"/>
        <v>1</v>
      </c>
      <c r="CO39" s="68">
        <f t="shared" si="12"/>
        <v>1</v>
      </c>
      <c r="CP39" s="68">
        <f t="shared" si="12"/>
        <v>1</v>
      </c>
      <c r="CQ39" s="68">
        <f t="shared" si="12"/>
        <v>1</v>
      </c>
      <c r="CR39" s="68">
        <f t="shared" si="12"/>
        <v>1</v>
      </c>
      <c r="CS39" s="68">
        <f t="shared" si="12"/>
        <v>1</v>
      </c>
      <c r="CT39" s="68">
        <f t="shared" si="12"/>
        <v>1</v>
      </c>
      <c r="CU39" s="68">
        <f>SUM(CU40:CU41)</f>
        <v>3</v>
      </c>
      <c r="CV39" s="68">
        <f>SUM(CV40:CV41)</f>
        <v>3</v>
      </c>
      <c r="CW39" s="68">
        <f>SUM(CW40:CW41)</f>
        <v>3</v>
      </c>
      <c r="CX39" s="68">
        <f>SUM(CX40:CX41)</f>
        <v>3</v>
      </c>
      <c r="CY39" s="68">
        <f>SUM(CY40:CY41)</f>
        <v>3</v>
      </c>
      <c r="CZ39" s="68">
        <f t="shared" ref="CZ39:DA39" si="13">SUM(CZ40:CZ41)</f>
        <v>1</v>
      </c>
      <c r="DA39" s="68">
        <f t="shared" si="13"/>
        <v>1</v>
      </c>
      <c r="DB39" s="68"/>
      <c r="DC39" s="68"/>
      <c r="DD39" s="68"/>
      <c r="DE39" s="68"/>
      <c r="DF39" s="68"/>
      <c r="DG39" s="68"/>
      <c r="DH39" s="68"/>
      <c r="DI39" s="68"/>
      <c r="DJ39" s="68"/>
      <c r="DK39" s="68"/>
      <c r="DL39" s="68"/>
      <c r="DM39" s="68"/>
      <c r="DN39" s="68"/>
      <c r="DO39" s="68"/>
      <c r="DP39" s="68"/>
      <c r="GS39" s="63"/>
      <c r="GT39" s="63"/>
      <c r="GU39" s="63"/>
      <c r="GV39" s="63"/>
      <c r="GW39" s="63"/>
      <c r="GX39" s="63"/>
      <c r="GY39" s="63"/>
      <c r="GZ39" s="63"/>
      <c r="HA39" s="63"/>
      <c r="HB39" s="63"/>
      <c r="HC39" s="63"/>
      <c r="HD39" s="63"/>
      <c r="HE39" s="63"/>
      <c r="HF39" s="63"/>
      <c r="HG39" s="63"/>
      <c r="HH39" s="63"/>
      <c r="HI39" s="63"/>
      <c r="HJ39" s="63"/>
    </row>
    <row r="40" spans="2:218" s="3" customFormat="1" ht="15" customHeight="1" x14ac:dyDescent="0.25">
      <c r="B40" s="301" t="s">
        <v>925</v>
      </c>
      <c r="C40" s="15"/>
      <c r="D40" s="302"/>
      <c r="E40" s="31">
        <v>125</v>
      </c>
      <c r="F40" s="31">
        <v>130</v>
      </c>
      <c r="G40" s="31">
        <f t="shared" ref="G40:G41" si="14">F40-E40+1</f>
        <v>6</v>
      </c>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c r="AH40" s="63"/>
      <c r="AI40" s="63"/>
      <c r="AJ40" s="63"/>
      <c r="AK40" s="63"/>
      <c r="AL40" s="63"/>
      <c r="AM40" s="63"/>
      <c r="AN40" s="63"/>
      <c r="AO40" s="63"/>
      <c r="AP40" s="63"/>
      <c r="AQ40" s="63"/>
      <c r="AR40" s="63"/>
      <c r="AS40" s="63"/>
      <c r="AT40" s="63"/>
      <c r="AU40" s="63"/>
      <c r="AV40" s="63"/>
      <c r="AW40" s="63"/>
      <c r="AX40" s="63"/>
      <c r="AY40" s="63"/>
      <c r="AZ40" s="63"/>
      <c r="BA40" s="63"/>
      <c r="BB40" s="63"/>
      <c r="BC40" s="63"/>
      <c r="BD40" s="63"/>
      <c r="BE40" s="63"/>
      <c r="BF40" s="63"/>
      <c r="BG40" s="63"/>
      <c r="BH40" s="63"/>
      <c r="BI40" s="63"/>
      <c r="BJ40" s="63"/>
      <c r="BK40" s="63"/>
      <c r="BL40" s="63"/>
      <c r="BM40" s="63"/>
      <c r="BN40" s="63"/>
      <c r="CU40" s="3">
        <f>'Memo calc'!$J$1597</f>
        <v>2</v>
      </c>
      <c r="CV40" s="3">
        <f>'Memo calc'!$J$1597</f>
        <v>2</v>
      </c>
      <c r="CW40" s="3">
        <f>'Memo calc'!$J$1597</f>
        <v>2</v>
      </c>
      <c r="CX40" s="3">
        <f>'Memo calc'!$J$1597</f>
        <v>2</v>
      </c>
      <c r="CY40" s="3">
        <f>'Memo calc'!$J$1597</f>
        <v>2</v>
      </c>
      <c r="GS40" s="63"/>
      <c r="GT40" s="63"/>
      <c r="GU40" s="63"/>
      <c r="GV40" s="63"/>
      <c r="GW40" s="63"/>
      <c r="GX40" s="63"/>
      <c r="GY40" s="63"/>
      <c r="GZ40" s="63"/>
      <c r="HA40" s="63"/>
      <c r="HB40" s="63"/>
      <c r="HC40" s="63"/>
      <c r="HD40" s="63"/>
      <c r="HE40" s="63"/>
      <c r="HF40" s="63"/>
      <c r="HG40" s="63"/>
      <c r="HH40" s="63"/>
      <c r="HI40" s="63"/>
      <c r="HJ40" s="63"/>
    </row>
    <row r="41" spans="2:218" s="3" customFormat="1" ht="15" customHeight="1" x14ac:dyDescent="0.25">
      <c r="B41" s="301" t="s">
        <v>611</v>
      </c>
      <c r="C41" s="15"/>
      <c r="D41" s="302"/>
      <c r="E41" s="31">
        <f>E20</f>
        <v>1</v>
      </c>
      <c r="F41" s="31">
        <v>97</v>
      </c>
      <c r="G41" s="31">
        <f t="shared" si="14"/>
        <v>97</v>
      </c>
      <c r="H41" s="63"/>
      <c r="I41" s="63">
        <f>'Memo calc'!$J$1644</f>
        <v>1</v>
      </c>
      <c r="J41" s="63">
        <f>'Memo calc'!$J$1644</f>
        <v>1</v>
      </c>
      <c r="K41" s="63">
        <f>'Memo calc'!$J$1644</f>
        <v>1</v>
      </c>
      <c r="L41" s="63">
        <f>'Memo calc'!$J$1644</f>
        <v>1</v>
      </c>
      <c r="M41" s="63">
        <f>'Memo calc'!$J$1644</f>
        <v>1</v>
      </c>
      <c r="N41" s="63">
        <f>'Memo calc'!$J$1644</f>
        <v>1</v>
      </c>
      <c r="O41" s="63">
        <f>'Memo calc'!$J$1644</f>
        <v>1</v>
      </c>
      <c r="P41" s="63">
        <f>'Memo calc'!$J$1644</f>
        <v>1</v>
      </c>
      <c r="Q41" s="63">
        <f>'Memo calc'!$J$1644</f>
        <v>1</v>
      </c>
      <c r="R41" s="63">
        <f>'Memo calc'!$J$1644</f>
        <v>1</v>
      </c>
      <c r="S41" s="63">
        <f>'Memo calc'!$J$1644</f>
        <v>1</v>
      </c>
      <c r="T41" s="63">
        <f>'Memo calc'!$J$1644</f>
        <v>1</v>
      </c>
      <c r="U41" s="63">
        <f>'Memo calc'!$J$1644</f>
        <v>1</v>
      </c>
      <c r="V41" s="63">
        <f>'Memo calc'!$J$1644</f>
        <v>1</v>
      </c>
      <c r="W41" s="63">
        <f>'Memo calc'!$J$1644</f>
        <v>1</v>
      </c>
      <c r="X41" s="63">
        <f>'Memo calc'!$J$1644</f>
        <v>1</v>
      </c>
      <c r="Y41" s="63">
        <f>'Memo calc'!$J$1644</f>
        <v>1</v>
      </c>
      <c r="Z41" s="63">
        <f>'Memo calc'!$J$1644</f>
        <v>1</v>
      </c>
      <c r="AA41" s="63">
        <f>'Memo calc'!$J$1644</f>
        <v>1</v>
      </c>
      <c r="AB41" s="63">
        <f>'Memo calc'!$J$1644</f>
        <v>1</v>
      </c>
      <c r="AC41" s="63">
        <f>'Memo calc'!$J$1644</f>
        <v>1</v>
      </c>
      <c r="AD41" s="63">
        <f>'Memo calc'!$J$1644</f>
        <v>1</v>
      </c>
      <c r="AE41" s="63">
        <f>'Memo calc'!$J$1644</f>
        <v>1</v>
      </c>
      <c r="AF41" s="63">
        <f>'Memo calc'!$J$1644</f>
        <v>1</v>
      </c>
      <c r="AG41" s="63">
        <f>'Memo calc'!$J$1644</f>
        <v>1</v>
      </c>
      <c r="AH41" s="63">
        <f>'Memo calc'!$J$1644</f>
        <v>1</v>
      </c>
      <c r="AI41" s="63">
        <f>'Memo calc'!$J$1644</f>
        <v>1</v>
      </c>
      <c r="AJ41" s="63">
        <f>'Memo calc'!$J$1644</f>
        <v>1</v>
      </c>
      <c r="AK41" s="63">
        <f>'Memo calc'!$J$1644</f>
        <v>1</v>
      </c>
      <c r="AL41" s="63">
        <f>'Memo calc'!$J$1644</f>
        <v>1</v>
      </c>
      <c r="AM41" s="63">
        <f>'Memo calc'!$J$1644</f>
        <v>1</v>
      </c>
      <c r="AN41" s="63">
        <f>'Memo calc'!$J$1644</f>
        <v>1</v>
      </c>
      <c r="AO41" s="63">
        <f>'Memo calc'!$J$1644</f>
        <v>1</v>
      </c>
      <c r="AP41" s="63">
        <f>'Memo calc'!$J$1644</f>
        <v>1</v>
      </c>
      <c r="AQ41" s="63">
        <f>'Memo calc'!$J$1644</f>
        <v>1</v>
      </c>
      <c r="AR41" s="63">
        <f>'Memo calc'!$J$1644</f>
        <v>1</v>
      </c>
      <c r="AS41" s="63">
        <f>'Memo calc'!$J$1644</f>
        <v>1</v>
      </c>
      <c r="AT41" s="63">
        <f>'Memo calc'!$J$1644</f>
        <v>1</v>
      </c>
      <c r="AU41" s="63">
        <f>'Memo calc'!$J$1644</f>
        <v>1</v>
      </c>
      <c r="AV41" s="63">
        <f>'Memo calc'!$J$1644</f>
        <v>1</v>
      </c>
      <c r="AW41" s="63">
        <f>'Memo calc'!$J$1644</f>
        <v>1</v>
      </c>
      <c r="AX41" s="63">
        <f>'Memo calc'!$J$1644</f>
        <v>1</v>
      </c>
      <c r="AY41" s="63">
        <f>'Memo calc'!$J$1644</f>
        <v>1</v>
      </c>
      <c r="AZ41" s="63">
        <f>'Memo calc'!$J$1644</f>
        <v>1</v>
      </c>
      <c r="BA41" s="63">
        <f>'Memo calc'!$J$1644</f>
        <v>1</v>
      </c>
      <c r="BB41" s="63">
        <f>'Memo calc'!$J$1644</f>
        <v>1</v>
      </c>
      <c r="BC41" s="63">
        <f>'Memo calc'!$J$1644</f>
        <v>1</v>
      </c>
      <c r="BD41" s="63">
        <f>'Memo calc'!$J$1644</f>
        <v>1</v>
      </c>
      <c r="BE41" s="63">
        <f>'Memo calc'!$J$1644</f>
        <v>1</v>
      </c>
      <c r="BF41" s="63">
        <f>'Memo calc'!$J$1644</f>
        <v>1</v>
      </c>
      <c r="BG41" s="63">
        <f>'Memo calc'!$J$1644</f>
        <v>1</v>
      </c>
      <c r="BH41" s="63">
        <f>'Memo calc'!$J$1644</f>
        <v>1</v>
      </c>
      <c r="BI41" s="63">
        <f>'Memo calc'!$J$1644</f>
        <v>1</v>
      </c>
      <c r="BJ41" s="63">
        <f>'Memo calc'!$J$1644</f>
        <v>1</v>
      </c>
      <c r="BK41" s="63">
        <f>'Memo calc'!$J$1644</f>
        <v>1</v>
      </c>
      <c r="BL41" s="63">
        <f>'Memo calc'!$J$1644</f>
        <v>1</v>
      </c>
      <c r="BM41" s="63">
        <f>'Memo calc'!$J$1644</f>
        <v>1</v>
      </c>
      <c r="BN41" s="63">
        <f>'Memo calc'!$J$1644</f>
        <v>1</v>
      </c>
      <c r="BO41" s="63">
        <f>'Memo calc'!$J$1644</f>
        <v>1</v>
      </c>
      <c r="BP41" s="63">
        <f>'Memo calc'!$J$1644</f>
        <v>1</v>
      </c>
      <c r="BQ41" s="63">
        <f>'Memo calc'!$J$1644</f>
        <v>1</v>
      </c>
      <c r="BR41" s="63">
        <f>'Memo calc'!$J$1644</f>
        <v>1</v>
      </c>
      <c r="BS41" s="63">
        <f>'Memo calc'!$J$1644</f>
        <v>1</v>
      </c>
      <c r="BT41" s="63">
        <f>'Memo calc'!$J$1644</f>
        <v>1</v>
      </c>
      <c r="BU41" s="63">
        <f>'Memo calc'!$J$1644</f>
        <v>1</v>
      </c>
      <c r="BV41" s="63">
        <f>'Memo calc'!$J$1644</f>
        <v>1</v>
      </c>
      <c r="BW41" s="63">
        <f>'Memo calc'!$J$1644</f>
        <v>1</v>
      </c>
      <c r="BX41" s="63">
        <f>'Memo calc'!$J$1644</f>
        <v>1</v>
      </c>
      <c r="BY41" s="63">
        <f>'Memo calc'!$J$1644</f>
        <v>1</v>
      </c>
      <c r="BZ41" s="63">
        <f>'Memo calc'!$J$1644</f>
        <v>1</v>
      </c>
      <c r="CA41" s="63">
        <f>'Memo calc'!$J$1644</f>
        <v>1</v>
      </c>
      <c r="CB41" s="63">
        <f>'Memo calc'!$J$1644</f>
        <v>1</v>
      </c>
      <c r="CC41" s="63">
        <f>'Memo calc'!$J$1644</f>
        <v>1</v>
      </c>
      <c r="CD41" s="63">
        <f>'Memo calc'!$J$1644</f>
        <v>1</v>
      </c>
      <c r="CE41" s="63">
        <f>'Memo calc'!$J$1644</f>
        <v>1</v>
      </c>
      <c r="CF41" s="63">
        <f>'Memo calc'!$J$1644</f>
        <v>1</v>
      </c>
      <c r="CG41" s="63">
        <f>'Memo calc'!$J$1644</f>
        <v>1</v>
      </c>
      <c r="CH41" s="63">
        <f>'Memo calc'!$J$1644</f>
        <v>1</v>
      </c>
      <c r="CI41" s="63">
        <f>'Memo calc'!$J$1644</f>
        <v>1</v>
      </c>
      <c r="CJ41" s="63">
        <f>'Memo calc'!$J$1644</f>
        <v>1</v>
      </c>
      <c r="CK41" s="63">
        <f>'Memo calc'!$J$1644</f>
        <v>1</v>
      </c>
      <c r="CL41" s="63">
        <f>'Memo calc'!$J$1644</f>
        <v>1</v>
      </c>
      <c r="CM41" s="63">
        <f>'Memo calc'!$J$1644</f>
        <v>1</v>
      </c>
      <c r="CN41" s="63">
        <f>'Memo calc'!$J$1644</f>
        <v>1</v>
      </c>
      <c r="CO41" s="63">
        <f>'Memo calc'!$J$1644</f>
        <v>1</v>
      </c>
      <c r="CP41" s="63">
        <f>'Memo calc'!$J$1644</f>
        <v>1</v>
      </c>
      <c r="CQ41" s="63">
        <f>'Memo calc'!$J$1644</f>
        <v>1</v>
      </c>
      <c r="CR41" s="63">
        <f>'Memo calc'!$J$1644</f>
        <v>1</v>
      </c>
      <c r="CS41" s="63">
        <f>'Memo calc'!$J$1644</f>
        <v>1</v>
      </c>
      <c r="CT41" s="63">
        <f>'Memo calc'!$J$1644</f>
        <v>1</v>
      </c>
      <c r="CU41" s="63">
        <f>'Memo calc'!$J$1644</f>
        <v>1</v>
      </c>
      <c r="CV41" s="63">
        <f>'Memo calc'!$J$1644</f>
        <v>1</v>
      </c>
      <c r="CW41" s="63">
        <f>'Memo calc'!$J$1644</f>
        <v>1</v>
      </c>
      <c r="CX41" s="63">
        <f>'Memo calc'!$J$1644</f>
        <v>1</v>
      </c>
      <c r="CY41" s="63">
        <f>'Memo calc'!$J$1644</f>
        <v>1</v>
      </c>
      <c r="CZ41" s="63">
        <f>'Memo calc'!$J$1644</f>
        <v>1</v>
      </c>
      <c r="DA41" s="63">
        <f>'Memo calc'!$J$1644</f>
        <v>1</v>
      </c>
      <c r="GS41" s="63"/>
      <c r="GT41" s="63"/>
      <c r="GU41" s="63"/>
      <c r="GV41" s="63"/>
      <c r="GW41" s="63"/>
      <c r="GX41" s="63"/>
      <c r="GY41" s="63"/>
      <c r="GZ41" s="63"/>
      <c r="HA41" s="63"/>
      <c r="HB41" s="63"/>
      <c r="HC41" s="63"/>
      <c r="HD41" s="63"/>
      <c r="HE41" s="63"/>
      <c r="HF41" s="63"/>
      <c r="HG41" s="63"/>
      <c r="HH41" s="63"/>
      <c r="HI41" s="63"/>
      <c r="HJ41" s="63"/>
    </row>
    <row r="42" spans="2:218" s="3" customFormat="1" ht="15" customHeight="1" x14ac:dyDescent="0.25">
      <c r="B42" s="420" t="s">
        <v>1180</v>
      </c>
      <c r="C42" s="12"/>
      <c r="D42" s="421"/>
      <c r="E42" s="70">
        <f>MIN(E43:F46)</f>
        <v>195</v>
      </c>
      <c r="F42" s="70">
        <f>MAX(E43:F46)</f>
        <v>202</v>
      </c>
      <c r="G42" s="70">
        <f>F42-E42+1</f>
        <v>8</v>
      </c>
      <c r="H42" s="63"/>
      <c r="I42" s="63"/>
      <c r="J42" s="63"/>
      <c r="K42" s="63"/>
      <c r="L42" s="63"/>
      <c r="M42" s="63"/>
      <c r="N42" s="63"/>
      <c r="O42" s="63"/>
      <c r="P42" s="63"/>
      <c r="Q42" s="63"/>
      <c r="R42" s="63"/>
      <c r="S42" s="63"/>
      <c r="T42" s="63"/>
      <c r="U42" s="63"/>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63"/>
      <c r="BO42" s="63"/>
      <c r="BP42" s="63"/>
      <c r="BQ42" s="63"/>
      <c r="BR42" s="68"/>
      <c r="BS42" s="68"/>
      <c r="BT42" s="68"/>
      <c r="BU42" s="68"/>
      <c r="BV42" s="68"/>
      <c r="BW42" s="68"/>
      <c r="BX42" s="68"/>
      <c r="BY42" s="68"/>
      <c r="BZ42" s="68"/>
      <c r="CA42" s="68"/>
      <c r="CB42" s="68"/>
      <c r="CC42" s="68"/>
      <c r="CD42" s="68"/>
      <c r="CE42" s="68"/>
      <c r="CF42" s="68"/>
      <c r="CG42" s="68"/>
      <c r="CH42" s="68"/>
      <c r="CI42" s="68"/>
      <c r="CJ42" s="68"/>
      <c r="CK42" s="68"/>
      <c r="CL42" s="68"/>
      <c r="CM42" s="68"/>
      <c r="CN42" s="68"/>
      <c r="CO42" s="68"/>
      <c r="CP42" s="68"/>
      <c r="CQ42" s="68"/>
      <c r="CR42" s="68"/>
      <c r="CS42" s="68"/>
      <c r="CT42" s="68"/>
      <c r="CU42" s="68"/>
      <c r="CV42" s="68"/>
      <c r="CW42" s="68"/>
      <c r="CX42" s="68"/>
      <c r="CY42" s="68"/>
      <c r="CZ42" s="68"/>
      <c r="DA42" s="68"/>
      <c r="DB42" s="68"/>
      <c r="DC42" s="68"/>
      <c r="DD42" s="68"/>
      <c r="DE42" s="68"/>
      <c r="DF42" s="68"/>
      <c r="DG42" s="68"/>
      <c r="DH42" s="68"/>
      <c r="DI42" s="68"/>
      <c r="DJ42" s="68"/>
      <c r="DK42" s="68"/>
      <c r="DL42" s="68"/>
      <c r="DM42" s="68"/>
      <c r="DN42" s="68"/>
      <c r="DO42" s="68"/>
      <c r="DP42" s="68"/>
      <c r="DQ42" s="68"/>
      <c r="DR42" s="68"/>
      <c r="DS42" s="68"/>
      <c r="DT42" s="68"/>
      <c r="DU42" s="68"/>
      <c r="DV42" s="68"/>
      <c r="DW42" s="68"/>
      <c r="DX42" s="68"/>
      <c r="DY42" s="68"/>
      <c r="DZ42" s="68"/>
      <c r="EA42" s="68"/>
      <c r="EB42" s="68"/>
      <c r="EC42" s="68"/>
      <c r="ED42" s="68"/>
      <c r="EE42" s="68"/>
      <c r="EF42" s="68"/>
      <c r="EG42" s="68"/>
      <c r="EH42" s="68"/>
      <c r="EI42" s="68"/>
      <c r="EJ42" s="68"/>
      <c r="EK42" s="68"/>
      <c r="EL42" s="68"/>
      <c r="EM42" s="68"/>
      <c r="EN42" s="68"/>
      <c r="EO42" s="68"/>
      <c r="EP42" s="68"/>
      <c r="EQ42" s="68"/>
      <c r="ER42" s="68"/>
      <c r="ES42" s="68"/>
      <c r="ET42" s="68"/>
      <c r="EU42" s="68"/>
      <c r="EV42" s="68"/>
      <c r="EW42" s="68"/>
      <c r="EX42" s="68"/>
      <c r="EY42" s="68"/>
      <c r="EZ42" s="68"/>
      <c r="FA42" s="68"/>
      <c r="FB42" s="68"/>
      <c r="FC42" s="68"/>
      <c r="GS42" s="63"/>
      <c r="GT42" s="63"/>
      <c r="GU42" s="306">
        <v>4</v>
      </c>
      <c r="GV42" s="306">
        <v>4</v>
      </c>
      <c r="GW42" s="306">
        <v>4</v>
      </c>
      <c r="GX42" s="306">
        <v>4</v>
      </c>
      <c r="GY42" s="306">
        <v>5</v>
      </c>
      <c r="GZ42" s="306">
        <v>1</v>
      </c>
      <c r="HA42" s="63"/>
      <c r="HB42" s="63"/>
      <c r="HC42" s="63"/>
      <c r="HD42" s="63"/>
      <c r="HE42" s="63"/>
      <c r="HF42" s="63"/>
      <c r="HG42" s="63"/>
      <c r="HH42" s="63"/>
      <c r="HI42" s="63"/>
      <c r="HJ42" s="63"/>
    </row>
    <row r="43" spans="2:218" s="3" customFormat="1" ht="15" customHeight="1" x14ac:dyDescent="0.25">
      <c r="B43" s="416" t="s">
        <v>1187</v>
      </c>
      <c r="C43" s="15"/>
      <c r="D43" s="417"/>
      <c r="E43" s="31">
        <f>'Crono fisico'!E66</f>
        <v>195</v>
      </c>
      <c r="F43" s="31">
        <f>'Crono fisico'!F66</f>
        <v>197</v>
      </c>
      <c r="G43" s="31">
        <f t="shared" ref="G43:G46" si="15">F43-E43+1</f>
        <v>3</v>
      </c>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63"/>
      <c r="BB43" s="63"/>
      <c r="BC43" s="63"/>
      <c r="BD43" s="63"/>
      <c r="BE43" s="63"/>
      <c r="BF43" s="63"/>
      <c r="BG43" s="63"/>
      <c r="BH43" s="63"/>
      <c r="BI43" s="63"/>
      <c r="BJ43" s="63"/>
      <c r="BK43" s="63"/>
      <c r="BL43" s="63"/>
      <c r="BM43" s="63"/>
      <c r="BN43" s="63"/>
      <c r="BO43" s="63"/>
      <c r="BP43" s="63"/>
      <c r="BQ43" s="63"/>
      <c r="BR43" s="68"/>
      <c r="BS43" s="68"/>
      <c r="BT43" s="68"/>
      <c r="BU43" s="68"/>
      <c r="BV43" s="68"/>
      <c r="BW43" s="68"/>
      <c r="BX43" s="68"/>
      <c r="BY43" s="68"/>
      <c r="BZ43" s="68"/>
      <c r="CA43" s="68"/>
      <c r="CB43" s="68"/>
      <c r="CC43" s="68"/>
      <c r="CD43" s="68"/>
      <c r="CE43" s="68"/>
      <c r="CF43" s="68"/>
      <c r="CG43" s="68"/>
      <c r="CH43" s="68"/>
      <c r="CI43" s="68"/>
      <c r="CJ43" s="68"/>
      <c r="CK43" s="68"/>
      <c r="CL43" s="68"/>
      <c r="CM43" s="68"/>
      <c r="CN43" s="68"/>
      <c r="CO43" s="68"/>
      <c r="CP43" s="68"/>
      <c r="CQ43" s="68"/>
      <c r="CR43" s="68"/>
      <c r="CS43" s="68"/>
      <c r="CT43" s="68"/>
      <c r="CU43" s="68"/>
      <c r="CV43" s="68"/>
      <c r="CW43" s="68"/>
      <c r="CX43" s="68"/>
      <c r="CY43" s="68"/>
      <c r="CZ43" s="68"/>
      <c r="DA43" s="68"/>
      <c r="DB43" s="68"/>
      <c r="DC43" s="68"/>
      <c r="DD43" s="68"/>
      <c r="DE43" s="68"/>
      <c r="DF43" s="68"/>
      <c r="DG43" s="68"/>
      <c r="DH43" s="68"/>
      <c r="DI43" s="68"/>
      <c r="DJ43" s="68"/>
      <c r="DK43" s="68"/>
      <c r="DL43" s="68"/>
      <c r="DM43" s="68"/>
      <c r="DN43" s="68"/>
      <c r="DO43" s="68"/>
      <c r="DP43" s="68"/>
      <c r="DQ43" s="68"/>
      <c r="DR43" s="68"/>
      <c r="DS43" s="68"/>
      <c r="DT43" s="68"/>
      <c r="DU43" s="68"/>
      <c r="DV43" s="68"/>
      <c r="DW43" s="68"/>
      <c r="DX43" s="68"/>
      <c r="DY43" s="63"/>
      <c r="DZ43" s="63"/>
      <c r="EA43" s="63"/>
      <c r="EB43" s="63"/>
      <c r="EC43" s="63"/>
      <c r="ED43" s="63"/>
      <c r="EE43" s="63"/>
      <c r="EF43" s="63"/>
      <c r="EG43" s="63"/>
      <c r="EH43" s="63"/>
      <c r="EI43" s="63"/>
      <c r="EJ43" s="63"/>
      <c r="EK43" s="63"/>
      <c r="EL43" s="63"/>
      <c r="EM43" s="63"/>
      <c r="EN43" s="63"/>
      <c r="EO43" s="63"/>
      <c r="EP43" s="63"/>
      <c r="EQ43" s="63"/>
      <c r="ER43" s="63"/>
      <c r="ES43" s="63"/>
      <c r="ET43" s="63"/>
      <c r="EU43" s="63"/>
      <c r="EV43" s="63"/>
      <c r="EW43" s="63"/>
      <c r="EX43" s="63"/>
      <c r="EY43" s="63"/>
      <c r="EZ43" s="63"/>
      <c r="FA43" s="63"/>
      <c r="FB43" s="63"/>
      <c r="FC43" s="63"/>
      <c r="FD43" s="63"/>
      <c r="FE43" s="63"/>
      <c r="FF43" s="63"/>
      <c r="FG43" s="63"/>
      <c r="FH43" s="63"/>
      <c r="FI43" s="63"/>
      <c r="FJ43" s="63"/>
      <c r="FK43" s="63"/>
      <c r="FL43" s="63"/>
      <c r="FM43" s="63"/>
      <c r="FN43" s="63"/>
      <c r="FO43" s="63"/>
      <c r="FP43" s="63"/>
      <c r="FQ43" s="63"/>
      <c r="FR43" s="63"/>
      <c r="FS43" s="63"/>
      <c r="FT43" s="63"/>
      <c r="FU43" s="63"/>
      <c r="FV43" s="63"/>
      <c r="FW43" s="63"/>
      <c r="FX43" s="63"/>
      <c r="FY43" s="63"/>
      <c r="FZ43" s="63"/>
      <c r="GA43" s="63"/>
      <c r="GB43" s="63"/>
      <c r="GC43" s="63"/>
      <c r="GD43" s="63"/>
      <c r="GE43" s="63"/>
      <c r="GF43" s="63"/>
      <c r="GG43" s="63"/>
      <c r="GH43" s="63"/>
      <c r="GI43" s="63"/>
      <c r="GJ43" s="63"/>
      <c r="GK43" s="63"/>
      <c r="GL43" s="63"/>
      <c r="GM43" s="63"/>
      <c r="GN43" s="63"/>
      <c r="GO43" s="63"/>
      <c r="GP43" s="63"/>
      <c r="GQ43" s="63"/>
      <c r="GR43" s="63"/>
      <c r="GS43" s="63"/>
      <c r="GT43" s="63"/>
      <c r="GU43" s="63">
        <f>'Memo calc'!$J$1805</f>
        <v>4</v>
      </c>
      <c r="GV43" s="63">
        <f>'Memo calc'!$J$1805</f>
        <v>4</v>
      </c>
      <c r="GW43" s="63">
        <f>'Memo calc'!$J$1805</f>
        <v>4</v>
      </c>
      <c r="GX43" s="63"/>
      <c r="GY43" s="63"/>
      <c r="GZ43" s="63"/>
      <c r="HA43" s="63"/>
      <c r="HB43" s="63"/>
      <c r="HC43" s="63"/>
      <c r="HD43" s="63"/>
      <c r="HE43" s="63"/>
      <c r="HF43" s="63"/>
      <c r="HG43" s="63"/>
      <c r="HH43" s="63"/>
      <c r="HI43" s="63"/>
      <c r="HJ43" s="63"/>
    </row>
    <row r="44" spans="2:218" s="3" customFormat="1" ht="15" customHeight="1" x14ac:dyDescent="0.25">
      <c r="B44" s="416" t="s">
        <v>1211</v>
      </c>
      <c r="C44" s="15"/>
      <c r="D44" s="417"/>
      <c r="E44" s="31">
        <f>'Crono fisico'!E67</f>
        <v>195</v>
      </c>
      <c r="F44" s="31">
        <f>'Crono fisico'!F67</f>
        <v>195</v>
      </c>
      <c r="G44" s="31">
        <f t="shared" si="15"/>
        <v>1</v>
      </c>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c r="BO44" s="63"/>
      <c r="BP44" s="63"/>
      <c r="BQ44" s="63"/>
      <c r="BR44" s="68"/>
      <c r="BS44" s="68"/>
      <c r="BT44" s="68"/>
      <c r="BU44" s="68"/>
      <c r="BV44" s="68"/>
      <c r="BW44" s="68"/>
      <c r="BX44" s="68"/>
      <c r="BY44" s="68"/>
      <c r="BZ44" s="68"/>
      <c r="CA44" s="68"/>
      <c r="CB44" s="68"/>
      <c r="CC44" s="68"/>
      <c r="CD44" s="68"/>
      <c r="CE44" s="68"/>
      <c r="CF44" s="68"/>
      <c r="CG44" s="68"/>
      <c r="CH44" s="68"/>
      <c r="CI44" s="68"/>
      <c r="CJ44" s="68"/>
      <c r="CK44" s="68"/>
      <c r="CL44" s="68"/>
      <c r="CM44" s="68"/>
      <c r="CN44" s="68"/>
      <c r="CO44" s="68"/>
      <c r="CP44" s="68"/>
      <c r="CQ44" s="68"/>
      <c r="CR44" s="68"/>
      <c r="CS44" s="68"/>
      <c r="CT44" s="68"/>
      <c r="CU44" s="68"/>
      <c r="CV44" s="68"/>
      <c r="CW44" s="68"/>
      <c r="CX44" s="68"/>
      <c r="CY44" s="68"/>
      <c r="CZ44" s="68"/>
      <c r="DA44" s="68"/>
      <c r="DB44" s="68"/>
      <c r="DC44" s="68"/>
      <c r="DD44" s="68"/>
      <c r="DE44" s="68"/>
      <c r="DF44" s="68"/>
      <c r="DG44" s="68"/>
      <c r="DH44" s="68"/>
      <c r="DI44" s="68"/>
      <c r="DJ44" s="68"/>
      <c r="DK44" s="68"/>
      <c r="DL44" s="68"/>
      <c r="DM44" s="68"/>
      <c r="DN44" s="68"/>
      <c r="DO44" s="68"/>
      <c r="DP44" s="68"/>
      <c r="DQ44" s="68"/>
      <c r="DR44" s="68"/>
      <c r="DS44" s="68"/>
      <c r="DT44" s="68"/>
      <c r="DU44" s="68"/>
      <c r="DV44" s="68"/>
      <c r="DW44" s="68"/>
      <c r="DX44" s="68"/>
      <c r="DY44" s="63"/>
      <c r="DZ44" s="63"/>
      <c r="EA44" s="63"/>
      <c r="EB44" s="63"/>
      <c r="EC44" s="63"/>
      <c r="ED44" s="63"/>
      <c r="EE44" s="63"/>
      <c r="EF44" s="63"/>
      <c r="EG44" s="63"/>
      <c r="EH44" s="63"/>
      <c r="EI44" s="63"/>
      <c r="EJ44" s="63"/>
      <c r="EK44" s="63"/>
      <c r="EL44" s="63"/>
      <c r="EM44" s="63"/>
      <c r="EN44" s="63"/>
      <c r="EO44" s="63"/>
      <c r="EP44" s="63"/>
      <c r="EQ44" s="63"/>
      <c r="ER44" s="63"/>
      <c r="ES44" s="63"/>
      <c r="ET44" s="63"/>
      <c r="EU44" s="63"/>
      <c r="EV44" s="63"/>
      <c r="EW44" s="63"/>
      <c r="EX44" s="63"/>
      <c r="EY44" s="63"/>
      <c r="EZ44" s="63"/>
      <c r="FA44" s="63"/>
      <c r="FB44" s="63"/>
      <c r="FC44" s="63"/>
      <c r="FD44" s="63"/>
      <c r="FE44" s="63"/>
      <c r="FF44" s="63"/>
      <c r="FG44" s="63"/>
      <c r="FH44" s="63"/>
      <c r="FI44" s="63"/>
      <c r="FJ44" s="63"/>
      <c r="FK44" s="63"/>
      <c r="FL44" s="63"/>
      <c r="FM44" s="63"/>
      <c r="FN44" s="63"/>
      <c r="FO44" s="63"/>
      <c r="FP44" s="63"/>
      <c r="FQ44" s="63"/>
      <c r="FR44" s="63"/>
      <c r="FS44" s="63"/>
      <c r="FT44" s="63"/>
      <c r="FU44" s="63"/>
      <c r="FV44" s="63"/>
      <c r="FW44" s="63"/>
      <c r="FX44" s="63"/>
      <c r="FY44" s="63"/>
      <c r="FZ44" s="63"/>
      <c r="GA44" s="63"/>
      <c r="GB44" s="63"/>
      <c r="GC44" s="63"/>
      <c r="GD44" s="63"/>
      <c r="GE44" s="63"/>
      <c r="GF44" s="63"/>
      <c r="GG44" s="63"/>
      <c r="GH44" s="63"/>
      <c r="GI44" s="63"/>
      <c r="GJ44" s="63"/>
      <c r="GK44" s="63"/>
      <c r="GL44" s="63"/>
      <c r="GM44" s="63"/>
      <c r="GN44" s="63"/>
      <c r="GO44" s="63"/>
      <c r="GP44" s="63"/>
      <c r="GQ44" s="63"/>
      <c r="GR44" s="63"/>
      <c r="GS44" s="63"/>
      <c r="GT44" s="63"/>
      <c r="GU44" s="63"/>
      <c r="GV44" s="63"/>
      <c r="GW44" s="63"/>
      <c r="GX44" s="63"/>
      <c r="GY44" s="63"/>
      <c r="GZ44" s="63"/>
      <c r="HA44" s="63"/>
      <c r="HB44" s="63"/>
      <c r="HC44" s="63"/>
      <c r="HD44" s="63"/>
      <c r="HE44" s="63"/>
      <c r="HF44" s="63"/>
      <c r="HG44" s="63"/>
      <c r="HH44" s="63"/>
      <c r="HI44" s="63"/>
      <c r="HJ44" s="63"/>
    </row>
    <row r="45" spans="2:218" s="3" customFormat="1" ht="15" customHeight="1" x14ac:dyDescent="0.25">
      <c r="B45" s="416" t="s">
        <v>1188</v>
      </c>
      <c r="C45" s="15"/>
      <c r="D45" s="417"/>
      <c r="E45" s="31">
        <f>'Crono fisico'!E68</f>
        <v>195</v>
      </c>
      <c r="F45" s="31">
        <f>'Crono fisico'!F68</f>
        <v>201</v>
      </c>
      <c r="G45" s="31">
        <f t="shared" si="15"/>
        <v>7</v>
      </c>
      <c r="H45" s="63"/>
      <c r="I45" s="63"/>
      <c r="J45" s="63"/>
      <c r="K45" s="63"/>
      <c r="L45" s="63"/>
      <c r="M45" s="63"/>
      <c r="N45" s="63"/>
      <c r="O45" s="63"/>
      <c r="P45" s="63"/>
      <c r="Q45" s="63"/>
      <c r="R45" s="63"/>
      <c r="S45" s="63"/>
      <c r="T45" s="63"/>
      <c r="U45" s="63"/>
      <c r="V45" s="63"/>
      <c r="W45" s="63"/>
      <c r="X45" s="63"/>
      <c r="Y45" s="63"/>
      <c r="Z45" s="63"/>
      <c r="AA45" s="63"/>
      <c r="AB45" s="63"/>
      <c r="AC45" s="63"/>
      <c r="AD45" s="63"/>
      <c r="AE45" s="63"/>
      <c r="AF45" s="63"/>
      <c r="AG45" s="63"/>
      <c r="AH45" s="63"/>
      <c r="AI45" s="63"/>
      <c r="AJ45" s="63"/>
      <c r="AK45" s="63"/>
      <c r="AL45" s="63"/>
      <c r="AM45" s="63"/>
      <c r="AN45" s="63"/>
      <c r="AO45" s="63"/>
      <c r="AP45" s="63"/>
      <c r="AQ45" s="63"/>
      <c r="AR45" s="63"/>
      <c r="AS45" s="63"/>
      <c r="AT45" s="63"/>
      <c r="AU45" s="63"/>
      <c r="AV45" s="63"/>
      <c r="AW45" s="63"/>
      <c r="AX45" s="63"/>
      <c r="AY45" s="63"/>
      <c r="AZ45" s="63"/>
      <c r="BA45" s="63"/>
      <c r="BB45" s="63"/>
      <c r="BC45" s="63"/>
      <c r="BD45" s="63"/>
      <c r="BE45" s="63"/>
      <c r="BF45" s="63"/>
      <c r="BG45" s="63"/>
      <c r="BH45" s="63"/>
      <c r="BI45" s="63"/>
      <c r="BJ45" s="63"/>
      <c r="BK45" s="63"/>
      <c r="BL45" s="63"/>
      <c r="BM45" s="63"/>
      <c r="BN45" s="63"/>
      <c r="BO45" s="63"/>
      <c r="BP45" s="63"/>
      <c r="BQ45" s="63"/>
      <c r="BR45" s="68"/>
      <c r="BS45" s="68"/>
      <c r="BT45" s="68"/>
      <c r="BU45" s="68"/>
      <c r="BV45" s="68"/>
      <c r="BW45" s="68"/>
      <c r="BX45" s="68"/>
      <c r="BY45" s="68"/>
      <c r="BZ45" s="68"/>
      <c r="CA45" s="68"/>
      <c r="CB45" s="68"/>
      <c r="CC45" s="68"/>
      <c r="CD45" s="68"/>
      <c r="CE45" s="68"/>
      <c r="CF45" s="68"/>
      <c r="CG45" s="68"/>
      <c r="CH45" s="68"/>
      <c r="CI45" s="68"/>
      <c r="CJ45" s="68"/>
      <c r="CK45" s="68"/>
      <c r="CL45" s="68"/>
      <c r="CM45" s="68"/>
      <c r="CN45" s="68"/>
      <c r="CO45" s="68"/>
      <c r="CP45" s="68"/>
      <c r="CQ45" s="68"/>
      <c r="CR45" s="68"/>
      <c r="CS45" s="68"/>
      <c r="CT45" s="68"/>
      <c r="CU45" s="68"/>
      <c r="CV45" s="68"/>
      <c r="CW45" s="68"/>
      <c r="CX45" s="68"/>
      <c r="CY45" s="68"/>
      <c r="CZ45" s="68"/>
      <c r="DA45" s="68"/>
      <c r="DB45" s="68"/>
      <c r="DC45" s="68"/>
      <c r="DD45" s="68"/>
      <c r="DE45" s="68"/>
      <c r="DF45" s="68"/>
      <c r="DG45" s="68"/>
      <c r="DH45" s="68"/>
      <c r="DI45" s="68"/>
      <c r="DJ45" s="68"/>
      <c r="DK45" s="68"/>
      <c r="DL45" s="68"/>
      <c r="DM45" s="68"/>
      <c r="DN45" s="68"/>
      <c r="DO45" s="68"/>
      <c r="DP45" s="68"/>
      <c r="DQ45" s="68"/>
      <c r="DR45" s="68"/>
      <c r="DS45" s="68"/>
      <c r="DT45" s="68"/>
      <c r="DU45" s="68"/>
      <c r="DV45" s="68"/>
      <c r="DW45" s="68"/>
      <c r="DX45" s="68"/>
      <c r="DY45" s="63"/>
      <c r="DZ45" s="63"/>
      <c r="EA45" s="63"/>
      <c r="EB45" s="63"/>
      <c r="EC45" s="63"/>
      <c r="ED45" s="63"/>
      <c r="EE45" s="63"/>
      <c r="EF45" s="63"/>
      <c r="EG45" s="63"/>
      <c r="EH45" s="63"/>
      <c r="EI45" s="63"/>
      <c r="EJ45" s="63"/>
      <c r="EK45" s="63"/>
      <c r="EL45" s="63"/>
      <c r="EM45" s="63"/>
      <c r="EN45" s="63"/>
      <c r="EO45" s="63"/>
      <c r="EP45" s="63"/>
      <c r="EQ45" s="63"/>
      <c r="ER45" s="63"/>
      <c r="ES45" s="63"/>
      <c r="ET45" s="63"/>
      <c r="EU45" s="63"/>
      <c r="EV45" s="63"/>
      <c r="EW45" s="63"/>
      <c r="EX45" s="63"/>
      <c r="EY45" s="63"/>
      <c r="EZ45" s="63"/>
      <c r="FA45" s="63"/>
      <c r="FB45" s="63"/>
      <c r="FC45" s="63"/>
      <c r="FD45" s="63"/>
      <c r="FE45" s="63"/>
      <c r="FF45" s="63"/>
      <c r="FG45" s="63"/>
      <c r="FH45" s="63"/>
      <c r="FI45" s="63"/>
      <c r="FJ45" s="63"/>
      <c r="FK45" s="63"/>
      <c r="FL45" s="63"/>
      <c r="FM45" s="63"/>
      <c r="FN45" s="63"/>
      <c r="FO45" s="63"/>
      <c r="FP45" s="63"/>
      <c r="FQ45" s="63"/>
      <c r="FR45" s="63"/>
      <c r="FS45" s="63"/>
      <c r="FT45" s="63"/>
      <c r="FU45" s="63"/>
      <c r="FV45" s="63"/>
      <c r="FW45" s="63"/>
      <c r="FX45" s="63"/>
      <c r="FY45" s="63"/>
      <c r="FZ45" s="63"/>
      <c r="GA45" s="63"/>
      <c r="GB45" s="63"/>
      <c r="GC45" s="63"/>
      <c r="GD45" s="63"/>
      <c r="GE45" s="63"/>
      <c r="GF45" s="63"/>
      <c r="GG45" s="63"/>
      <c r="GH45" s="63"/>
      <c r="GI45" s="63"/>
      <c r="GJ45" s="63"/>
      <c r="GK45" s="63"/>
      <c r="GL45" s="63"/>
      <c r="GM45" s="63"/>
      <c r="GN45" s="63"/>
      <c r="GO45" s="63"/>
      <c r="GP45" s="63"/>
      <c r="GQ45" s="63"/>
      <c r="GR45" s="63"/>
      <c r="GS45" s="63"/>
      <c r="GT45" s="63"/>
      <c r="GU45" s="63">
        <f>'Memo calc'!$J$1901</f>
        <v>4</v>
      </c>
      <c r="GV45" s="63">
        <f>'Memo calc'!$J$1901</f>
        <v>4</v>
      </c>
      <c r="GW45" s="63">
        <f>'Memo calc'!$J$1901</f>
        <v>4</v>
      </c>
      <c r="GX45" s="63">
        <f>'Memo calc'!$J$1901</f>
        <v>4</v>
      </c>
      <c r="GY45" s="63">
        <f>'Memo calc'!$J$1901</f>
        <v>4</v>
      </c>
      <c r="GZ45" s="63"/>
      <c r="HA45" s="63"/>
      <c r="HB45" s="63"/>
      <c r="HC45" s="63"/>
      <c r="HD45" s="63"/>
      <c r="HE45" s="63"/>
      <c r="HF45" s="63"/>
      <c r="HG45" s="63"/>
      <c r="HH45" s="63"/>
      <c r="HI45" s="63"/>
      <c r="HJ45" s="63"/>
    </row>
    <row r="46" spans="2:218" s="3" customFormat="1" ht="15" customHeight="1" x14ac:dyDescent="0.25">
      <c r="B46" s="416" t="s">
        <v>1191</v>
      </c>
      <c r="C46" s="15"/>
      <c r="D46" s="417"/>
      <c r="E46" s="31">
        <f>'Crono fisico'!E69</f>
        <v>201</v>
      </c>
      <c r="F46" s="31">
        <f>'Crono fisico'!F69</f>
        <v>202</v>
      </c>
      <c r="G46" s="31">
        <f t="shared" si="15"/>
        <v>2</v>
      </c>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c r="AH46" s="63"/>
      <c r="AI46" s="63"/>
      <c r="AJ46" s="63"/>
      <c r="AK46" s="63"/>
      <c r="AL46" s="63"/>
      <c r="AM46" s="63"/>
      <c r="AN46" s="63"/>
      <c r="AO46" s="63"/>
      <c r="AP46" s="63"/>
      <c r="AQ46" s="63"/>
      <c r="AR46" s="63"/>
      <c r="AS46" s="63"/>
      <c r="AT46" s="63"/>
      <c r="AU46" s="63"/>
      <c r="AV46" s="63"/>
      <c r="AW46" s="63"/>
      <c r="AX46" s="63"/>
      <c r="AY46" s="63"/>
      <c r="AZ46" s="63"/>
      <c r="BA46" s="63"/>
      <c r="BB46" s="63"/>
      <c r="BC46" s="63"/>
      <c r="BD46" s="63"/>
      <c r="BE46" s="63"/>
      <c r="BF46" s="63"/>
      <c r="BG46" s="63"/>
      <c r="BH46" s="63"/>
      <c r="BI46" s="63"/>
      <c r="BJ46" s="63"/>
      <c r="BK46" s="63"/>
      <c r="BL46" s="63"/>
      <c r="BM46" s="63"/>
      <c r="BN46" s="63"/>
      <c r="BO46" s="63"/>
      <c r="BP46" s="63"/>
      <c r="BQ46" s="63"/>
      <c r="BR46" s="68"/>
      <c r="BS46" s="68"/>
      <c r="BT46" s="68"/>
      <c r="BU46" s="68"/>
      <c r="BV46" s="68"/>
      <c r="BW46" s="68"/>
      <c r="BX46" s="68"/>
      <c r="BY46" s="68"/>
      <c r="BZ46" s="68"/>
      <c r="CA46" s="68"/>
      <c r="CB46" s="68"/>
      <c r="CC46" s="68"/>
      <c r="CD46" s="68"/>
      <c r="CE46" s="68"/>
      <c r="CF46" s="68"/>
      <c r="CG46" s="68"/>
      <c r="CH46" s="68"/>
      <c r="CI46" s="68"/>
      <c r="CJ46" s="68"/>
      <c r="CK46" s="68"/>
      <c r="CL46" s="68"/>
      <c r="CM46" s="68"/>
      <c r="CN46" s="68"/>
      <c r="CO46" s="68"/>
      <c r="CP46" s="68"/>
      <c r="CQ46" s="68"/>
      <c r="CR46" s="68"/>
      <c r="CS46" s="68"/>
      <c r="CT46" s="68"/>
      <c r="CU46" s="68"/>
      <c r="CV46" s="68"/>
      <c r="CW46" s="68"/>
      <c r="CX46" s="68"/>
      <c r="CY46" s="68"/>
      <c r="CZ46" s="68"/>
      <c r="DA46" s="68"/>
      <c r="DB46" s="68"/>
      <c r="DC46" s="68"/>
      <c r="DD46" s="68"/>
      <c r="DE46" s="68"/>
      <c r="DF46" s="68"/>
      <c r="DG46" s="68"/>
      <c r="DH46" s="68"/>
      <c r="DI46" s="68"/>
      <c r="DJ46" s="68"/>
      <c r="DK46" s="68"/>
      <c r="DL46" s="68"/>
      <c r="DM46" s="68"/>
      <c r="DN46" s="68"/>
      <c r="DO46" s="68"/>
      <c r="DP46" s="68"/>
      <c r="DQ46" s="68"/>
      <c r="DR46" s="68"/>
      <c r="DS46" s="68"/>
      <c r="DT46" s="68"/>
      <c r="DU46" s="68"/>
      <c r="DV46" s="68"/>
      <c r="DW46" s="68"/>
      <c r="DX46" s="68"/>
      <c r="DY46" s="63"/>
      <c r="DZ46" s="63"/>
      <c r="EA46" s="63"/>
      <c r="EB46" s="63"/>
      <c r="EC46" s="63"/>
      <c r="ED46" s="63"/>
      <c r="EE46" s="63"/>
      <c r="EF46" s="63"/>
      <c r="EG46" s="63"/>
      <c r="EH46" s="63"/>
      <c r="EI46" s="63"/>
      <c r="EJ46" s="63"/>
      <c r="EK46" s="63"/>
      <c r="EL46" s="63"/>
      <c r="EM46" s="63"/>
      <c r="EN46" s="63"/>
      <c r="EO46" s="63"/>
      <c r="EP46" s="63"/>
      <c r="EQ46" s="63"/>
      <c r="ER46" s="63"/>
      <c r="ES46" s="63"/>
      <c r="ET46" s="63"/>
      <c r="EU46" s="63"/>
      <c r="EV46" s="63"/>
      <c r="EW46" s="63"/>
      <c r="EX46" s="63"/>
      <c r="EY46" s="63"/>
      <c r="EZ46" s="63"/>
      <c r="FA46" s="63"/>
      <c r="FB46" s="63"/>
      <c r="FC46" s="63"/>
      <c r="FD46" s="63"/>
      <c r="FE46" s="63"/>
      <c r="FF46" s="63"/>
      <c r="FG46" s="63"/>
      <c r="FH46" s="63"/>
      <c r="FI46" s="63"/>
      <c r="FJ46" s="63"/>
      <c r="FK46" s="63"/>
      <c r="FL46" s="63"/>
      <c r="FM46" s="63"/>
      <c r="FN46" s="63"/>
      <c r="FO46" s="63"/>
      <c r="FP46" s="63"/>
      <c r="FQ46" s="63"/>
      <c r="FR46" s="63"/>
      <c r="FS46" s="63"/>
      <c r="FT46" s="63"/>
      <c r="FU46" s="63"/>
      <c r="FV46" s="63"/>
      <c r="FW46" s="63"/>
      <c r="FX46" s="63"/>
      <c r="FY46" s="63"/>
      <c r="FZ46" s="63"/>
      <c r="GA46" s="63"/>
      <c r="GB46" s="63"/>
      <c r="GC46" s="63"/>
      <c r="GD46" s="63"/>
      <c r="GE46" s="63"/>
      <c r="GF46" s="63"/>
      <c r="GG46" s="63"/>
      <c r="GH46" s="63"/>
      <c r="GI46" s="63"/>
      <c r="GJ46" s="63"/>
      <c r="GK46" s="63"/>
      <c r="GL46" s="63"/>
      <c r="GM46" s="63"/>
      <c r="GN46" s="63"/>
      <c r="GO46" s="63"/>
      <c r="GP46" s="63"/>
      <c r="GQ46" s="63"/>
      <c r="GR46" s="63"/>
      <c r="GS46" s="63"/>
      <c r="GT46" s="63"/>
      <c r="GU46" s="63"/>
      <c r="GV46" s="63"/>
      <c r="GW46" s="63"/>
      <c r="GX46" s="63"/>
      <c r="GY46" s="63">
        <f>'Memo calc'!$J$1945</f>
        <v>1</v>
      </c>
      <c r="GZ46" s="63">
        <f>'Memo calc'!$J$1945</f>
        <v>1</v>
      </c>
      <c r="HA46" s="63"/>
      <c r="HB46" s="63"/>
      <c r="HC46" s="63"/>
      <c r="HD46" s="63"/>
      <c r="HE46" s="63"/>
      <c r="HF46" s="63"/>
      <c r="HG46" s="63"/>
      <c r="HH46" s="63"/>
      <c r="HI46" s="63"/>
      <c r="HJ46" s="63"/>
    </row>
    <row r="47" spans="2:218" s="3" customFormat="1" ht="15" customHeight="1" x14ac:dyDescent="0.25">
      <c r="B47" s="420" t="s">
        <v>1006</v>
      </c>
      <c r="C47" s="12"/>
      <c r="D47" s="421"/>
      <c r="E47" s="70">
        <f>MIN(E48:F48)</f>
        <v>117</v>
      </c>
      <c r="F47" s="70">
        <f>MAX(E48:F48)</f>
        <v>162</v>
      </c>
      <c r="G47" s="70">
        <f>F47-E47+1</f>
        <v>46</v>
      </c>
      <c r="H47" s="63"/>
      <c r="I47" s="63"/>
      <c r="J47" s="63"/>
      <c r="K47" s="63"/>
      <c r="L47" s="63"/>
      <c r="M47" s="63"/>
      <c r="N47" s="63"/>
      <c r="O47" s="63"/>
      <c r="P47" s="63"/>
      <c r="Q47" s="63"/>
      <c r="R47" s="63"/>
      <c r="S47" s="63"/>
      <c r="T47" s="63"/>
      <c r="U47" s="63"/>
      <c r="V47" s="63"/>
      <c r="W47" s="63"/>
      <c r="X47" s="63"/>
      <c r="Y47" s="63"/>
      <c r="Z47" s="63"/>
      <c r="AA47" s="63"/>
      <c r="AB47" s="63"/>
      <c r="AC47" s="63"/>
      <c r="AD47" s="63"/>
      <c r="AE47" s="63"/>
      <c r="AF47" s="63"/>
      <c r="AG47" s="63"/>
      <c r="AH47" s="63"/>
      <c r="AI47" s="63"/>
      <c r="AJ47" s="63"/>
      <c r="AK47" s="63"/>
      <c r="AL47" s="63"/>
      <c r="AM47" s="63"/>
      <c r="AN47" s="63"/>
      <c r="AO47" s="63"/>
      <c r="AP47" s="63"/>
      <c r="AQ47" s="63"/>
      <c r="AR47" s="63"/>
      <c r="AS47" s="63"/>
      <c r="AT47" s="63"/>
      <c r="AU47" s="63"/>
      <c r="AV47" s="63"/>
      <c r="AW47" s="63"/>
      <c r="AX47" s="63"/>
      <c r="AY47" s="63"/>
      <c r="AZ47" s="63"/>
      <c r="BA47" s="63"/>
      <c r="BB47" s="63"/>
      <c r="BC47" s="63"/>
      <c r="BD47" s="63"/>
      <c r="BE47" s="63"/>
      <c r="BF47" s="63"/>
      <c r="BG47" s="63"/>
      <c r="BH47" s="63"/>
      <c r="BI47" s="63"/>
      <c r="BJ47" s="63"/>
      <c r="BK47" s="63"/>
      <c r="BL47" s="63"/>
      <c r="BM47" s="63"/>
      <c r="BN47" s="63"/>
      <c r="BO47" s="63"/>
      <c r="BP47" s="63"/>
      <c r="BQ47" s="63"/>
      <c r="BR47" s="68"/>
      <c r="BS47" s="68"/>
      <c r="BT47" s="68"/>
      <c r="BU47" s="68"/>
      <c r="BV47" s="68"/>
      <c r="BW47" s="68"/>
      <c r="BX47" s="68"/>
      <c r="BY47" s="68"/>
      <c r="BZ47" s="68"/>
      <c r="CA47" s="68"/>
      <c r="CB47" s="68"/>
      <c r="CC47" s="68"/>
      <c r="CD47" s="68"/>
      <c r="CE47" s="68"/>
      <c r="CF47" s="68"/>
      <c r="CG47" s="68"/>
      <c r="CH47" s="68"/>
      <c r="CI47" s="68"/>
      <c r="CJ47" s="68"/>
      <c r="CK47" s="68"/>
      <c r="CL47" s="68"/>
      <c r="CM47" s="68"/>
      <c r="CN47" s="68"/>
      <c r="CO47" s="68"/>
      <c r="CP47" s="68"/>
      <c r="CQ47" s="68"/>
      <c r="CR47" s="68"/>
      <c r="CS47" s="68"/>
      <c r="CT47" s="68"/>
      <c r="CU47" s="68"/>
      <c r="CV47" s="68"/>
      <c r="CW47" s="68"/>
      <c r="CX47" s="68"/>
      <c r="CY47" s="68"/>
      <c r="CZ47" s="68"/>
      <c r="DA47" s="68"/>
      <c r="DB47" s="68"/>
      <c r="DC47" s="68"/>
      <c r="DD47" s="68"/>
      <c r="DE47" s="68"/>
      <c r="DF47" s="68"/>
      <c r="DG47" s="68"/>
      <c r="DH47" s="68"/>
      <c r="DI47" s="68"/>
      <c r="DJ47" s="68"/>
      <c r="DK47" s="68"/>
      <c r="DL47" s="68"/>
      <c r="DM47" s="68"/>
      <c r="DN47" s="68"/>
      <c r="DO47" s="68"/>
      <c r="DP47" s="68"/>
      <c r="DQ47" s="68"/>
      <c r="DR47" s="68"/>
      <c r="DS47" s="68"/>
      <c r="DT47" s="68"/>
      <c r="DU47" s="68">
        <f>'Memo calc'!$J$1991</f>
        <v>2</v>
      </c>
      <c r="DV47" s="68">
        <f>'Memo calc'!$J$1991</f>
        <v>2</v>
      </c>
      <c r="DW47" s="68">
        <f>'Memo calc'!$J$1991</f>
        <v>2</v>
      </c>
      <c r="DX47" s="68">
        <f>'Memo calc'!$J$1991</f>
        <v>2</v>
      </c>
      <c r="DY47" s="68">
        <f>'Memo calc'!$J$1991</f>
        <v>2</v>
      </c>
      <c r="DZ47" s="68">
        <f>'Memo calc'!$J$1991</f>
        <v>2</v>
      </c>
      <c r="EA47" s="68">
        <f>'Memo calc'!$J$1991</f>
        <v>2</v>
      </c>
      <c r="EB47" s="68">
        <f>'Memo calc'!$J$1991</f>
        <v>2</v>
      </c>
      <c r="EC47" s="68">
        <f>'Memo calc'!$J$1991</f>
        <v>2</v>
      </c>
      <c r="ED47" s="68">
        <f>'Memo calc'!$J$1991</f>
        <v>2</v>
      </c>
      <c r="EE47" s="68">
        <f>'Memo calc'!$J$1991</f>
        <v>2</v>
      </c>
      <c r="EF47" s="68">
        <f>'Memo calc'!$J$1991</f>
        <v>2</v>
      </c>
      <c r="EG47" s="68">
        <f>'Memo calc'!$J$1991</f>
        <v>2</v>
      </c>
      <c r="EH47" s="68">
        <f>'Memo calc'!$J$1991</f>
        <v>2</v>
      </c>
      <c r="EI47" s="68">
        <f>'Memo calc'!$J$1991</f>
        <v>2</v>
      </c>
      <c r="EJ47" s="68">
        <f>'Memo calc'!$J$1991</f>
        <v>2</v>
      </c>
      <c r="EK47" s="68">
        <f>'Memo calc'!$J$1991</f>
        <v>2</v>
      </c>
      <c r="EL47" s="68">
        <f>'Memo calc'!$J$1991</f>
        <v>2</v>
      </c>
      <c r="EM47" s="68">
        <f>'Memo calc'!$J$1991</f>
        <v>2</v>
      </c>
      <c r="EN47" s="68">
        <f>'Memo calc'!$J$1991</f>
        <v>2</v>
      </c>
      <c r="EO47" s="68">
        <f>'Memo calc'!$J$1991</f>
        <v>2</v>
      </c>
      <c r="EP47" s="68">
        <f>'Memo calc'!$J$1991</f>
        <v>2</v>
      </c>
      <c r="EQ47" s="68">
        <f>'Memo calc'!$J$1991</f>
        <v>2</v>
      </c>
      <c r="ER47" s="68">
        <f>'Memo calc'!$J$1991</f>
        <v>2</v>
      </c>
      <c r="ES47" s="68">
        <f>'Memo calc'!$J$1991</f>
        <v>2</v>
      </c>
      <c r="ET47" s="68">
        <f>'Memo calc'!$J$1991</f>
        <v>2</v>
      </c>
      <c r="EU47" s="68">
        <f>'Memo calc'!$J$1991</f>
        <v>2</v>
      </c>
      <c r="EV47" s="68">
        <f>'Memo calc'!$J$1991</f>
        <v>2</v>
      </c>
      <c r="EW47" s="68">
        <f>'Memo calc'!$J$1991</f>
        <v>2</v>
      </c>
      <c r="EX47" s="68">
        <f>'Memo calc'!$J$1991</f>
        <v>2</v>
      </c>
      <c r="EY47" s="68">
        <f>'Memo calc'!$J$1991</f>
        <v>2</v>
      </c>
      <c r="EZ47" s="68">
        <f>'Memo calc'!$J$1991</f>
        <v>2</v>
      </c>
      <c r="FA47" s="68">
        <f>'Memo calc'!$J$1991</f>
        <v>2</v>
      </c>
      <c r="FB47" s="68">
        <f>'Memo calc'!$J$1991</f>
        <v>2</v>
      </c>
      <c r="FC47" s="68">
        <f>'Memo calc'!$J$1991</f>
        <v>2</v>
      </c>
      <c r="FD47" s="68">
        <f>'Memo calc'!$J$1991</f>
        <v>2</v>
      </c>
      <c r="FE47" s="68">
        <f>'Memo calc'!$J$1991</f>
        <v>2</v>
      </c>
      <c r="FF47" s="68">
        <f>'Memo calc'!$J$1991</f>
        <v>2</v>
      </c>
      <c r="FG47" s="68">
        <f>'Memo calc'!$J$1991</f>
        <v>2</v>
      </c>
      <c r="FH47" s="68">
        <f>'Memo calc'!$J$1991</f>
        <v>2</v>
      </c>
      <c r="FI47" s="68">
        <f>'Memo calc'!$J$1991</f>
        <v>2</v>
      </c>
      <c r="FJ47" s="68">
        <f>'Memo calc'!$J$1991</f>
        <v>2</v>
      </c>
      <c r="FK47" s="68">
        <f>'Memo calc'!$J$1991</f>
        <v>2</v>
      </c>
      <c r="FL47" s="68">
        <f>'Memo calc'!$J$1991</f>
        <v>2</v>
      </c>
      <c r="FM47" s="68">
        <f>'Memo calc'!$J$1991</f>
        <v>2</v>
      </c>
      <c r="FN47" s="68">
        <f>'Memo calc'!$J$1991</f>
        <v>2</v>
      </c>
      <c r="FO47" s="63"/>
      <c r="FP47" s="63"/>
      <c r="FQ47" s="63"/>
      <c r="FR47" s="63"/>
      <c r="FS47" s="63"/>
      <c r="FT47" s="63"/>
      <c r="FU47" s="63"/>
      <c r="FV47" s="63"/>
      <c r="FW47" s="63"/>
      <c r="FX47" s="63"/>
      <c r="FY47" s="63"/>
      <c r="FZ47" s="63"/>
      <c r="GA47" s="63"/>
      <c r="GB47" s="63"/>
      <c r="GC47" s="63"/>
      <c r="GD47" s="63"/>
      <c r="GE47" s="63"/>
      <c r="GF47" s="63"/>
      <c r="GG47" s="63"/>
      <c r="GH47" s="63"/>
      <c r="GI47" s="63"/>
      <c r="GJ47" s="63"/>
      <c r="GK47" s="63"/>
      <c r="GL47" s="63"/>
      <c r="GM47" s="63"/>
      <c r="GN47" s="63"/>
      <c r="GO47" s="63"/>
      <c r="GP47" s="63"/>
      <c r="GQ47" s="63"/>
      <c r="GR47" s="63"/>
      <c r="GS47" s="63"/>
      <c r="GT47" s="63"/>
      <c r="GU47" s="63"/>
      <c r="GV47" s="63"/>
      <c r="GW47" s="63"/>
      <c r="GX47" s="63"/>
      <c r="GY47" s="63"/>
      <c r="GZ47" s="63"/>
      <c r="HA47" s="63"/>
      <c r="HB47" s="63"/>
      <c r="HC47" s="63"/>
      <c r="HD47" s="63"/>
      <c r="HE47" s="63"/>
      <c r="HF47" s="63"/>
      <c r="HG47" s="63"/>
      <c r="HH47" s="63"/>
      <c r="HI47" s="63"/>
      <c r="HJ47" s="63"/>
    </row>
    <row r="48" spans="2:218" s="3" customFormat="1" ht="15" customHeight="1" x14ac:dyDescent="0.25">
      <c r="B48" s="416" t="s">
        <v>1103</v>
      </c>
      <c r="C48" s="15"/>
      <c r="D48" s="417"/>
      <c r="E48" s="31">
        <f>'Crono fisico'!E71</f>
        <v>117</v>
      </c>
      <c r="F48" s="31">
        <f>'Crono fisico'!F71</f>
        <v>162</v>
      </c>
      <c r="G48" s="31">
        <f t="shared" ref="G48" si="16">F48-E48+1</f>
        <v>46</v>
      </c>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63"/>
      <c r="BF48" s="63"/>
      <c r="BG48" s="63"/>
      <c r="BH48" s="63"/>
      <c r="BI48" s="63"/>
      <c r="BJ48" s="63"/>
      <c r="BK48" s="63"/>
      <c r="BL48" s="63"/>
      <c r="BM48" s="63"/>
      <c r="BN48" s="63"/>
      <c r="BO48" s="63"/>
      <c r="BP48" s="63"/>
      <c r="BQ48" s="63"/>
      <c r="BR48" s="68"/>
      <c r="BS48" s="68"/>
      <c r="BT48" s="68"/>
      <c r="BU48" s="68"/>
      <c r="BV48" s="68"/>
      <c r="BW48" s="68"/>
      <c r="BX48" s="68"/>
      <c r="BY48" s="68"/>
      <c r="BZ48" s="68"/>
      <c r="CA48" s="68"/>
      <c r="CB48" s="68"/>
      <c r="CC48" s="68"/>
      <c r="CD48" s="68"/>
      <c r="CE48" s="68"/>
      <c r="CF48" s="68"/>
      <c r="CG48" s="68"/>
      <c r="CH48" s="68"/>
      <c r="CI48" s="68"/>
      <c r="CJ48" s="68"/>
      <c r="CK48" s="68"/>
      <c r="CL48" s="68"/>
      <c r="CM48" s="68"/>
      <c r="CN48" s="68"/>
      <c r="CO48" s="68"/>
      <c r="CP48" s="68"/>
      <c r="CQ48" s="68"/>
      <c r="CR48" s="68"/>
      <c r="CS48" s="68"/>
      <c r="CT48" s="68"/>
      <c r="CU48" s="68"/>
      <c r="CV48" s="68"/>
      <c r="CW48" s="68"/>
      <c r="CX48" s="68"/>
      <c r="CY48" s="68"/>
      <c r="CZ48" s="68"/>
      <c r="DA48" s="68"/>
      <c r="DB48" s="68"/>
      <c r="DC48" s="68"/>
      <c r="DD48" s="68"/>
      <c r="DE48" s="68"/>
      <c r="DF48" s="68"/>
      <c r="DG48" s="68"/>
      <c r="DH48" s="68"/>
      <c r="DI48" s="68"/>
      <c r="DJ48" s="68"/>
      <c r="DK48" s="68"/>
      <c r="DL48" s="68"/>
      <c r="DM48" s="68"/>
      <c r="DN48" s="68"/>
      <c r="DO48" s="68"/>
      <c r="DP48" s="68"/>
      <c r="DQ48" s="68"/>
      <c r="DR48" s="68"/>
      <c r="DS48" s="68"/>
      <c r="DT48" s="68"/>
      <c r="DU48" s="68">
        <f>'Memo calc'!$J$1991</f>
        <v>2</v>
      </c>
      <c r="DV48" s="68">
        <f>'Memo calc'!$J$1991</f>
        <v>2</v>
      </c>
      <c r="DW48" s="68">
        <f>'Memo calc'!$J$1991</f>
        <v>2</v>
      </c>
      <c r="DX48" s="68">
        <f>'Memo calc'!$J$1991</f>
        <v>2</v>
      </c>
      <c r="DY48" s="68">
        <f>'Memo calc'!$J$1991</f>
        <v>2</v>
      </c>
      <c r="DZ48" s="68">
        <f>'Memo calc'!$J$1991</f>
        <v>2</v>
      </c>
      <c r="EA48" s="68">
        <f>'Memo calc'!$J$1991</f>
        <v>2</v>
      </c>
      <c r="EB48" s="68">
        <f>'Memo calc'!$J$1991</f>
        <v>2</v>
      </c>
      <c r="EC48" s="68">
        <f>'Memo calc'!$J$1991</f>
        <v>2</v>
      </c>
      <c r="ED48" s="68">
        <f>'Memo calc'!$J$1991</f>
        <v>2</v>
      </c>
      <c r="EE48" s="68">
        <f>'Memo calc'!$J$1991</f>
        <v>2</v>
      </c>
      <c r="EF48" s="68">
        <f>'Memo calc'!$J$1991</f>
        <v>2</v>
      </c>
      <c r="EG48" s="68">
        <f>'Memo calc'!$J$1991</f>
        <v>2</v>
      </c>
      <c r="EH48" s="68">
        <f>'Memo calc'!$J$1991</f>
        <v>2</v>
      </c>
      <c r="EI48" s="68">
        <f>'Memo calc'!$J$1991</f>
        <v>2</v>
      </c>
      <c r="EJ48" s="68">
        <f>'Memo calc'!$J$1991</f>
        <v>2</v>
      </c>
      <c r="EK48" s="68">
        <f>'Memo calc'!$J$1991</f>
        <v>2</v>
      </c>
      <c r="EL48" s="68">
        <f>'Memo calc'!$J$1991</f>
        <v>2</v>
      </c>
      <c r="EM48" s="68">
        <f>'Memo calc'!$J$1991</f>
        <v>2</v>
      </c>
      <c r="EN48" s="68">
        <f>'Memo calc'!$J$1991</f>
        <v>2</v>
      </c>
      <c r="EO48" s="68">
        <f>'Memo calc'!$J$1991</f>
        <v>2</v>
      </c>
      <c r="EP48" s="68">
        <f>'Memo calc'!$J$1991</f>
        <v>2</v>
      </c>
      <c r="EQ48" s="68">
        <f>'Memo calc'!$J$1991</f>
        <v>2</v>
      </c>
      <c r="ER48" s="68">
        <f>'Memo calc'!$J$1991</f>
        <v>2</v>
      </c>
      <c r="ES48" s="68">
        <f>'Memo calc'!$J$1991</f>
        <v>2</v>
      </c>
      <c r="ET48" s="68">
        <f>'Memo calc'!$J$1991</f>
        <v>2</v>
      </c>
      <c r="EU48" s="68">
        <f>'Memo calc'!$J$1991</f>
        <v>2</v>
      </c>
      <c r="EV48" s="68">
        <f>'Memo calc'!$J$1991</f>
        <v>2</v>
      </c>
      <c r="EW48" s="68">
        <f>'Memo calc'!$J$1991</f>
        <v>2</v>
      </c>
      <c r="EX48" s="68">
        <f>'Memo calc'!$J$1991</f>
        <v>2</v>
      </c>
      <c r="EY48" s="68">
        <f>'Memo calc'!$J$1991</f>
        <v>2</v>
      </c>
      <c r="EZ48" s="68">
        <f>'Memo calc'!$J$1991</f>
        <v>2</v>
      </c>
      <c r="FA48" s="68">
        <f>'Memo calc'!$J$1991</f>
        <v>2</v>
      </c>
      <c r="FB48" s="68">
        <f>'Memo calc'!$J$1991</f>
        <v>2</v>
      </c>
      <c r="FC48" s="68">
        <f>'Memo calc'!$J$1991</f>
        <v>2</v>
      </c>
      <c r="FD48" s="68">
        <f>'Memo calc'!$J$1991</f>
        <v>2</v>
      </c>
      <c r="FE48" s="68">
        <f>'Memo calc'!$J$1991</f>
        <v>2</v>
      </c>
      <c r="FF48" s="68">
        <f>'Memo calc'!$J$1991</f>
        <v>2</v>
      </c>
      <c r="FG48" s="68">
        <f>'Memo calc'!$J$1991</f>
        <v>2</v>
      </c>
      <c r="FH48" s="68">
        <f>'Memo calc'!$J$1991</f>
        <v>2</v>
      </c>
      <c r="FI48" s="68">
        <f>'Memo calc'!$J$1991</f>
        <v>2</v>
      </c>
      <c r="FJ48" s="68">
        <f>'Memo calc'!$J$1991</f>
        <v>2</v>
      </c>
      <c r="FK48" s="68">
        <f>'Memo calc'!$J$1991</f>
        <v>2</v>
      </c>
      <c r="FL48" s="68">
        <f>'Memo calc'!$J$1991</f>
        <v>2</v>
      </c>
      <c r="FM48" s="68">
        <f>'Memo calc'!$J$1991</f>
        <v>2</v>
      </c>
      <c r="FN48" s="68">
        <f>'Memo calc'!$J$1991</f>
        <v>2</v>
      </c>
      <c r="FO48" s="63"/>
      <c r="FP48" s="63"/>
      <c r="FQ48" s="63"/>
      <c r="FR48" s="63"/>
      <c r="FS48" s="63"/>
      <c r="FT48" s="63"/>
      <c r="FU48" s="63"/>
      <c r="FV48" s="63"/>
      <c r="FW48" s="63"/>
      <c r="FX48" s="63"/>
      <c r="FY48" s="63"/>
      <c r="FZ48" s="63"/>
      <c r="GA48" s="63"/>
      <c r="GB48" s="63"/>
      <c r="GC48" s="63"/>
      <c r="GD48" s="63"/>
      <c r="GE48" s="63"/>
      <c r="GF48" s="63"/>
      <c r="GG48" s="63"/>
      <c r="GH48" s="63"/>
      <c r="GI48" s="63"/>
      <c r="GJ48" s="63"/>
      <c r="GK48" s="63"/>
      <c r="GL48" s="63"/>
      <c r="GM48" s="63"/>
      <c r="GN48" s="63"/>
      <c r="GO48" s="63"/>
      <c r="GP48" s="63"/>
      <c r="GQ48" s="63"/>
      <c r="GR48" s="63"/>
      <c r="GS48" s="63"/>
      <c r="GT48" s="63"/>
      <c r="GU48" s="63"/>
      <c r="GV48" s="63"/>
      <c r="GW48" s="63"/>
      <c r="GX48" s="63"/>
      <c r="GY48" s="63"/>
      <c r="GZ48" s="63"/>
      <c r="HA48" s="63"/>
      <c r="HB48" s="63"/>
      <c r="HC48" s="63"/>
      <c r="HD48" s="63"/>
      <c r="HE48" s="63"/>
      <c r="HF48" s="63"/>
      <c r="HG48" s="63"/>
      <c r="HH48" s="63"/>
      <c r="HI48" s="63"/>
      <c r="HJ48" s="63"/>
    </row>
    <row r="49" spans="2:218" s="3" customFormat="1" ht="15" customHeight="1" x14ac:dyDescent="0.25">
      <c r="B49" s="303" t="s">
        <v>329</v>
      </c>
      <c r="C49" s="12"/>
      <c r="D49" s="304"/>
      <c r="E49" s="70">
        <f>MIN(E13:F48)</f>
        <v>1</v>
      </c>
      <c r="F49" s="70">
        <f>MAX(E13:F48)</f>
        <v>202</v>
      </c>
      <c r="G49" s="70">
        <f>F49-E49+1-32-19</f>
        <v>151</v>
      </c>
      <c r="H49" s="307"/>
      <c r="I49" s="307">
        <f>I13+I18+I20+I28+I39</f>
        <v>3</v>
      </c>
      <c r="J49" s="307">
        <f t="shared" ref="J49:BU49" si="17">J13+J18+J20+J28+J39</f>
        <v>3</v>
      </c>
      <c r="K49" s="307">
        <f t="shared" si="17"/>
        <v>6</v>
      </c>
      <c r="L49" s="307">
        <f t="shared" si="17"/>
        <v>6</v>
      </c>
      <c r="M49" s="307">
        <f t="shared" si="17"/>
        <v>5</v>
      </c>
      <c r="N49" s="307">
        <f t="shared" si="17"/>
        <v>5</v>
      </c>
      <c r="O49" s="307">
        <f t="shared" si="17"/>
        <v>5</v>
      </c>
      <c r="P49" s="307">
        <f t="shared" si="17"/>
        <v>5</v>
      </c>
      <c r="Q49" s="307">
        <f t="shared" si="17"/>
        <v>10</v>
      </c>
      <c r="R49" s="307">
        <f t="shared" si="17"/>
        <v>10</v>
      </c>
      <c r="S49" s="307">
        <f t="shared" si="17"/>
        <v>8</v>
      </c>
      <c r="T49" s="307">
        <f t="shared" si="17"/>
        <v>8</v>
      </c>
      <c r="U49" s="307">
        <f t="shared" si="17"/>
        <v>3</v>
      </c>
      <c r="V49" s="307">
        <f t="shared" si="17"/>
        <v>3</v>
      </c>
      <c r="W49" s="307">
        <f t="shared" si="17"/>
        <v>3</v>
      </c>
      <c r="X49" s="307">
        <f t="shared" si="17"/>
        <v>3</v>
      </c>
      <c r="Y49" s="307">
        <f t="shared" si="17"/>
        <v>3</v>
      </c>
      <c r="Z49" s="307">
        <f t="shared" si="17"/>
        <v>3</v>
      </c>
      <c r="AA49" s="307">
        <f t="shared" si="17"/>
        <v>3</v>
      </c>
      <c r="AB49" s="307">
        <f t="shared" si="17"/>
        <v>3</v>
      </c>
      <c r="AC49" s="307">
        <f t="shared" si="17"/>
        <v>3</v>
      </c>
      <c r="AD49" s="307">
        <f t="shared" si="17"/>
        <v>3</v>
      </c>
      <c r="AE49" s="307">
        <f t="shared" si="17"/>
        <v>3</v>
      </c>
      <c r="AF49" s="307">
        <f t="shared" si="17"/>
        <v>3</v>
      </c>
      <c r="AG49" s="307">
        <f t="shared" si="17"/>
        <v>3</v>
      </c>
      <c r="AH49" s="307">
        <f t="shared" si="17"/>
        <v>3</v>
      </c>
      <c r="AI49" s="307">
        <f t="shared" si="17"/>
        <v>1</v>
      </c>
      <c r="AJ49" s="307">
        <f t="shared" si="17"/>
        <v>1</v>
      </c>
      <c r="AK49" s="307">
        <f t="shared" si="17"/>
        <v>1</v>
      </c>
      <c r="AL49" s="307">
        <f t="shared" si="17"/>
        <v>1</v>
      </c>
      <c r="AM49" s="307">
        <f t="shared" si="17"/>
        <v>1</v>
      </c>
      <c r="AN49" s="307">
        <f t="shared" si="17"/>
        <v>1</v>
      </c>
      <c r="AO49" s="307">
        <f t="shared" si="17"/>
        <v>1</v>
      </c>
      <c r="AP49" s="307">
        <f t="shared" si="17"/>
        <v>1</v>
      </c>
      <c r="AQ49" s="307">
        <f t="shared" si="17"/>
        <v>1</v>
      </c>
      <c r="AR49" s="307">
        <f t="shared" si="17"/>
        <v>1</v>
      </c>
      <c r="AS49" s="307">
        <f t="shared" si="17"/>
        <v>1</v>
      </c>
      <c r="AT49" s="307">
        <f t="shared" si="17"/>
        <v>1</v>
      </c>
      <c r="AU49" s="307">
        <f t="shared" si="17"/>
        <v>1</v>
      </c>
      <c r="AV49" s="307">
        <f t="shared" si="17"/>
        <v>1</v>
      </c>
      <c r="AW49" s="307">
        <f t="shared" si="17"/>
        <v>1</v>
      </c>
      <c r="AX49" s="307">
        <f t="shared" si="17"/>
        <v>1</v>
      </c>
      <c r="AY49" s="307">
        <f t="shared" si="17"/>
        <v>1</v>
      </c>
      <c r="AZ49" s="307">
        <f t="shared" si="17"/>
        <v>1</v>
      </c>
      <c r="BA49" s="307">
        <f t="shared" si="17"/>
        <v>1</v>
      </c>
      <c r="BB49" s="307">
        <f t="shared" si="17"/>
        <v>1</v>
      </c>
      <c r="BC49" s="307">
        <f t="shared" si="17"/>
        <v>1</v>
      </c>
      <c r="BD49" s="307">
        <f t="shared" si="17"/>
        <v>5</v>
      </c>
      <c r="BE49" s="307">
        <f t="shared" si="17"/>
        <v>5</v>
      </c>
      <c r="BF49" s="307">
        <f t="shared" si="17"/>
        <v>5</v>
      </c>
      <c r="BG49" s="307">
        <f t="shared" si="17"/>
        <v>5</v>
      </c>
      <c r="BH49" s="307">
        <f t="shared" si="17"/>
        <v>5</v>
      </c>
      <c r="BI49" s="307">
        <f t="shared" si="17"/>
        <v>5</v>
      </c>
      <c r="BJ49" s="307">
        <f t="shared" si="17"/>
        <v>5</v>
      </c>
      <c r="BK49" s="307">
        <f t="shared" si="17"/>
        <v>9</v>
      </c>
      <c r="BL49" s="307">
        <f t="shared" si="17"/>
        <v>5</v>
      </c>
      <c r="BM49" s="307">
        <f t="shared" si="17"/>
        <v>9</v>
      </c>
      <c r="BN49" s="307">
        <f t="shared" si="17"/>
        <v>5</v>
      </c>
      <c r="BO49" s="307">
        <f t="shared" si="17"/>
        <v>9</v>
      </c>
      <c r="BP49" s="307">
        <f t="shared" si="17"/>
        <v>5</v>
      </c>
      <c r="BQ49" s="307">
        <f t="shared" si="17"/>
        <v>13</v>
      </c>
      <c r="BR49" s="307">
        <f t="shared" si="17"/>
        <v>5</v>
      </c>
      <c r="BS49" s="307">
        <f t="shared" si="17"/>
        <v>9</v>
      </c>
      <c r="BT49" s="307">
        <f t="shared" si="17"/>
        <v>13</v>
      </c>
      <c r="BU49" s="307">
        <f t="shared" si="17"/>
        <v>5</v>
      </c>
      <c r="BV49" s="307">
        <f t="shared" ref="BV49:DA49" si="18">BV13+BV18+BV20+BV28+BV39</f>
        <v>5</v>
      </c>
      <c r="BW49" s="307">
        <f t="shared" si="18"/>
        <v>1</v>
      </c>
      <c r="BX49" s="307">
        <f t="shared" si="18"/>
        <v>1</v>
      </c>
      <c r="BY49" s="307">
        <f t="shared" si="18"/>
        <v>1</v>
      </c>
      <c r="BZ49" s="307">
        <f t="shared" si="18"/>
        <v>1</v>
      </c>
      <c r="CA49" s="307">
        <f t="shared" si="18"/>
        <v>1</v>
      </c>
      <c r="CB49" s="307">
        <f t="shared" si="18"/>
        <v>1</v>
      </c>
      <c r="CC49" s="307">
        <f t="shared" si="18"/>
        <v>1</v>
      </c>
      <c r="CD49" s="307">
        <f t="shared" si="18"/>
        <v>1</v>
      </c>
      <c r="CE49" s="307">
        <f t="shared" si="18"/>
        <v>1</v>
      </c>
      <c r="CF49" s="307">
        <f t="shared" si="18"/>
        <v>1</v>
      </c>
      <c r="CG49" s="307">
        <f t="shared" si="18"/>
        <v>1</v>
      </c>
      <c r="CH49" s="307">
        <f t="shared" si="18"/>
        <v>1</v>
      </c>
      <c r="CI49" s="307">
        <f t="shared" si="18"/>
        <v>1</v>
      </c>
      <c r="CJ49" s="307">
        <f t="shared" si="18"/>
        <v>1</v>
      </c>
      <c r="CK49" s="307">
        <f t="shared" si="18"/>
        <v>1</v>
      </c>
      <c r="CL49" s="307">
        <f t="shared" si="18"/>
        <v>1</v>
      </c>
      <c r="CM49" s="307">
        <f t="shared" si="18"/>
        <v>1</v>
      </c>
      <c r="CN49" s="307">
        <f t="shared" si="18"/>
        <v>1</v>
      </c>
      <c r="CO49" s="307">
        <f t="shared" si="18"/>
        <v>1</v>
      </c>
      <c r="CP49" s="307">
        <f t="shared" si="18"/>
        <v>1</v>
      </c>
      <c r="CQ49" s="307">
        <f t="shared" si="18"/>
        <v>1</v>
      </c>
      <c r="CR49" s="307">
        <f t="shared" si="18"/>
        <v>1</v>
      </c>
      <c r="CS49" s="307">
        <f t="shared" si="18"/>
        <v>1</v>
      </c>
      <c r="CT49" s="307">
        <f t="shared" si="18"/>
        <v>1</v>
      </c>
      <c r="CU49" s="307">
        <f t="shared" si="18"/>
        <v>3</v>
      </c>
      <c r="CV49" s="307">
        <f t="shared" si="18"/>
        <v>3</v>
      </c>
      <c r="CW49" s="307">
        <f t="shared" si="18"/>
        <v>3</v>
      </c>
      <c r="CX49" s="307">
        <f t="shared" si="18"/>
        <v>3</v>
      </c>
      <c r="CY49" s="307">
        <f t="shared" si="18"/>
        <v>3</v>
      </c>
      <c r="CZ49" s="307">
        <f t="shared" si="18"/>
        <v>1</v>
      </c>
      <c r="DA49" s="307">
        <f t="shared" si="18"/>
        <v>1</v>
      </c>
      <c r="DB49" s="307"/>
      <c r="DC49" s="307"/>
      <c r="DD49" s="307"/>
      <c r="DE49" s="307"/>
      <c r="DF49" s="307"/>
      <c r="DG49" s="307"/>
      <c r="DH49" s="307"/>
      <c r="DI49" s="307"/>
      <c r="DJ49" s="307"/>
      <c r="DK49" s="307"/>
      <c r="DL49" s="307"/>
      <c r="DM49" s="307"/>
      <c r="DN49" s="307"/>
      <c r="DO49" s="307"/>
      <c r="DP49" s="307"/>
      <c r="DQ49" s="307"/>
      <c r="DR49" s="307"/>
      <c r="DS49" s="307"/>
      <c r="DT49" s="307"/>
      <c r="DU49" s="307">
        <f t="shared" ref="DU49:FM49" si="19">DU13+DU18+DU20+DU28+DU39+DU42+DU47</f>
        <v>2</v>
      </c>
      <c r="DV49" s="307">
        <f t="shared" si="19"/>
        <v>2</v>
      </c>
      <c r="DW49" s="307">
        <f t="shared" si="19"/>
        <v>2</v>
      </c>
      <c r="DX49" s="307">
        <f t="shared" si="19"/>
        <v>2</v>
      </c>
      <c r="DY49" s="307">
        <f t="shared" si="19"/>
        <v>2</v>
      </c>
      <c r="DZ49" s="307">
        <f t="shared" si="19"/>
        <v>2</v>
      </c>
      <c r="EA49" s="307">
        <f t="shared" si="19"/>
        <v>2</v>
      </c>
      <c r="EB49" s="307">
        <f t="shared" si="19"/>
        <v>2</v>
      </c>
      <c r="EC49" s="307">
        <f t="shared" si="19"/>
        <v>2</v>
      </c>
      <c r="ED49" s="307">
        <f t="shared" si="19"/>
        <v>2</v>
      </c>
      <c r="EE49" s="307">
        <f t="shared" si="19"/>
        <v>2</v>
      </c>
      <c r="EF49" s="307">
        <f t="shared" si="19"/>
        <v>2</v>
      </c>
      <c r="EG49" s="307">
        <f t="shared" si="19"/>
        <v>2</v>
      </c>
      <c r="EH49" s="307">
        <f t="shared" si="19"/>
        <v>2</v>
      </c>
      <c r="EI49" s="307">
        <f t="shared" si="19"/>
        <v>2</v>
      </c>
      <c r="EJ49" s="307">
        <f t="shared" si="19"/>
        <v>2</v>
      </c>
      <c r="EK49" s="307">
        <f t="shared" si="19"/>
        <v>2</v>
      </c>
      <c r="EL49" s="307">
        <f t="shared" si="19"/>
        <v>2</v>
      </c>
      <c r="EM49" s="307">
        <f t="shared" si="19"/>
        <v>2</v>
      </c>
      <c r="EN49" s="307">
        <f t="shared" si="19"/>
        <v>2</v>
      </c>
      <c r="EO49" s="307">
        <f t="shared" si="19"/>
        <v>2</v>
      </c>
      <c r="EP49" s="307">
        <f t="shared" si="19"/>
        <v>2</v>
      </c>
      <c r="EQ49" s="307">
        <f t="shared" si="19"/>
        <v>2</v>
      </c>
      <c r="ER49" s="307">
        <f t="shared" si="19"/>
        <v>2</v>
      </c>
      <c r="ES49" s="307">
        <f t="shared" si="19"/>
        <v>2</v>
      </c>
      <c r="ET49" s="307">
        <f t="shared" si="19"/>
        <v>2</v>
      </c>
      <c r="EU49" s="307">
        <f t="shared" si="19"/>
        <v>2</v>
      </c>
      <c r="EV49" s="307">
        <f t="shared" si="19"/>
        <v>2</v>
      </c>
      <c r="EW49" s="307">
        <f t="shared" si="19"/>
        <v>2</v>
      </c>
      <c r="EX49" s="307">
        <f t="shared" si="19"/>
        <v>2</v>
      </c>
      <c r="EY49" s="307">
        <f t="shared" si="19"/>
        <v>2</v>
      </c>
      <c r="EZ49" s="307">
        <f t="shared" si="19"/>
        <v>2</v>
      </c>
      <c r="FA49" s="307">
        <f t="shared" si="19"/>
        <v>2</v>
      </c>
      <c r="FB49" s="307">
        <f t="shared" si="19"/>
        <v>2</v>
      </c>
      <c r="FC49" s="307">
        <f t="shared" si="19"/>
        <v>2</v>
      </c>
      <c r="FD49" s="307">
        <f t="shared" si="19"/>
        <v>2</v>
      </c>
      <c r="FE49" s="307">
        <f t="shared" si="19"/>
        <v>2</v>
      </c>
      <c r="FF49" s="307">
        <f t="shared" si="19"/>
        <v>2</v>
      </c>
      <c r="FG49" s="307">
        <f t="shared" si="19"/>
        <v>2</v>
      </c>
      <c r="FH49" s="307">
        <f t="shared" si="19"/>
        <v>2</v>
      </c>
      <c r="FI49" s="307">
        <f t="shared" si="19"/>
        <v>2</v>
      </c>
      <c r="FJ49" s="307">
        <f t="shared" si="19"/>
        <v>2</v>
      </c>
      <c r="FK49" s="307">
        <f t="shared" si="19"/>
        <v>2</v>
      </c>
      <c r="FL49" s="307">
        <f t="shared" si="19"/>
        <v>2</v>
      </c>
      <c r="FM49" s="307">
        <f t="shared" si="19"/>
        <v>2</v>
      </c>
      <c r="FN49" s="307">
        <f t="shared" ref="FN49:GY49" si="20">FN13+FN18+FN20+FN28+FN39+FN42+FN47</f>
        <v>2</v>
      </c>
      <c r="FO49" s="307"/>
      <c r="FP49" s="307"/>
      <c r="FQ49" s="307"/>
      <c r="FR49" s="307"/>
      <c r="FS49" s="307"/>
      <c r="FT49" s="307"/>
      <c r="FU49" s="307"/>
      <c r="FV49" s="307"/>
      <c r="FW49" s="307"/>
      <c r="FX49" s="307"/>
      <c r="FY49" s="307"/>
      <c r="FZ49" s="307"/>
      <c r="GA49" s="307"/>
      <c r="GB49" s="307"/>
      <c r="GC49" s="307"/>
      <c r="GD49" s="307"/>
      <c r="GE49" s="307"/>
      <c r="GF49" s="307"/>
      <c r="GG49" s="307"/>
      <c r="GH49" s="307"/>
      <c r="GI49" s="307"/>
      <c r="GJ49" s="307"/>
      <c r="GK49" s="307"/>
      <c r="GL49" s="307"/>
      <c r="GM49" s="307"/>
      <c r="GN49" s="307"/>
      <c r="GO49" s="307"/>
      <c r="GP49" s="307"/>
      <c r="GQ49" s="307"/>
      <c r="GR49" s="307"/>
      <c r="GS49" s="307"/>
      <c r="GT49" s="307"/>
      <c r="GU49" s="307">
        <f t="shared" si="20"/>
        <v>4</v>
      </c>
      <c r="GV49" s="307">
        <f t="shared" si="20"/>
        <v>4</v>
      </c>
      <c r="GW49" s="307">
        <f t="shared" si="20"/>
        <v>4</v>
      </c>
      <c r="GX49" s="307">
        <f t="shared" si="20"/>
        <v>4</v>
      </c>
      <c r="GY49" s="307">
        <f t="shared" si="20"/>
        <v>5</v>
      </c>
      <c r="GZ49" s="307">
        <f>GZ13+GZ18+GZ20+GZ28+GZ39+GZ42+GZ47</f>
        <v>1</v>
      </c>
      <c r="HA49" s="307"/>
      <c r="HB49" s="307"/>
      <c r="HC49" s="307"/>
      <c r="HD49" s="307"/>
      <c r="HE49" s="307"/>
      <c r="HF49" s="307"/>
      <c r="HG49" s="307"/>
      <c r="HH49" s="307"/>
      <c r="HI49" s="307"/>
      <c r="HJ49" s="307"/>
    </row>
    <row r="50" spans="2:218" s="3" customFormat="1" ht="15" customHeight="1" x14ac:dyDescent="0.25">
      <c r="B50" s="68" t="s">
        <v>587</v>
      </c>
    </row>
    <row r="51" spans="2:218" s="3" customFormat="1" ht="30" customHeight="1" x14ac:dyDescent="0.25">
      <c r="B51" s="617" t="s">
        <v>1036</v>
      </c>
      <c r="C51" s="617"/>
      <c r="D51" s="617"/>
      <c r="E51" s="617"/>
      <c r="F51" s="617"/>
      <c r="G51" s="617"/>
    </row>
    <row r="52" spans="2:218" s="3" customFormat="1" ht="15" customHeight="1" x14ac:dyDescent="0.25">
      <c r="B52" s="3" t="s">
        <v>923</v>
      </c>
      <c r="E52" s="31">
        <f>MIN(E17:F17)</f>
        <v>3</v>
      </c>
      <c r="F52" s="31">
        <f>MAX(E17:F17)</f>
        <v>7.8333333333333339</v>
      </c>
      <c r="G52" s="225">
        <f>F52-E52+1</f>
        <v>5.8333333333333339</v>
      </c>
    </row>
    <row r="53" spans="2:218" s="3" customFormat="1" ht="15" customHeight="1" x14ac:dyDescent="0.25"/>
    <row r="54" spans="2:218" ht="15" customHeight="1" x14ac:dyDescent="0.25">
      <c r="E54" s="2" t="s">
        <v>1130</v>
      </c>
      <c r="F54" s="2" t="s">
        <v>1039</v>
      </c>
    </row>
    <row r="55" spans="2:218" ht="15" customHeight="1" x14ac:dyDescent="0.25">
      <c r="E55" s="2">
        <f>MAX(I49:GZ49)</f>
        <v>13</v>
      </c>
      <c r="F55" s="2">
        <f>MIN(I49:GZ49)</f>
        <v>1</v>
      </c>
    </row>
  </sheetData>
  <mergeCells count="12">
    <mergeCell ref="DY11:FB11"/>
    <mergeCell ref="FC11:GF11"/>
    <mergeCell ref="GG11:HJ11"/>
    <mergeCell ref="C4:G4"/>
    <mergeCell ref="B51:G51"/>
    <mergeCell ref="H11:AL11"/>
    <mergeCell ref="AM11:BP11"/>
    <mergeCell ref="CU11:DX11"/>
    <mergeCell ref="BQ11:CT11"/>
    <mergeCell ref="B10:G10"/>
    <mergeCell ref="B12:D12"/>
    <mergeCell ref="B24:D24"/>
  </mergeCells>
  <conditionalFormatting sqref="H13:DX41 H42:BQ48 H49:HJ49 BR43:HJ48">
    <cfRule type="expression" dxfId="3" priority="4">
      <formula>AND(H$12&gt;=$E13,H$12&lt;=$F13)</formula>
    </cfRule>
  </conditionalFormatting>
  <conditionalFormatting sqref="BR42:FC42">
    <cfRule type="expression" dxfId="2" priority="3">
      <formula>AND(BR$12&gt;=$E42,BR$12&lt;=$F42)</formula>
    </cfRule>
  </conditionalFormatting>
  <conditionalFormatting sqref="GS39:HJ42">
    <cfRule type="expression" dxfId="1" priority="1">
      <formula>AND(GS$12&gt;=$E39,GS$12&lt;=$F39)</formula>
    </cfRule>
  </conditionalFormatting>
  <pageMargins left="0.511811024" right="0.511811024" top="0.78740157499999996" bottom="0.78740157499999996" header="0.31496062000000002" footer="0.31496062000000002"/>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0">
    <tabColor theme="9"/>
  </sheetPr>
  <dimension ref="B1:DX23"/>
  <sheetViews>
    <sheetView showGridLines="0" zoomScaleNormal="100" workbookViewId="0">
      <pane xSplit="7" ySplit="13" topLeftCell="H14" activePane="bottomRight" state="frozen"/>
      <selection pane="topRight" activeCell="H1" sqref="H1"/>
      <selection pane="bottomLeft" activeCell="A13" sqref="A13"/>
      <selection pane="bottomRight" activeCell="I6" sqref="I6"/>
    </sheetView>
  </sheetViews>
  <sheetFormatPr defaultColWidth="9.140625" defaultRowHeight="15" customHeight="1" x14ac:dyDescent="0.25"/>
  <cols>
    <col min="1" max="1" width="1.7109375" style="2" customWidth="1"/>
    <col min="2" max="2" width="9.85546875" style="2" bestFit="1" customWidth="1"/>
    <col min="3" max="3" width="5.85546875" style="2" bestFit="1" customWidth="1"/>
    <col min="4" max="4" width="53.28515625" style="2" customWidth="1"/>
    <col min="5" max="5" width="9.140625" style="2" customWidth="1"/>
    <col min="6" max="6" width="15.140625" style="2" bestFit="1" customWidth="1"/>
    <col min="7" max="7" width="10" style="2" bestFit="1" customWidth="1"/>
    <col min="8" max="127" width="4.28515625" style="2" customWidth="1"/>
    <col min="128" max="128" width="4.28515625" style="2" bestFit="1" customWidth="1"/>
    <col min="129" max="16384" width="9.140625" style="2"/>
  </cols>
  <sheetData>
    <row r="1" spans="2:128" ht="9" customHeight="1" x14ac:dyDescent="0.25"/>
    <row r="2" spans="2:128" ht="34.5" customHeight="1" x14ac:dyDescent="0.25"/>
    <row r="3" spans="2:128" ht="34.5" customHeight="1" x14ac:dyDescent="0.25"/>
    <row r="5" spans="2:128" ht="45" customHeight="1" x14ac:dyDescent="0.25">
      <c r="B5" s="23" t="s">
        <v>0</v>
      </c>
      <c r="C5" s="548" t="str">
        <f>'Qd abrang'!C4</f>
        <v>Contratação de Projeto Executivo de Engenharia para Implantação do Aeródromo no município de Nova Andradina</v>
      </c>
      <c r="D5" s="548"/>
      <c r="E5" s="548"/>
      <c r="F5" s="548"/>
      <c r="G5" s="548"/>
      <c r="H5" s="53"/>
      <c r="I5" s="53"/>
      <c r="J5" s="53"/>
    </row>
    <row r="6" spans="2:128" x14ac:dyDescent="0.25">
      <c r="B6" s="5" t="s">
        <v>862</v>
      </c>
      <c r="C6" s="1" t="str">
        <f>'Qd abrang'!C5</f>
        <v>Nova Andradina/MS</v>
      </c>
    </row>
    <row r="7" spans="2:128" x14ac:dyDescent="0.25">
      <c r="B7" s="5" t="s">
        <v>863</v>
      </c>
      <c r="C7" s="1" t="str">
        <f>'Qd abrang'!C6</f>
        <v>Nova Andradina/MS</v>
      </c>
    </row>
    <row r="8" spans="2:128" x14ac:dyDescent="0.25">
      <c r="B8" s="5" t="s">
        <v>1</v>
      </c>
      <c r="C8" s="96">
        <f>'Qd abrang'!C7</f>
        <v>1.7</v>
      </c>
      <c r="D8" s="2" t="s">
        <v>3</v>
      </c>
      <c r="E8" s="5" t="s">
        <v>16</v>
      </c>
      <c r="F8" s="6" t="str">
        <f>'Qd abrang'!N7</f>
        <v>79.010.182-2025</v>
      </c>
    </row>
    <row r="9" spans="2:128" x14ac:dyDescent="0.25">
      <c r="B9" s="5" t="s">
        <v>2</v>
      </c>
      <c r="C9" s="1">
        <f>'Qd abrang'!C8</f>
        <v>365</v>
      </c>
      <c r="D9" s="2" t="s">
        <v>4</v>
      </c>
      <c r="E9" s="69" t="s">
        <v>17</v>
      </c>
      <c r="F9" s="6">
        <f>'Qd abrang'!N8</f>
        <v>45748</v>
      </c>
    </row>
    <row r="11" spans="2:128" s="11" customFormat="1" ht="21" x14ac:dyDescent="0.25">
      <c r="B11" s="547" t="s">
        <v>590</v>
      </c>
      <c r="C11" s="547"/>
      <c r="D11" s="547"/>
      <c r="E11" s="547"/>
      <c r="F11" s="547"/>
      <c r="G11" s="547"/>
    </row>
    <row r="12" spans="2:128" ht="15" customHeight="1" x14ac:dyDescent="0.25">
      <c r="G12" s="54" t="s">
        <v>361</v>
      </c>
      <c r="H12" s="563">
        <v>1</v>
      </c>
      <c r="I12" s="563"/>
      <c r="J12" s="563"/>
      <c r="K12" s="563"/>
      <c r="L12" s="563"/>
      <c r="M12" s="563"/>
      <c r="N12" s="563"/>
      <c r="O12" s="563"/>
      <c r="P12" s="563"/>
      <c r="Q12" s="563"/>
      <c r="R12" s="563"/>
      <c r="S12" s="563"/>
      <c r="T12" s="563"/>
      <c r="U12" s="563"/>
      <c r="V12" s="563"/>
      <c r="W12" s="563"/>
      <c r="X12" s="563"/>
      <c r="Y12" s="563"/>
      <c r="Z12" s="563"/>
      <c r="AA12" s="563"/>
      <c r="AB12" s="563"/>
      <c r="AC12" s="563"/>
      <c r="AD12" s="563"/>
      <c r="AE12" s="563"/>
      <c r="AF12" s="563"/>
      <c r="AG12" s="563"/>
      <c r="AH12" s="563"/>
      <c r="AI12" s="563"/>
      <c r="AJ12" s="563"/>
      <c r="AK12" s="563"/>
      <c r="AL12" s="563"/>
      <c r="AM12" s="563">
        <v>2</v>
      </c>
      <c r="AN12" s="563"/>
      <c r="AO12" s="563"/>
      <c r="AP12" s="563"/>
      <c r="AQ12" s="563"/>
      <c r="AR12" s="563"/>
      <c r="AS12" s="563"/>
      <c r="AT12" s="563"/>
      <c r="AU12" s="563"/>
      <c r="AV12" s="563"/>
      <c r="AW12" s="563"/>
      <c r="AX12" s="563"/>
      <c r="AY12" s="563"/>
      <c r="AZ12" s="563"/>
      <c r="BA12" s="563"/>
      <c r="BB12" s="563"/>
      <c r="BC12" s="563"/>
      <c r="BD12" s="563"/>
      <c r="BE12" s="563"/>
      <c r="BF12" s="563"/>
      <c r="BG12" s="563"/>
      <c r="BH12" s="563"/>
      <c r="BI12" s="563"/>
      <c r="BJ12" s="563"/>
      <c r="BK12" s="563"/>
      <c r="BL12" s="563"/>
      <c r="BM12" s="563"/>
      <c r="BN12" s="563"/>
      <c r="BO12" s="563"/>
      <c r="BP12" s="563"/>
      <c r="BQ12" s="563">
        <v>3</v>
      </c>
      <c r="BR12" s="563"/>
      <c r="BS12" s="563"/>
      <c r="BT12" s="563"/>
      <c r="BU12" s="563"/>
      <c r="BV12" s="563"/>
      <c r="BW12" s="563"/>
      <c r="BX12" s="563"/>
      <c r="BY12" s="563"/>
      <c r="BZ12" s="563"/>
      <c r="CA12" s="563"/>
      <c r="CB12" s="563"/>
      <c r="CC12" s="563"/>
      <c r="CD12" s="563"/>
      <c r="CE12" s="563"/>
      <c r="CF12" s="563"/>
      <c r="CG12" s="563"/>
      <c r="CH12" s="563"/>
      <c r="CI12" s="563"/>
      <c r="CJ12" s="563"/>
      <c r="CK12" s="563"/>
      <c r="CL12" s="563"/>
      <c r="CM12" s="563"/>
      <c r="CN12" s="563"/>
      <c r="CO12" s="563"/>
      <c r="CP12" s="563"/>
      <c r="CQ12" s="563"/>
      <c r="CR12" s="563"/>
      <c r="CS12" s="563"/>
      <c r="CT12" s="563"/>
      <c r="CU12" s="563">
        <v>4</v>
      </c>
      <c r="CV12" s="563"/>
      <c r="CW12" s="563"/>
      <c r="CX12" s="563"/>
      <c r="CY12" s="563"/>
      <c r="CZ12" s="563"/>
      <c r="DA12" s="563"/>
      <c r="DB12" s="563"/>
      <c r="DC12" s="563"/>
      <c r="DD12" s="563"/>
      <c r="DE12" s="563"/>
      <c r="DF12" s="563"/>
      <c r="DG12" s="563"/>
      <c r="DH12" s="563"/>
      <c r="DI12" s="563"/>
      <c r="DJ12" s="563"/>
      <c r="DK12" s="563"/>
      <c r="DL12" s="563"/>
      <c r="DM12" s="563"/>
      <c r="DN12" s="563"/>
      <c r="DO12" s="563"/>
      <c r="DP12" s="563"/>
      <c r="DQ12" s="563"/>
      <c r="DR12" s="563"/>
      <c r="DS12" s="563"/>
      <c r="DT12" s="563"/>
      <c r="DU12" s="563"/>
      <c r="DV12" s="563"/>
      <c r="DW12" s="563"/>
      <c r="DX12" s="563"/>
    </row>
    <row r="13" spans="2:128" ht="30" customHeight="1" x14ac:dyDescent="0.25">
      <c r="B13" s="563" t="s">
        <v>15</v>
      </c>
      <c r="C13" s="563"/>
      <c r="D13" s="563"/>
      <c r="E13" s="54" t="s">
        <v>10</v>
      </c>
      <c r="F13" s="54" t="s">
        <v>522</v>
      </c>
      <c r="G13" s="55" t="s">
        <v>523</v>
      </c>
      <c r="H13" s="54">
        <v>0</v>
      </c>
      <c r="I13" s="54">
        <v>1</v>
      </c>
      <c r="J13" s="54">
        <v>2</v>
      </c>
      <c r="K13" s="54">
        <v>3</v>
      </c>
      <c r="L13" s="54">
        <v>4</v>
      </c>
      <c r="M13" s="54">
        <v>5</v>
      </c>
      <c r="N13" s="54">
        <v>6</v>
      </c>
      <c r="O13" s="54">
        <v>7</v>
      </c>
      <c r="P13" s="54">
        <v>8</v>
      </c>
      <c r="Q13" s="54">
        <v>9</v>
      </c>
      <c r="R13" s="54">
        <v>10</v>
      </c>
      <c r="S13" s="54">
        <v>11</v>
      </c>
      <c r="T13" s="54">
        <v>12</v>
      </c>
      <c r="U13" s="54">
        <v>13</v>
      </c>
      <c r="V13" s="54">
        <v>14</v>
      </c>
      <c r="W13" s="54">
        <v>15</v>
      </c>
      <c r="X13" s="54">
        <v>16</v>
      </c>
      <c r="Y13" s="54">
        <v>17</v>
      </c>
      <c r="Z13" s="54">
        <v>18</v>
      </c>
      <c r="AA13" s="54">
        <v>19</v>
      </c>
      <c r="AB13" s="54">
        <v>20</v>
      </c>
      <c r="AC13" s="54">
        <v>21</v>
      </c>
      <c r="AD13" s="54">
        <v>22</v>
      </c>
      <c r="AE13" s="54">
        <v>23</v>
      </c>
      <c r="AF13" s="54">
        <v>24</v>
      </c>
      <c r="AG13" s="54">
        <v>25</v>
      </c>
      <c r="AH13" s="54">
        <v>26</v>
      </c>
      <c r="AI13" s="54">
        <v>27</v>
      </c>
      <c r="AJ13" s="54">
        <v>28</v>
      </c>
      <c r="AK13" s="54">
        <v>29</v>
      </c>
      <c r="AL13" s="54">
        <v>30</v>
      </c>
      <c r="AM13" s="54">
        <v>31</v>
      </c>
      <c r="AN13" s="54">
        <v>32</v>
      </c>
      <c r="AO13" s="54">
        <v>33</v>
      </c>
      <c r="AP13" s="54">
        <v>34</v>
      </c>
      <c r="AQ13" s="54">
        <v>35</v>
      </c>
      <c r="AR13" s="54">
        <v>36</v>
      </c>
      <c r="AS13" s="54">
        <v>37</v>
      </c>
      <c r="AT13" s="54">
        <v>38</v>
      </c>
      <c r="AU13" s="54">
        <v>39</v>
      </c>
      <c r="AV13" s="54">
        <v>40</v>
      </c>
      <c r="AW13" s="54">
        <v>41</v>
      </c>
      <c r="AX13" s="54">
        <v>42</v>
      </c>
      <c r="AY13" s="54">
        <v>43</v>
      </c>
      <c r="AZ13" s="54">
        <v>44</v>
      </c>
      <c r="BA13" s="54">
        <v>45</v>
      </c>
      <c r="BB13" s="54">
        <v>46</v>
      </c>
      <c r="BC13" s="54">
        <v>47</v>
      </c>
      <c r="BD13" s="54">
        <v>48</v>
      </c>
      <c r="BE13" s="54">
        <v>49</v>
      </c>
      <c r="BF13" s="101">
        <v>50</v>
      </c>
      <c r="BG13" s="101">
        <v>51</v>
      </c>
      <c r="BH13" s="101">
        <v>52</v>
      </c>
      <c r="BI13" s="101">
        <v>53</v>
      </c>
      <c r="BJ13" s="101">
        <v>54</v>
      </c>
      <c r="BK13" s="101">
        <v>55</v>
      </c>
      <c r="BL13" s="101">
        <v>56</v>
      </c>
      <c r="BM13" s="101">
        <v>57</v>
      </c>
      <c r="BN13" s="101">
        <v>58</v>
      </c>
      <c r="BO13" s="101">
        <v>59</v>
      </c>
      <c r="BP13" s="101">
        <v>60</v>
      </c>
      <c r="BQ13" s="101">
        <v>61</v>
      </c>
      <c r="BR13" s="101">
        <v>62</v>
      </c>
      <c r="BS13" s="101">
        <v>63</v>
      </c>
      <c r="BT13" s="101">
        <v>64</v>
      </c>
      <c r="BU13" s="101">
        <v>65</v>
      </c>
      <c r="BV13" s="101">
        <v>66</v>
      </c>
      <c r="BW13" s="101">
        <v>67</v>
      </c>
      <c r="BX13" s="101">
        <v>68</v>
      </c>
      <c r="BY13" s="101">
        <v>69</v>
      </c>
      <c r="BZ13" s="101">
        <v>70</v>
      </c>
      <c r="CA13" s="101">
        <v>71</v>
      </c>
      <c r="CB13" s="101">
        <v>72</v>
      </c>
      <c r="CC13" s="101">
        <v>73</v>
      </c>
      <c r="CD13" s="101">
        <v>74</v>
      </c>
      <c r="CE13" s="101">
        <v>75</v>
      </c>
      <c r="CF13" s="101">
        <v>76</v>
      </c>
      <c r="CG13" s="101">
        <v>77</v>
      </c>
      <c r="CH13" s="101">
        <v>78</v>
      </c>
      <c r="CI13" s="101">
        <v>79</v>
      </c>
      <c r="CJ13" s="101">
        <v>80</v>
      </c>
      <c r="CK13" s="101">
        <v>81</v>
      </c>
      <c r="CL13" s="101">
        <v>82</v>
      </c>
      <c r="CM13" s="101">
        <v>83</v>
      </c>
      <c r="CN13" s="101">
        <v>84</v>
      </c>
      <c r="CO13" s="101">
        <v>85</v>
      </c>
      <c r="CP13" s="101">
        <v>86</v>
      </c>
      <c r="CQ13" s="101">
        <v>87</v>
      </c>
      <c r="CR13" s="101">
        <v>88</v>
      </c>
      <c r="CS13" s="101">
        <v>89</v>
      </c>
      <c r="CT13" s="101">
        <v>90</v>
      </c>
      <c r="CU13" s="107">
        <v>91</v>
      </c>
      <c r="CV13" s="107">
        <v>92</v>
      </c>
      <c r="CW13" s="107">
        <v>93</v>
      </c>
      <c r="CX13" s="107">
        <v>94</v>
      </c>
      <c r="CY13" s="107">
        <v>95</v>
      </c>
      <c r="CZ13" s="107">
        <v>96</v>
      </c>
      <c r="DA13" s="107">
        <v>97</v>
      </c>
      <c r="DB13" s="107">
        <v>98</v>
      </c>
      <c r="DC13" s="107">
        <v>99</v>
      </c>
      <c r="DD13" s="107">
        <v>100</v>
      </c>
      <c r="DE13" s="107">
        <v>101</v>
      </c>
      <c r="DF13" s="107">
        <v>102</v>
      </c>
      <c r="DG13" s="107">
        <v>103</v>
      </c>
      <c r="DH13" s="107">
        <v>104</v>
      </c>
      <c r="DI13" s="107">
        <v>105</v>
      </c>
      <c r="DJ13" s="107">
        <v>106</v>
      </c>
      <c r="DK13" s="107">
        <v>107</v>
      </c>
      <c r="DL13" s="107">
        <v>108</v>
      </c>
      <c r="DM13" s="107">
        <v>109</v>
      </c>
      <c r="DN13" s="107">
        <v>110</v>
      </c>
      <c r="DO13" s="107">
        <v>111</v>
      </c>
      <c r="DP13" s="107">
        <v>112</v>
      </c>
      <c r="DQ13" s="107">
        <v>113</v>
      </c>
      <c r="DR13" s="107">
        <v>114</v>
      </c>
      <c r="DS13" s="107">
        <v>115</v>
      </c>
      <c r="DT13" s="107">
        <v>116</v>
      </c>
      <c r="DU13" s="107">
        <v>117</v>
      </c>
      <c r="DV13" s="107">
        <v>118</v>
      </c>
      <c r="DW13" s="107">
        <v>119</v>
      </c>
      <c r="DX13" s="107">
        <v>120</v>
      </c>
    </row>
    <row r="14" spans="2:128" ht="15" customHeight="1" x14ac:dyDescent="0.25">
      <c r="B14" s="10" t="s">
        <v>524</v>
      </c>
      <c r="C14" s="64"/>
      <c r="D14" s="64"/>
      <c r="E14" s="70">
        <f>E15</f>
        <v>3</v>
      </c>
      <c r="F14" s="70">
        <f>F15</f>
        <v>7.8333333333333339</v>
      </c>
      <c r="G14" s="70">
        <f>G15</f>
        <v>5.8333333333333339</v>
      </c>
      <c r="H14" s="63"/>
      <c r="I14" s="63"/>
      <c r="J14" s="63"/>
      <c r="K14" s="306">
        <f>SUM(K15:K18)</f>
        <v>5</v>
      </c>
      <c r="L14" s="306">
        <f t="shared" ref="L14:S14" si="0">SUM(L15:L18)</f>
        <v>5</v>
      </c>
      <c r="M14" s="306">
        <f t="shared" si="0"/>
        <v>5</v>
      </c>
      <c r="N14" s="306">
        <f t="shared" si="0"/>
        <v>5</v>
      </c>
      <c r="O14" s="306">
        <f t="shared" si="0"/>
        <v>5</v>
      </c>
      <c r="P14" s="306">
        <f t="shared" si="0"/>
        <v>5</v>
      </c>
      <c r="Q14" s="306">
        <f t="shared" si="0"/>
        <v>3</v>
      </c>
      <c r="R14" s="306">
        <f t="shared" si="0"/>
        <v>3</v>
      </c>
      <c r="S14" s="306">
        <f t="shared" si="0"/>
        <v>3</v>
      </c>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3"/>
      <c r="BK14" s="63"/>
      <c r="BL14" s="63"/>
      <c r="BM14" s="63"/>
      <c r="BN14" s="63"/>
      <c r="BO14" s="63"/>
      <c r="BP14" s="63"/>
      <c r="BQ14" s="63"/>
      <c r="BR14" s="63"/>
      <c r="BS14" s="63"/>
      <c r="BT14" s="63"/>
      <c r="BU14" s="63"/>
      <c r="BV14" s="63"/>
      <c r="BW14" s="63"/>
      <c r="BX14" s="63"/>
      <c r="BY14" s="63"/>
      <c r="BZ14" s="63"/>
      <c r="CA14" s="63"/>
      <c r="CB14" s="63"/>
      <c r="CC14" s="63"/>
      <c r="CD14" s="63"/>
      <c r="CE14" s="63"/>
      <c r="CF14" s="63"/>
      <c r="CG14" s="63"/>
      <c r="CH14" s="63"/>
      <c r="CI14" s="63"/>
      <c r="CJ14" s="63"/>
      <c r="CK14" s="63"/>
      <c r="CL14" s="63"/>
      <c r="CM14" s="63"/>
      <c r="CN14" s="63"/>
      <c r="CO14" s="63"/>
      <c r="CP14" s="63"/>
      <c r="CQ14" s="63"/>
      <c r="CR14" s="63"/>
      <c r="CS14" s="63"/>
      <c r="CT14" s="63"/>
      <c r="CU14" s="63"/>
      <c r="CV14" s="63"/>
      <c r="CW14" s="63"/>
      <c r="CX14" s="63"/>
      <c r="CY14" s="63"/>
      <c r="CZ14" s="63"/>
      <c r="DA14" s="63"/>
      <c r="DB14" s="63"/>
      <c r="DC14" s="63"/>
      <c r="DD14" s="63"/>
    </row>
    <row r="15" spans="2:128" s="3" customFormat="1" ht="15" customHeight="1" x14ac:dyDescent="0.25">
      <c r="B15" s="300" t="s">
        <v>519</v>
      </c>
      <c r="C15" s="300"/>
      <c r="D15" s="300"/>
      <c r="E15" s="31">
        <f>MIN(E16:F18)</f>
        <v>3</v>
      </c>
      <c r="F15" s="31">
        <f>MAX(E18:F18)</f>
        <v>7.8333333333333339</v>
      </c>
      <c r="G15" s="31">
        <f>F15-E15+1</f>
        <v>5.8333333333333339</v>
      </c>
      <c r="H15" s="63"/>
      <c r="I15" s="63"/>
      <c r="J15" s="63"/>
      <c r="K15" s="63">
        <f>'Memo calc'!$J$1104</f>
        <v>2</v>
      </c>
      <c r="L15" s="63">
        <f>'Memo calc'!$J$1104</f>
        <v>2</v>
      </c>
      <c r="M15" s="63">
        <f>'Memo calc'!$J$1104</f>
        <v>2</v>
      </c>
      <c r="N15" s="63">
        <f>'Memo calc'!$J$1104</f>
        <v>2</v>
      </c>
      <c r="O15" s="63">
        <f>'Memo calc'!$J$1104</f>
        <v>2</v>
      </c>
      <c r="P15" s="63">
        <f>'Memo calc'!$J$1104</f>
        <v>2</v>
      </c>
      <c r="Q15" s="63">
        <f>'Memo calc'!$J$1104</f>
        <v>2</v>
      </c>
      <c r="R15" s="63">
        <f>'Memo calc'!$J$1104</f>
        <v>2</v>
      </c>
      <c r="S15" s="63">
        <f>'Memo calc'!$J$1104</f>
        <v>2</v>
      </c>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3"/>
      <c r="BK15" s="63"/>
      <c r="BL15" s="63"/>
      <c r="BM15" s="63"/>
      <c r="BN15" s="63"/>
      <c r="BO15" s="63"/>
      <c r="BP15" s="63"/>
      <c r="BQ15" s="63"/>
      <c r="BR15" s="63"/>
      <c r="BS15" s="63"/>
      <c r="BT15" s="63"/>
      <c r="BU15" s="63"/>
      <c r="BV15" s="63"/>
      <c r="BW15" s="63"/>
      <c r="BX15" s="63"/>
      <c r="BY15" s="63"/>
      <c r="BZ15" s="63"/>
      <c r="CA15" s="63"/>
      <c r="CB15" s="63"/>
      <c r="CC15" s="63"/>
      <c r="CD15" s="63"/>
      <c r="CE15" s="63"/>
      <c r="CF15" s="63"/>
      <c r="CG15" s="63"/>
      <c r="CH15" s="63"/>
      <c r="CI15" s="63"/>
      <c r="CJ15" s="63"/>
      <c r="CK15" s="63"/>
      <c r="CL15" s="63"/>
      <c r="CM15" s="63"/>
      <c r="CN15" s="63"/>
      <c r="CO15" s="63"/>
      <c r="CP15" s="63"/>
      <c r="CQ15" s="63"/>
      <c r="CR15" s="63"/>
      <c r="CS15" s="63"/>
      <c r="CT15" s="63"/>
      <c r="CU15" s="63"/>
      <c r="CV15" s="63"/>
      <c r="CW15" s="63"/>
      <c r="CX15" s="63"/>
      <c r="CY15" s="63"/>
      <c r="CZ15" s="63"/>
      <c r="DA15" s="63"/>
      <c r="DB15" s="63"/>
      <c r="DC15" s="63"/>
      <c r="DD15" s="63"/>
    </row>
    <row r="16" spans="2:128" s="3" customFormat="1" ht="15" customHeight="1" x14ac:dyDescent="0.25">
      <c r="B16" s="300" t="s">
        <v>780</v>
      </c>
      <c r="C16" s="300"/>
      <c r="D16" s="300"/>
      <c r="E16" s="31">
        <f>'Crono fisico'!E17</f>
        <v>3</v>
      </c>
      <c r="F16" s="31">
        <f>'Crono fisico'!F17</f>
        <v>5</v>
      </c>
      <c r="G16" s="31">
        <f>F16-E16+1</f>
        <v>3</v>
      </c>
      <c r="H16" s="63"/>
      <c r="I16" s="63"/>
      <c r="J16" s="63"/>
      <c r="K16" s="63">
        <f>'Memo calc'!$J$96</f>
        <v>1</v>
      </c>
      <c r="L16" s="63">
        <f>'Memo calc'!$J$96</f>
        <v>1</v>
      </c>
      <c r="M16" s="63">
        <f>'Memo calc'!$J$96</f>
        <v>1</v>
      </c>
      <c r="N16" s="63">
        <f>'Memo calc'!$J$96</f>
        <v>1</v>
      </c>
      <c r="O16" s="63">
        <f>'Memo calc'!$J$96</f>
        <v>1</v>
      </c>
      <c r="P16" s="63">
        <f>'Memo calc'!$J$96</f>
        <v>1</v>
      </c>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c r="BH16" s="63"/>
      <c r="BI16" s="63"/>
      <c r="BJ16" s="63"/>
      <c r="BK16" s="63"/>
      <c r="BL16" s="63"/>
      <c r="BM16" s="63"/>
      <c r="BN16" s="63"/>
    </row>
    <row r="17" spans="2:108" s="3" customFormat="1" ht="15" customHeight="1" x14ac:dyDescent="0.25">
      <c r="B17" s="300" t="s">
        <v>740</v>
      </c>
      <c r="C17" s="300"/>
      <c r="D17" s="300"/>
      <c r="E17" s="31">
        <f>'Crono fisico'!E23</f>
        <v>3</v>
      </c>
      <c r="F17" s="31">
        <f>'Crono fisico'!F23</f>
        <v>6</v>
      </c>
      <c r="G17" s="31">
        <f>F17-E17+1</f>
        <v>4</v>
      </c>
      <c r="H17" s="63"/>
      <c r="I17" s="63"/>
      <c r="J17" s="63"/>
      <c r="K17" s="63">
        <f>'Memo calc'!$J$348</f>
        <v>1</v>
      </c>
      <c r="L17" s="63">
        <f>'Memo calc'!$J$348</f>
        <v>1</v>
      </c>
      <c r="M17" s="63">
        <f>'Memo calc'!$J$348</f>
        <v>1</v>
      </c>
      <c r="N17" s="63">
        <f>'Memo calc'!$J$348</f>
        <v>1</v>
      </c>
      <c r="O17" s="63">
        <f>'Memo calc'!$J$348</f>
        <v>1</v>
      </c>
      <c r="P17" s="63">
        <f>'Memo calc'!$J$348</f>
        <v>1</v>
      </c>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c r="CS17" s="63"/>
      <c r="CT17" s="63"/>
      <c r="CU17" s="63"/>
      <c r="CV17" s="63"/>
      <c r="CW17" s="63"/>
      <c r="CX17" s="63"/>
      <c r="CY17" s="63"/>
      <c r="CZ17" s="63"/>
      <c r="DA17" s="63"/>
      <c r="DB17" s="63"/>
      <c r="DC17" s="63"/>
      <c r="DD17" s="63"/>
    </row>
    <row r="18" spans="2:108" s="3" customFormat="1" ht="15" customHeight="1" x14ac:dyDescent="0.25">
      <c r="B18" s="300" t="s">
        <v>520</v>
      </c>
      <c r="C18" s="300"/>
      <c r="D18" s="300"/>
      <c r="E18" s="31">
        <f>'Crono fisico'!E31</f>
        <v>3</v>
      </c>
      <c r="F18" s="31">
        <f>'Crono fisico'!F31</f>
        <v>7.8333333333333339</v>
      </c>
      <c r="G18" s="31">
        <f>'Crono fisico'!G31</f>
        <v>5.8333333333333339</v>
      </c>
      <c r="H18" s="63"/>
      <c r="I18" s="63"/>
      <c r="J18" s="63"/>
      <c r="K18" s="63">
        <f>'Memo calc'!$J$903</f>
        <v>1</v>
      </c>
      <c r="L18" s="63">
        <f>'Memo calc'!$J$903</f>
        <v>1</v>
      </c>
      <c r="M18" s="63">
        <f>'Memo calc'!$J$903</f>
        <v>1</v>
      </c>
      <c r="N18" s="63">
        <f>'Memo calc'!$J$903</f>
        <v>1</v>
      </c>
      <c r="O18" s="63">
        <f>'Memo calc'!$J$903</f>
        <v>1</v>
      </c>
      <c r="P18" s="63">
        <f>'Memo calc'!$J$903</f>
        <v>1</v>
      </c>
      <c r="Q18" s="63">
        <f>'Memo calc'!$J$903</f>
        <v>1</v>
      </c>
      <c r="R18" s="63">
        <f>'Memo calc'!$J$903</f>
        <v>1</v>
      </c>
      <c r="S18" s="63">
        <f>'Memo calc'!$J$903</f>
        <v>1</v>
      </c>
      <c r="T18" s="63"/>
      <c r="U18" s="63"/>
      <c r="V18" s="63"/>
      <c r="W18" s="63"/>
      <c r="X18" s="63"/>
      <c r="Y18" s="63"/>
      <c r="Z18" s="63"/>
      <c r="AA18" s="63"/>
      <c r="AB18" s="63"/>
      <c r="AC18" s="63"/>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c r="BE18" s="63"/>
      <c r="BF18" s="63"/>
      <c r="BG18" s="63"/>
      <c r="BH18" s="63"/>
      <c r="BI18" s="63"/>
      <c r="BJ18" s="63"/>
      <c r="BK18" s="63"/>
      <c r="BL18" s="63"/>
      <c r="BM18" s="63"/>
      <c r="BN18" s="63"/>
      <c r="BO18" s="63"/>
      <c r="BP18" s="63"/>
      <c r="BQ18" s="63"/>
      <c r="BR18" s="63"/>
      <c r="BS18" s="63"/>
      <c r="BT18" s="63"/>
      <c r="BU18" s="63"/>
      <c r="BV18" s="63"/>
      <c r="BW18" s="63"/>
      <c r="BX18" s="63"/>
      <c r="BY18" s="63"/>
      <c r="BZ18" s="63"/>
      <c r="CA18" s="63"/>
      <c r="CB18" s="63"/>
      <c r="CC18" s="63"/>
      <c r="CD18" s="63"/>
      <c r="CE18" s="63"/>
      <c r="CF18" s="63"/>
      <c r="CG18" s="63"/>
      <c r="CH18" s="63"/>
      <c r="CI18" s="63"/>
      <c r="CJ18" s="63"/>
      <c r="CK18" s="63"/>
      <c r="CL18" s="63"/>
      <c r="CM18" s="63"/>
      <c r="CN18" s="63"/>
      <c r="CO18" s="63"/>
      <c r="CP18" s="63"/>
      <c r="CQ18" s="63"/>
      <c r="CR18" s="63"/>
      <c r="CS18" s="63"/>
      <c r="CT18" s="63"/>
      <c r="CU18" s="63"/>
      <c r="CV18" s="63"/>
      <c r="CW18" s="63"/>
      <c r="CX18" s="63"/>
      <c r="CY18" s="63"/>
      <c r="CZ18" s="63"/>
      <c r="DA18" s="63"/>
      <c r="DB18" s="63"/>
      <c r="DC18" s="63"/>
      <c r="DD18" s="63"/>
    </row>
    <row r="19" spans="2:108" s="3" customFormat="1" ht="15" customHeight="1" x14ac:dyDescent="0.25">
      <c r="B19" s="68" t="s">
        <v>587</v>
      </c>
    </row>
    <row r="20" spans="2:108" s="3" customFormat="1" ht="30" customHeight="1" x14ac:dyDescent="0.25">
      <c r="B20" s="617" t="s">
        <v>588</v>
      </c>
      <c r="C20" s="617"/>
      <c r="D20" s="617"/>
      <c r="E20" s="617"/>
      <c r="F20" s="617"/>
      <c r="G20" s="617"/>
    </row>
    <row r="21" spans="2:108" s="3" customFormat="1" ht="15" customHeight="1" x14ac:dyDescent="0.25"/>
    <row r="22" spans="2:108" s="3" customFormat="1" ht="15" customHeight="1" x14ac:dyDescent="0.25"/>
    <row r="23" spans="2:108" s="3" customFormat="1" ht="15" customHeight="1" x14ac:dyDescent="0.25"/>
  </sheetData>
  <mergeCells count="8">
    <mergeCell ref="CU12:DX12"/>
    <mergeCell ref="BQ12:CT12"/>
    <mergeCell ref="B20:G20"/>
    <mergeCell ref="C5:G5"/>
    <mergeCell ref="B11:G11"/>
    <mergeCell ref="H12:AL12"/>
    <mergeCell ref="B13:D13"/>
    <mergeCell ref="AM12:BP12"/>
  </mergeCells>
  <conditionalFormatting sqref="H14:DX18">
    <cfRule type="expression" dxfId="0" priority="1">
      <formula>AND(H$13&gt;=$E14,H$13&lt;=$F14)</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1">
    <tabColor theme="9"/>
  </sheetPr>
  <dimension ref="A1:AO28"/>
  <sheetViews>
    <sheetView zoomScale="90" zoomScaleNormal="90" workbookViewId="0">
      <selection activeCell="N1" sqref="N1:P1"/>
    </sheetView>
  </sheetViews>
  <sheetFormatPr defaultColWidth="9.140625" defaultRowHeight="15" x14ac:dyDescent="0.25"/>
  <cols>
    <col min="1" max="1" width="12.42578125" style="2" bestFit="1" customWidth="1"/>
    <col min="2" max="2" width="8.28515625" style="2" bestFit="1" customWidth="1"/>
    <col min="3" max="3" width="9.140625" style="2"/>
    <col min="4" max="4" width="16.7109375" style="2" bestFit="1" customWidth="1"/>
    <col min="5" max="5" width="11.28515625" style="2" bestFit="1" customWidth="1"/>
    <col min="6" max="6" width="9.140625" style="2"/>
    <col min="7" max="7" width="13" style="2" bestFit="1" customWidth="1"/>
    <col min="8" max="8" width="59" style="2" customWidth="1"/>
    <col min="9" max="9" width="21.85546875" style="2" bestFit="1" customWidth="1"/>
    <col min="10" max="10" width="13.85546875" style="2" bestFit="1" customWidth="1"/>
    <col min="11" max="11" width="7" style="2" bestFit="1" customWidth="1"/>
    <col min="12" max="12" width="7.85546875" style="2" customWidth="1"/>
    <col min="13" max="13" width="9.140625" style="2"/>
    <col min="14" max="14" width="21.7109375" style="2" customWidth="1"/>
    <col min="15" max="15" width="21" style="2" bestFit="1" customWidth="1"/>
    <col min="16" max="16" width="16.7109375" style="2" customWidth="1"/>
    <col min="17" max="17" width="9.140625" style="2"/>
    <col min="18" max="18" width="32.85546875" style="2" bestFit="1" customWidth="1"/>
    <col min="19" max="19" width="7.85546875" style="2" bestFit="1" customWidth="1"/>
    <col min="20" max="39" width="9.140625" style="2"/>
    <col min="40" max="40" width="24.42578125" style="2" bestFit="1" customWidth="1"/>
    <col min="41" max="41" width="11.42578125" style="2" bestFit="1" customWidth="1"/>
    <col min="42" max="16384" width="9.140625" style="2"/>
  </cols>
  <sheetData>
    <row r="1" spans="1:41" ht="21" x14ac:dyDescent="0.25">
      <c r="A1" s="622" t="s">
        <v>222</v>
      </c>
      <c r="B1" s="622"/>
      <c r="C1" s="622"/>
      <c r="D1" s="622"/>
      <c r="E1" s="622"/>
      <c r="G1" s="622" t="s">
        <v>232</v>
      </c>
      <c r="H1" s="622"/>
      <c r="I1" s="622"/>
      <c r="J1" s="622"/>
      <c r="K1" s="622"/>
      <c r="L1" s="622"/>
      <c r="N1" s="622" t="s">
        <v>1124</v>
      </c>
      <c r="O1" s="622"/>
      <c r="P1" s="622"/>
      <c r="R1" s="622" t="s">
        <v>233</v>
      </c>
      <c r="S1" s="622"/>
      <c r="T1" s="622"/>
      <c r="U1" s="622"/>
      <c r="V1" s="622"/>
      <c r="W1" s="42"/>
      <c r="X1" s="42"/>
      <c r="Y1" s="42"/>
      <c r="Z1" s="42"/>
      <c r="AA1" s="42"/>
      <c r="AB1" s="42"/>
      <c r="AC1" s="42"/>
      <c r="AD1" s="42"/>
      <c r="AE1" s="42"/>
      <c r="AF1" s="42"/>
      <c r="AG1" s="42"/>
      <c r="AH1" s="42"/>
      <c r="AI1" s="42"/>
      <c r="AJ1" s="42"/>
      <c r="AK1" s="42"/>
      <c r="AL1" s="42"/>
      <c r="AM1" s="42"/>
      <c r="AN1" s="623" t="s">
        <v>234</v>
      </c>
      <c r="AO1" s="623"/>
    </row>
    <row r="2" spans="1:41" ht="17.25" x14ac:dyDescent="0.25">
      <c r="A2" s="630" t="s">
        <v>15</v>
      </c>
      <c r="B2" s="630" t="s">
        <v>223</v>
      </c>
      <c r="C2" s="33" t="s">
        <v>224</v>
      </c>
      <c r="D2" s="33" t="s">
        <v>225</v>
      </c>
      <c r="E2" s="630" t="s">
        <v>226</v>
      </c>
      <c r="G2" s="27" t="s">
        <v>235</v>
      </c>
      <c r="H2" s="27" t="s">
        <v>236</v>
      </c>
      <c r="I2" s="27" t="s">
        <v>237</v>
      </c>
      <c r="J2" s="27" t="s">
        <v>238</v>
      </c>
      <c r="K2" s="27" t="s">
        <v>31</v>
      </c>
      <c r="L2" s="27" t="s">
        <v>239</v>
      </c>
      <c r="N2" s="27" t="s">
        <v>240</v>
      </c>
      <c r="O2" s="27" t="s">
        <v>15</v>
      </c>
      <c r="P2" s="27" t="s">
        <v>241</v>
      </c>
      <c r="R2" s="27" t="s">
        <v>15</v>
      </c>
      <c r="S2" s="472">
        <v>43344</v>
      </c>
      <c r="T2" s="38">
        <v>45292</v>
      </c>
      <c r="U2" s="38">
        <v>45323</v>
      </c>
      <c r="V2" s="38">
        <v>45352</v>
      </c>
      <c r="W2" s="38">
        <v>45383</v>
      </c>
      <c r="X2" s="38">
        <v>45413</v>
      </c>
      <c r="Y2" s="38">
        <v>45444</v>
      </c>
      <c r="Z2" s="38">
        <v>45474</v>
      </c>
      <c r="AA2" s="38">
        <v>45505</v>
      </c>
      <c r="AB2" s="38">
        <v>45536</v>
      </c>
      <c r="AC2" s="38">
        <v>45566</v>
      </c>
      <c r="AD2" s="38">
        <v>45597</v>
      </c>
      <c r="AE2" s="38">
        <v>45627</v>
      </c>
      <c r="AF2" s="38">
        <v>45658</v>
      </c>
      <c r="AG2" s="38">
        <v>45689</v>
      </c>
      <c r="AH2" s="38">
        <v>45717</v>
      </c>
      <c r="AI2" s="38">
        <v>45748</v>
      </c>
      <c r="AJ2" s="38">
        <v>45778</v>
      </c>
      <c r="AK2" s="38">
        <v>45809</v>
      </c>
      <c r="AL2" s="38">
        <v>45839</v>
      </c>
      <c r="AM2" s="106"/>
      <c r="AN2" s="27" t="s">
        <v>15</v>
      </c>
      <c r="AO2" s="27" t="s">
        <v>242</v>
      </c>
    </row>
    <row r="3" spans="1:41" ht="30" customHeight="1" x14ac:dyDescent="0.25">
      <c r="A3" s="630"/>
      <c r="B3" s="630"/>
      <c r="C3" s="34" t="s">
        <v>227</v>
      </c>
      <c r="D3" s="34" t="s">
        <v>228</v>
      </c>
      <c r="E3" s="630"/>
      <c r="G3" s="631" t="s">
        <v>243</v>
      </c>
      <c r="H3" s="8" t="s">
        <v>244</v>
      </c>
      <c r="I3" s="8" t="s">
        <v>245</v>
      </c>
      <c r="J3" s="37">
        <v>60</v>
      </c>
      <c r="K3" s="16" t="s">
        <v>246</v>
      </c>
      <c r="L3" s="37">
        <f>D18</f>
        <v>305</v>
      </c>
      <c r="N3" s="624" t="s">
        <v>247</v>
      </c>
      <c r="O3" s="8" t="s">
        <v>248</v>
      </c>
      <c r="P3" s="255">
        <v>250</v>
      </c>
      <c r="R3" s="8" t="s">
        <v>249</v>
      </c>
      <c r="S3" s="439">
        <v>223.666</v>
      </c>
      <c r="T3" s="254">
        <v>290.267</v>
      </c>
      <c r="U3" s="254">
        <v>288.77199999999999</v>
      </c>
      <c r="V3" s="254">
        <v>289.85700000000003</v>
      </c>
      <c r="W3" s="254">
        <v>289.58300000000003</v>
      </c>
      <c r="X3" s="254">
        <v>290.572</v>
      </c>
      <c r="Y3" s="254">
        <v>293.83600000000001</v>
      </c>
      <c r="Z3" s="254">
        <v>295.84500000000003</v>
      </c>
      <c r="AA3" s="254">
        <v>297.48099999999999</v>
      </c>
      <c r="AB3" s="254">
        <v>298.83999999999997</v>
      </c>
      <c r="AC3" s="254">
        <v>299.18200000000002</v>
      </c>
      <c r="AD3" s="254">
        <v>299.315</v>
      </c>
      <c r="AE3" s="254">
        <v>300.00099999999998</v>
      </c>
      <c r="AF3" s="254">
        <v>302.16000000000003</v>
      </c>
      <c r="AG3" s="254">
        <v>302.83100000000002</v>
      </c>
      <c r="AH3" s="254">
        <v>303.68700000000001</v>
      </c>
      <c r="AI3" s="254">
        <v>303.67500000000001</v>
      </c>
      <c r="AJ3" s="254">
        <v>303.56299999999999</v>
      </c>
      <c r="AK3" s="254"/>
      <c r="AL3" s="254"/>
      <c r="AM3" s="105"/>
      <c r="AN3" s="8" t="s">
        <v>250</v>
      </c>
      <c r="AO3" s="37">
        <v>4.5</v>
      </c>
    </row>
    <row r="4" spans="1:41" ht="30" customHeight="1" x14ac:dyDescent="0.25">
      <c r="A4" s="16" t="s">
        <v>229</v>
      </c>
      <c r="B4" s="8">
        <v>220</v>
      </c>
      <c r="C4" s="36"/>
      <c r="D4" s="8">
        <v>30</v>
      </c>
      <c r="E4" s="36"/>
      <c r="G4" s="631"/>
      <c r="H4" s="8" t="s">
        <v>244</v>
      </c>
      <c r="I4" s="8" t="s">
        <v>251</v>
      </c>
      <c r="J4" s="37">
        <v>50</v>
      </c>
      <c r="K4" s="16" t="s">
        <v>246</v>
      </c>
      <c r="L4" s="37">
        <v>0</v>
      </c>
      <c r="N4" s="624"/>
      <c r="O4" s="8" t="s">
        <v>252</v>
      </c>
      <c r="P4" s="255">
        <f>P3/2</f>
        <v>125</v>
      </c>
      <c r="AN4" s="8" t="s">
        <v>253</v>
      </c>
      <c r="AO4" s="37">
        <v>12.41</v>
      </c>
    </row>
    <row r="5" spans="1:41" ht="30" customHeight="1" x14ac:dyDescent="0.25">
      <c r="A5" s="16" t="s">
        <v>230</v>
      </c>
      <c r="B5" s="8">
        <v>44</v>
      </c>
      <c r="C5" s="8">
        <v>6</v>
      </c>
      <c r="D5" s="8">
        <v>7</v>
      </c>
      <c r="E5" s="35">
        <f>D5/C5</f>
        <v>1.1666666666666667</v>
      </c>
      <c r="G5" s="631"/>
      <c r="H5" s="8" t="s">
        <v>244</v>
      </c>
      <c r="I5" s="8" t="s">
        <v>254</v>
      </c>
      <c r="J5" s="37">
        <v>40</v>
      </c>
      <c r="K5" s="16" t="s">
        <v>246</v>
      </c>
      <c r="L5" s="37">
        <v>0</v>
      </c>
      <c r="N5" s="624"/>
      <c r="O5" s="8" t="s">
        <v>255</v>
      </c>
      <c r="P5" s="255">
        <f>P4</f>
        <v>125</v>
      </c>
      <c r="AN5" s="8" t="s">
        <v>256</v>
      </c>
      <c r="AO5" s="37">
        <v>14.77</v>
      </c>
    </row>
    <row r="6" spans="1:41" x14ac:dyDescent="0.25">
      <c r="A6" s="16" t="s">
        <v>231</v>
      </c>
      <c r="B6" s="35">
        <f>B5/C5</f>
        <v>7.333333333333333</v>
      </c>
      <c r="C6" s="36"/>
      <c r="D6" s="36"/>
      <c r="E6" s="36"/>
      <c r="G6" s="16" t="s">
        <v>257</v>
      </c>
      <c r="H6" s="8" t="s">
        <v>258</v>
      </c>
      <c r="I6" s="16" t="s">
        <v>259</v>
      </c>
      <c r="J6" s="37">
        <v>30</v>
      </c>
      <c r="K6" s="16" t="s">
        <v>246</v>
      </c>
      <c r="L6" s="37">
        <v>0</v>
      </c>
      <c r="N6" s="621" t="s">
        <v>260</v>
      </c>
      <c r="O6" s="8" t="s">
        <v>248</v>
      </c>
      <c r="P6" s="255">
        <v>300</v>
      </c>
      <c r="AN6" s="8" t="s">
        <v>261</v>
      </c>
      <c r="AO6" s="37">
        <v>11.17</v>
      </c>
    </row>
    <row r="7" spans="1:41" x14ac:dyDescent="0.25">
      <c r="G7" s="631" t="s">
        <v>262</v>
      </c>
      <c r="H7" s="289" t="s">
        <v>263</v>
      </c>
      <c r="I7" s="288" t="s">
        <v>259</v>
      </c>
      <c r="J7" s="37">
        <v>10.29</v>
      </c>
      <c r="K7" s="288" t="s">
        <v>246</v>
      </c>
      <c r="L7" s="37">
        <v>0</v>
      </c>
      <c r="N7" s="621"/>
      <c r="O7" s="8" t="s">
        <v>252</v>
      </c>
      <c r="P7" s="255">
        <f>P6/2</f>
        <v>150</v>
      </c>
      <c r="AN7" s="8" t="s">
        <v>264</v>
      </c>
      <c r="AO7" s="37">
        <v>11.17</v>
      </c>
    </row>
    <row r="8" spans="1:41" x14ac:dyDescent="0.25">
      <c r="G8" s="631"/>
      <c r="H8" s="289" t="s">
        <v>265</v>
      </c>
      <c r="I8" s="288" t="s">
        <v>259</v>
      </c>
      <c r="J8" s="37">
        <v>15.48</v>
      </c>
      <c r="K8" s="288" t="s">
        <v>246</v>
      </c>
      <c r="L8" s="37">
        <v>0</v>
      </c>
      <c r="N8" s="621"/>
      <c r="O8" s="8" t="s">
        <v>255</v>
      </c>
      <c r="P8" s="255">
        <f>P7</f>
        <v>150</v>
      </c>
      <c r="AN8" s="8" t="s">
        <v>266</v>
      </c>
      <c r="AO8" s="37">
        <v>11.17</v>
      </c>
    </row>
    <row r="9" spans="1:41" x14ac:dyDescent="0.25">
      <c r="G9" s="631"/>
      <c r="H9" s="289" t="s">
        <v>267</v>
      </c>
      <c r="I9" s="288" t="s">
        <v>259</v>
      </c>
      <c r="J9" s="37">
        <v>18.489999999999998</v>
      </c>
      <c r="K9" s="288" t="s">
        <v>246</v>
      </c>
      <c r="L9" s="37">
        <v>0</v>
      </c>
      <c r="N9" s="621" t="s">
        <v>268</v>
      </c>
      <c r="O9" s="8" t="s">
        <v>248</v>
      </c>
      <c r="P9" s="255">
        <v>200</v>
      </c>
    </row>
    <row r="10" spans="1:41" x14ac:dyDescent="0.25">
      <c r="G10" s="631"/>
      <c r="H10" s="289" t="s">
        <v>269</v>
      </c>
      <c r="I10" s="288" t="s">
        <v>259</v>
      </c>
      <c r="J10" s="37">
        <v>20.95</v>
      </c>
      <c r="K10" s="288" t="s">
        <v>246</v>
      </c>
      <c r="L10" s="37">
        <v>0</v>
      </c>
      <c r="N10" s="621"/>
      <c r="O10" s="8" t="s">
        <v>252</v>
      </c>
      <c r="P10" s="255">
        <f>P9/2</f>
        <v>100</v>
      </c>
    </row>
    <row r="11" spans="1:41" x14ac:dyDescent="0.25">
      <c r="G11" s="631"/>
      <c r="H11" s="289" t="s">
        <v>270</v>
      </c>
      <c r="I11" s="288" t="s">
        <v>259</v>
      </c>
      <c r="J11" s="37">
        <v>22.49</v>
      </c>
      <c r="K11" s="288" t="s">
        <v>246</v>
      </c>
      <c r="L11" s="37">
        <v>0</v>
      </c>
      <c r="N11" s="621"/>
      <c r="O11" s="8" t="s">
        <v>255</v>
      </c>
      <c r="P11" s="255">
        <f>P10</f>
        <v>100</v>
      </c>
    </row>
    <row r="12" spans="1:41" x14ac:dyDescent="0.25">
      <c r="G12" s="631"/>
      <c r="H12" s="289" t="s">
        <v>271</v>
      </c>
      <c r="I12" s="288" t="s">
        <v>259</v>
      </c>
      <c r="J12" s="37">
        <v>23.49</v>
      </c>
      <c r="K12" s="288" t="s">
        <v>246</v>
      </c>
      <c r="L12" s="37">
        <v>0</v>
      </c>
    </row>
    <row r="13" spans="1:41" x14ac:dyDescent="0.25">
      <c r="G13" s="631"/>
      <c r="H13" s="289" t="s">
        <v>272</v>
      </c>
      <c r="I13" s="288" t="s">
        <v>259</v>
      </c>
      <c r="J13" s="37">
        <v>24.96</v>
      </c>
      <c r="K13" s="288" t="s">
        <v>246</v>
      </c>
      <c r="L13" s="37">
        <v>0</v>
      </c>
    </row>
    <row r="14" spans="1:41" x14ac:dyDescent="0.25">
      <c r="G14" s="631"/>
      <c r="H14" s="289" t="s">
        <v>1023</v>
      </c>
      <c r="I14" s="288" t="s">
        <v>259</v>
      </c>
      <c r="J14" s="37">
        <v>28.97</v>
      </c>
      <c r="K14" s="288" t="s">
        <v>246</v>
      </c>
      <c r="L14" s="37">
        <v>0</v>
      </c>
    </row>
    <row r="15" spans="1:41" x14ac:dyDescent="0.25">
      <c r="G15" s="631"/>
      <c r="H15" s="289" t="s">
        <v>1024</v>
      </c>
      <c r="I15" s="288" t="s">
        <v>259</v>
      </c>
      <c r="J15" s="289">
        <v>28.97</v>
      </c>
      <c r="K15" s="288" t="s">
        <v>246</v>
      </c>
      <c r="L15" s="37">
        <v>0</v>
      </c>
    </row>
    <row r="16" spans="1:41" ht="17.25" x14ac:dyDescent="0.25">
      <c r="A16" s="625" t="s">
        <v>843</v>
      </c>
      <c r="B16" s="626"/>
      <c r="C16" s="626"/>
      <c r="D16" s="627"/>
      <c r="G16" s="631"/>
      <c r="H16" s="289" t="s">
        <v>1025</v>
      </c>
      <c r="I16" s="288" t="s">
        <v>259</v>
      </c>
      <c r="J16" s="289">
        <v>28.97</v>
      </c>
      <c r="K16" s="288" t="s">
        <v>246</v>
      </c>
      <c r="L16" s="37">
        <v>0</v>
      </c>
    </row>
    <row r="17" spans="1:12" x14ac:dyDescent="0.25">
      <c r="A17" s="171"/>
      <c r="B17" s="104"/>
      <c r="C17" s="172" t="s">
        <v>849</v>
      </c>
      <c r="D17" s="250" t="s">
        <v>1219</v>
      </c>
      <c r="G17" s="631"/>
      <c r="H17" s="289" t="s">
        <v>1026</v>
      </c>
      <c r="I17" s="288" t="s">
        <v>259</v>
      </c>
      <c r="J17" s="289">
        <v>12.69</v>
      </c>
      <c r="K17" s="288" t="s">
        <v>246</v>
      </c>
      <c r="L17" s="37">
        <v>0</v>
      </c>
    </row>
    <row r="18" spans="1:12" ht="30" customHeight="1" x14ac:dyDescent="0.25">
      <c r="A18" s="628" t="s">
        <v>850</v>
      </c>
      <c r="B18" s="629"/>
      <c r="C18" s="629"/>
      <c r="D18" s="251">
        <v>305</v>
      </c>
      <c r="G18" s="631"/>
      <c r="H18" s="289" t="s">
        <v>1027</v>
      </c>
      <c r="I18" s="288" t="s">
        <v>259</v>
      </c>
      <c r="J18" s="289">
        <v>12.69</v>
      </c>
      <c r="K18" s="288" t="s">
        <v>246</v>
      </c>
      <c r="L18" s="37">
        <v>0</v>
      </c>
    </row>
    <row r="19" spans="1:12" x14ac:dyDescent="0.25">
      <c r="A19" s="175"/>
      <c r="B19" s="176"/>
      <c r="C19" s="172" t="s">
        <v>851</v>
      </c>
      <c r="D19" s="177">
        <v>250</v>
      </c>
      <c r="G19" s="631"/>
      <c r="H19" s="289" t="s">
        <v>1016</v>
      </c>
      <c r="I19" s="288" t="s">
        <v>259</v>
      </c>
      <c r="J19" s="37">
        <v>30</v>
      </c>
      <c r="K19" s="288" t="s">
        <v>246</v>
      </c>
      <c r="L19" s="37">
        <v>0</v>
      </c>
    </row>
    <row r="20" spans="1:12" x14ac:dyDescent="0.25">
      <c r="A20" s="171"/>
      <c r="B20" s="104"/>
      <c r="C20" s="172" t="s">
        <v>844</v>
      </c>
      <c r="D20" s="252" t="s">
        <v>1153</v>
      </c>
    </row>
    <row r="21" spans="1:12" ht="30" customHeight="1" x14ac:dyDescent="0.25">
      <c r="A21" s="628" t="s">
        <v>846</v>
      </c>
      <c r="B21" s="629"/>
      <c r="C21" s="629"/>
      <c r="D21" s="253" t="s">
        <v>1153</v>
      </c>
    </row>
    <row r="22" spans="1:12" x14ac:dyDescent="0.25">
      <c r="A22" s="171"/>
      <c r="B22" s="104"/>
      <c r="C22" s="172" t="str">
        <f>"Índice de "&amp;D20&amp;":"</f>
        <v>Índice de ABRIL/25:</v>
      </c>
      <c r="D22" s="254">
        <f>AI3</f>
        <v>303.67500000000001</v>
      </c>
    </row>
    <row r="23" spans="1:12" x14ac:dyDescent="0.25">
      <c r="A23" s="171"/>
      <c r="B23" s="104"/>
      <c r="C23" s="172" t="str">
        <f>"Índice de "&amp;D21&amp;":"</f>
        <v>Índice de ABRIL/25:</v>
      </c>
      <c r="D23" s="254">
        <f>AI3</f>
        <v>303.67500000000001</v>
      </c>
      <c r="E23"/>
    </row>
    <row r="24" spans="1:12" x14ac:dyDescent="0.25">
      <c r="A24" s="171"/>
      <c r="B24" s="104"/>
      <c r="C24" s="172" t="s">
        <v>845</v>
      </c>
      <c r="D24" s="173">
        <f>ROUND(D22/D23-1, 5)</f>
        <v>0</v>
      </c>
      <c r="E24"/>
    </row>
    <row r="25" spans="1:12" x14ac:dyDescent="0.25">
      <c r="A25" s="171"/>
      <c r="B25" s="104"/>
      <c r="C25" s="172" t="s">
        <v>847</v>
      </c>
      <c r="D25" s="174">
        <v>0</v>
      </c>
      <c r="E25" s="192"/>
    </row>
    <row r="26" spans="1:12" x14ac:dyDescent="0.25">
      <c r="A26" s="171"/>
      <c r="B26" s="104"/>
      <c r="C26" s="172" t="s">
        <v>848</v>
      </c>
      <c r="D26" s="174">
        <v>36.9</v>
      </c>
      <c r="E26" s="192"/>
    </row>
    <row r="27" spans="1:12" x14ac:dyDescent="0.25">
      <c r="A27" s="171"/>
      <c r="B27" s="104"/>
      <c r="C27" s="178" t="s">
        <v>852</v>
      </c>
      <c r="D27" s="174">
        <v>56.52</v>
      </c>
      <c r="E27" s="192"/>
    </row>
    <row r="28" spans="1:12" x14ac:dyDescent="0.25">
      <c r="A28" s="171"/>
      <c r="B28" s="104"/>
      <c r="C28" s="178" t="s">
        <v>853</v>
      </c>
      <c r="D28" s="174">
        <v>0</v>
      </c>
      <c r="E28"/>
    </row>
  </sheetData>
  <mergeCells count="16">
    <mergeCell ref="A16:D16"/>
    <mergeCell ref="A21:C21"/>
    <mergeCell ref="A18:C18"/>
    <mergeCell ref="G1:L1"/>
    <mergeCell ref="A2:A3"/>
    <mergeCell ref="B2:B3"/>
    <mergeCell ref="E2:E3"/>
    <mergeCell ref="A1:E1"/>
    <mergeCell ref="G3:G5"/>
    <mergeCell ref="G7:G19"/>
    <mergeCell ref="N6:N8"/>
    <mergeCell ref="N9:N11"/>
    <mergeCell ref="N1:P1"/>
    <mergeCell ref="R1:V1"/>
    <mergeCell ref="AN1:AO1"/>
    <mergeCell ref="N3:N5"/>
  </mergeCells>
  <pageMargins left="0.511811024" right="0.511811024" top="0.78740157499999996" bottom="0.78740157499999996" header="0.31496062000000002" footer="0.31496062000000002"/>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2">
    <tabColor theme="9"/>
  </sheetPr>
  <dimension ref="A1:H104"/>
  <sheetViews>
    <sheetView view="pageBreakPreview" zoomScale="85" zoomScaleNormal="85" zoomScaleSheetLayoutView="85" workbookViewId="0">
      <selection activeCell="B41" sqref="B41"/>
    </sheetView>
  </sheetViews>
  <sheetFormatPr defaultColWidth="9.140625" defaultRowHeight="15" x14ac:dyDescent="0.25"/>
  <cols>
    <col min="1" max="1" width="9.28515625" style="2" bestFit="1" customWidth="1"/>
    <col min="2" max="2" width="44.85546875" style="2" bestFit="1" customWidth="1"/>
    <col min="3" max="3" width="5.85546875" style="2" bestFit="1" customWidth="1"/>
    <col min="4" max="4" width="7" style="2" bestFit="1" customWidth="1"/>
    <col min="5" max="5" width="19.140625" style="2" bestFit="1" customWidth="1"/>
    <col min="6" max="16384" width="9.140625" style="2"/>
  </cols>
  <sheetData>
    <row r="1" spans="1:8" s="28" customFormat="1" ht="17.25" x14ac:dyDescent="0.25">
      <c r="A1" s="271" t="s">
        <v>29</v>
      </c>
      <c r="B1" s="271" t="s">
        <v>15</v>
      </c>
      <c r="C1" s="271" t="s">
        <v>30</v>
      </c>
      <c r="D1" s="271" t="s">
        <v>31</v>
      </c>
      <c r="E1" s="271" t="s">
        <v>32</v>
      </c>
      <c r="H1" s="260" t="s">
        <v>1151</v>
      </c>
    </row>
    <row r="2" spans="1:8" x14ac:dyDescent="0.25">
      <c r="A2" s="292" t="s">
        <v>33</v>
      </c>
      <c r="B2" s="254" t="s">
        <v>34</v>
      </c>
      <c r="C2" s="292" t="s">
        <v>35</v>
      </c>
      <c r="D2" s="292" t="s">
        <v>36</v>
      </c>
      <c r="E2" s="375">
        <v>9952.44</v>
      </c>
    </row>
    <row r="3" spans="1:8" x14ac:dyDescent="0.25">
      <c r="A3" s="292" t="s">
        <v>37</v>
      </c>
      <c r="B3" s="254" t="s">
        <v>38</v>
      </c>
      <c r="C3" s="292" t="s">
        <v>35</v>
      </c>
      <c r="D3" s="292" t="s">
        <v>36</v>
      </c>
      <c r="E3" s="375">
        <v>12906.23</v>
      </c>
      <c r="H3" s="2" t="s">
        <v>1152</v>
      </c>
    </row>
    <row r="4" spans="1:8" x14ac:dyDescent="0.25">
      <c r="A4" s="292" t="s">
        <v>39</v>
      </c>
      <c r="B4" s="254" t="s">
        <v>40</v>
      </c>
      <c r="C4" s="292" t="s">
        <v>35</v>
      </c>
      <c r="D4" s="292" t="s">
        <v>36</v>
      </c>
      <c r="E4" s="375">
        <v>22777.35</v>
      </c>
    </row>
    <row r="5" spans="1:8" x14ac:dyDescent="0.25">
      <c r="A5" s="292" t="s">
        <v>41</v>
      </c>
      <c r="B5" s="254" t="s">
        <v>42</v>
      </c>
      <c r="C5" s="292" t="s">
        <v>35</v>
      </c>
      <c r="D5" s="292" t="s">
        <v>36</v>
      </c>
      <c r="E5" s="375">
        <v>8698.9500000000007</v>
      </c>
    </row>
    <row r="6" spans="1:8" x14ac:dyDescent="0.25">
      <c r="A6" s="292" t="s">
        <v>43</v>
      </c>
      <c r="B6" s="254" t="s">
        <v>44</v>
      </c>
      <c r="C6" s="292" t="s">
        <v>35</v>
      </c>
      <c r="D6" s="292" t="s">
        <v>36</v>
      </c>
      <c r="E6" s="375">
        <v>11243.87</v>
      </c>
    </row>
    <row r="7" spans="1:8" x14ac:dyDescent="0.25">
      <c r="A7" s="292" t="s">
        <v>45</v>
      </c>
      <c r="B7" s="254" t="s">
        <v>46</v>
      </c>
      <c r="C7" s="292" t="s">
        <v>35</v>
      </c>
      <c r="D7" s="292" t="s">
        <v>36</v>
      </c>
      <c r="E7" s="375">
        <v>19188.41</v>
      </c>
    </row>
    <row r="8" spans="1:8" x14ac:dyDescent="0.25">
      <c r="A8" s="292" t="s">
        <v>47</v>
      </c>
      <c r="B8" s="254" t="s">
        <v>48</v>
      </c>
      <c r="C8" s="292" t="s">
        <v>35</v>
      </c>
      <c r="D8" s="292" t="s">
        <v>36</v>
      </c>
      <c r="E8" s="375">
        <v>24242.71</v>
      </c>
    </row>
    <row r="9" spans="1:8" x14ac:dyDescent="0.25">
      <c r="A9" s="292" t="s">
        <v>49</v>
      </c>
      <c r="B9" s="254" t="s">
        <v>50</v>
      </c>
      <c r="C9" s="292" t="s">
        <v>35</v>
      </c>
      <c r="D9" s="292" t="s">
        <v>36</v>
      </c>
      <c r="E9" s="375">
        <v>27490.05</v>
      </c>
    </row>
    <row r="10" spans="1:8" x14ac:dyDescent="0.25">
      <c r="A10" s="292" t="s">
        <v>51</v>
      </c>
      <c r="B10" s="254" t="s">
        <v>52</v>
      </c>
      <c r="C10" s="292" t="s">
        <v>35</v>
      </c>
      <c r="D10" s="292" t="s">
        <v>36</v>
      </c>
      <c r="E10" s="375">
        <v>30737.39</v>
      </c>
    </row>
    <row r="11" spans="1:8" x14ac:dyDescent="0.25">
      <c r="A11" s="292" t="s">
        <v>53</v>
      </c>
      <c r="B11" s="254" t="s">
        <v>54</v>
      </c>
      <c r="C11" s="292" t="s">
        <v>35</v>
      </c>
      <c r="D11" s="292" t="s">
        <v>36</v>
      </c>
      <c r="E11" s="375">
        <v>7196.53</v>
      </c>
    </row>
    <row r="12" spans="1:8" x14ac:dyDescent="0.25">
      <c r="A12" s="292" t="s">
        <v>55</v>
      </c>
      <c r="B12" s="254" t="s">
        <v>56</v>
      </c>
      <c r="C12" s="292" t="s">
        <v>35</v>
      </c>
      <c r="D12" s="292" t="s">
        <v>36</v>
      </c>
      <c r="E12" s="375">
        <v>9168.44</v>
      </c>
    </row>
    <row r="13" spans="1:8" x14ac:dyDescent="0.25">
      <c r="A13" s="292" t="s">
        <v>57</v>
      </c>
      <c r="B13" s="254" t="s">
        <v>58</v>
      </c>
      <c r="C13" s="292" t="s">
        <v>35</v>
      </c>
      <c r="D13" s="292" t="s">
        <v>36</v>
      </c>
      <c r="E13" s="375">
        <v>14744.81</v>
      </c>
    </row>
    <row r="14" spans="1:8" x14ac:dyDescent="0.25">
      <c r="A14" s="292" t="s">
        <v>59</v>
      </c>
      <c r="B14" s="254" t="s">
        <v>60</v>
      </c>
      <c r="C14" s="292" t="s">
        <v>61</v>
      </c>
      <c r="D14" s="292" t="s">
        <v>36</v>
      </c>
      <c r="E14" s="375">
        <v>4276.41</v>
      </c>
    </row>
    <row r="15" spans="1:8" x14ac:dyDescent="0.25">
      <c r="A15" s="292" t="s">
        <v>62</v>
      </c>
      <c r="B15" s="254" t="s">
        <v>63</v>
      </c>
      <c r="C15" s="292" t="s">
        <v>61</v>
      </c>
      <c r="D15" s="292" t="s">
        <v>36</v>
      </c>
      <c r="E15" s="375">
        <v>4681.6899999999996</v>
      </c>
    </row>
    <row r="16" spans="1:8" x14ac:dyDescent="0.25">
      <c r="A16" s="292" t="s">
        <v>64</v>
      </c>
      <c r="B16" s="254" t="s">
        <v>65</v>
      </c>
      <c r="C16" s="292" t="s">
        <v>61</v>
      </c>
      <c r="D16" s="292" t="s">
        <v>36</v>
      </c>
      <c r="E16" s="375">
        <v>4554.09</v>
      </c>
    </row>
    <row r="17" spans="1:5" x14ac:dyDescent="0.25">
      <c r="A17" s="292" t="s">
        <v>66</v>
      </c>
      <c r="B17" s="254" t="s">
        <v>67</v>
      </c>
      <c r="C17" s="292" t="s">
        <v>61</v>
      </c>
      <c r="D17" s="292" t="s">
        <v>36</v>
      </c>
      <c r="E17" s="375">
        <v>4255.96</v>
      </c>
    </row>
    <row r="18" spans="1:5" x14ac:dyDescent="0.25">
      <c r="A18" s="292" t="s">
        <v>68</v>
      </c>
      <c r="B18" s="254" t="s">
        <v>69</v>
      </c>
      <c r="C18" s="292" t="s">
        <v>35</v>
      </c>
      <c r="D18" s="292" t="s">
        <v>36</v>
      </c>
      <c r="E18" s="375">
        <v>6943.91</v>
      </c>
    </row>
    <row r="19" spans="1:5" x14ac:dyDescent="0.25">
      <c r="A19" s="292" t="s">
        <v>70</v>
      </c>
      <c r="B19" s="254" t="s">
        <v>71</v>
      </c>
      <c r="C19" s="292" t="s">
        <v>35</v>
      </c>
      <c r="D19" s="292" t="s">
        <v>36</v>
      </c>
      <c r="E19" s="375">
        <v>8820.85</v>
      </c>
    </row>
    <row r="20" spans="1:5" x14ac:dyDescent="0.25">
      <c r="A20" s="292" t="s">
        <v>72</v>
      </c>
      <c r="B20" s="254" t="s">
        <v>73</v>
      </c>
      <c r="C20" s="292" t="s">
        <v>35</v>
      </c>
      <c r="D20" s="292" t="s">
        <v>36</v>
      </c>
      <c r="E20" s="375">
        <v>15076.89</v>
      </c>
    </row>
    <row r="21" spans="1:5" x14ac:dyDescent="0.25">
      <c r="A21" s="292" t="s">
        <v>74</v>
      </c>
      <c r="B21" s="254" t="s">
        <v>75</v>
      </c>
      <c r="C21" s="292" t="s">
        <v>61</v>
      </c>
      <c r="D21" s="292" t="s">
        <v>36</v>
      </c>
      <c r="E21" s="375">
        <v>7514.6</v>
      </c>
    </row>
    <row r="22" spans="1:5" x14ac:dyDescent="0.25">
      <c r="A22" s="292" t="s">
        <v>76</v>
      </c>
      <c r="B22" s="254" t="s">
        <v>77</v>
      </c>
      <c r="C22" s="292" t="s">
        <v>35</v>
      </c>
      <c r="D22" s="292" t="s">
        <v>36</v>
      </c>
      <c r="E22" s="375">
        <v>8885.39</v>
      </c>
    </row>
    <row r="23" spans="1:5" x14ac:dyDescent="0.25">
      <c r="A23" s="292" t="s">
        <v>78</v>
      </c>
      <c r="B23" s="254" t="s">
        <v>79</v>
      </c>
      <c r="C23" s="292" t="s">
        <v>35</v>
      </c>
      <c r="D23" s="292" t="s">
        <v>36</v>
      </c>
      <c r="E23" s="375">
        <v>11492.68</v>
      </c>
    </row>
    <row r="24" spans="1:5" x14ac:dyDescent="0.25">
      <c r="A24" s="292" t="s">
        <v>80</v>
      </c>
      <c r="B24" s="254" t="s">
        <v>81</v>
      </c>
      <c r="C24" s="292" t="s">
        <v>35</v>
      </c>
      <c r="D24" s="292" t="s">
        <v>36</v>
      </c>
      <c r="E24" s="375">
        <v>21051.95</v>
      </c>
    </row>
    <row r="25" spans="1:5" x14ac:dyDescent="0.25">
      <c r="A25" s="292" t="s">
        <v>82</v>
      </c>
      <c r="B25" s="254" t="s">
        <v>83</v>
      </c>
      <c r="C25" s="292" t="s">
        <v>35</v>
      </c>
      <c r="D25" s="292" t="s">
        <v>36</v>
      </c>
      <c r="E25" s="375">
        <v>33750.589999999997</v>
      </c>
    </row>
    <row r="26" spans="1:5" x14ac:dyDescent="0.25">
      <c r="A26" s="292" t="s">
        <v>84</v>
      </c>
      <c r="B26" s="254" t="s">
        <v>85</v>
      </c>
      <c r="C26" s="292" t="s">
        <v>35</v>
      </c>
      <c r="D26" s="292" t="s">
        <v>36</v>
      </c>
      <c r="E26" s="375">
        <v>9700.18</v>
      </c>
    </row>
    <row r="27" spans="1:5" x14ac:dyDescent="0.25">
      <c r="A27" s="292" t="s">
        <v>86</v>
      </c>
      <c r="B27" s="254" t="s">
        <v>87</v>
      </c>
      <c r="C27" s="292" t="s">
        <v>35</v>
      </c>
      <c r="D27" s="292" t="s">
        <v>36</v>
      </c>
      <c r="E27" s="375">
        <v>12579.32</v>
      </c>
    </row>
    <row r="28" spans="1:5" x14ac:dyDescent="0.25">
      <c r="A28" s="292" t="s">
        <v>88</v>
      </c>
      <c r="B28" s="254" t="s">
        <v>89</v>
      </c>
      <c r="C28" s="292" t="s">
        <v>35</v>
      </c>
      <c r="D28" s="292" t="s">
        <v>36</v>
      </c>
      <c r="E28" s="375">
        <v>18628.95</v>
      </c>
    </row>
    <row r="29" spans="1:5" x14ac:dyDescent="0.25">
      <c r="A29" s="292" t="s">
        <v>90</v>
      </c>
      <c r="B29" s="254" t="s">
        <v>91</v>
      </c>
      <c r="C29" s="292" t="s">
        <v>35</v>
      </c>
      <c r="D29" s="292" t="s">
        <v>36</v>
      </c>
      <c r="E29" s="375">
        <v>24233.9</v>
      </c>
    </row>
    <row r="30" spans="1:5" x14ac:dyDescent="0.25">
      <c r="A30" s="292" t="s">
        <v>92</v>
      </c>
      <c r="B30" s="254" t="s">
        <v>93</v>
      </c>
      <c r="C30" s="292" t="s">
        <v>35</v>
      </c>
      <c r="D30" s="292" t="s">
        <v>36</v>
      </c>
      <c r="E30" s="375">
        <v>25736.84</v>
      </c>
    </row>
    <row r="31" spans="1:5" x14ac:dyDescent="0.25">
      <c r="A31" s="292" t="s">
        <v>94</v>
      </c>
      <c r="B31" s="254" t="s">
        <v>95</v>
      </c>
      <c r="C31" s="292" t="s">
        <v>35</v>
      </c>
      <c r="D31" s="292" t="s">
        <v>36</v>
      </c>
      <c r="E31" s="375">
        <v>27239.78</v>
      </c>
    </row>
    <row r="32" spans="1:5" x14ac:dyDescent="0.25">
      <c r="A32" s="292" t="s">
        <v>96</v>
      </c>
      <c r="B32" s="254" t="s">
        <v>97</v>
      </c>
      <c r="C32" s="292" t="s">
        <v>35</v>
      </c>
      <c r="D32" s="292" t="s">
        <v>36</v>
      </c>
      <c r="E32" s="375">
        <v>24354.21</v>
      </c>
    </row>
    <row r="33" spans="1:5" x14ac:dyDescent="0.25">
      <c r="A33" s="292" t="s">
        <v>98</v>
      </c>
      <c r="B33" s="254" t="s">
        <v>99</v>
      </c>
      <c r="C33" s="292" t="s">
        <v>35</v>
      </c>
      <c r="D33" s="292" t="s">
        <v>36</v>
      </c>
      <c r="E33" s="375">
        <v>26558.86</v>
      </c>
    </row>
    <row r="34" spans="1:5" x14ac:dyDescent="0.25">
      <c r="A34" s="292" t="s">
        <v>100</v>
      </c>
      <c r="B34" s="254" t="s">
        <v>101</v>
      </c>
      <c r="C34" s="292" t="s">
        <v>35</v>
      </c>
      <c r="D34" s="292" t="s">
        <v>36</v>
      </c>
      <c r="E34" s="375">
        <v>28763.51</v>
      </c>
    </row>
    <row r="35" spans="1:5" x14ac:dyDescent="0.25">
      <c r="A35" s="292" t="s">
        <v>102</v>
      </c>
      <c r="B35" s="254" t="s">
        <v>103</v>
      </c>
      <c r="C35" s="292" t="s">
        <v>35</v>
      </c>
      <c r="D35" s="292" t="s">
        <v>36</v>
      </c>
      <c r="E35" s="375">
        <v>41989.87</v>
      </c>
    </row>
    <row r="36" spans="1:5" x14ac:dyDescent="0.25">
      <c r="A36" s="292" t="s">
        <v>104</v>
      </c>
      <c r="B36" s="254" t="s">
        <v>105</v>
      </c>
      <c r="C36" s="292" t="s">
        <v>35</v>
      </c>
      <c r="D36" s="292" t="s">
        <v>36</v>
      </c>
      <c r="E36" s="375">
        <v>35173.129999999997</v>
      </c>
    </row>
    <row r="37" spans="1:5" x14ac:dyDescent="0.25">
      <c r="A37" s="292" t="s">
        <v>106</v>
      </c>
      <c r="B37" s="254" t="s">
        <v>107</v>
      </c>
      <c r="C37" s="292" t="s">
        <v>35</v>
      </c>
      <c r="D37" s="292" t="s">
        <v>36</v>
      </c>
      <c r="E37" s="375">
        <v>24336.3</v>
      </c>
    </row>
    <row r="38" spans="1:5" x14ac:dyDescent="0.25">
      <c r="A38" s="292" t="s">
        <v>108</v>
      </c>
      <c r="B38" s="254" t="s">
        <v>109</v>
      </c>
      <c r="C38" s="292" t="s">
        <v>35</v>
      </c>
      <c r="D38" s="292" t="s">
        <v>36</v>
      </c>
      <c r="E38" s="375">
        <v>26274.48</v>
      </c>
    </row>
    <row r="39" spans="1:5" x14ac:dyDescent="0.25">
      <c r="A39" s="292" t="s">
        <v>110</v>
      </c>
      <c r="B39" s="254" t="s">
        <v>111</v>
      </c>
      <c r="C39" s="292" t="s">
        <v>35</v>
      </c>
      <c r="D39" s="292" t="s">
        <v>36</v>
      </c>
      <c r="E39" s="375">
        <v>28212.66</v>
      </c>
    </row>
    <row r="40" spans="1:5" x14ac:dyDescent="0.25">
      <c r="A40" s="292" t="s">
        <v>112</v>
      </c>
      <c r="B40" s="254" t="s">
        <v>113</v>
      </c>
      <c r="C40" s="292" t="s">
        <v>35</v>
      </c>
      <c r="D40" s="292" t="s">
        <v>36</v>
      </c>
      <c r="E40" s="375">
        <v>24288.81</v>
      </c>
    </row>
    <row r="41" spans="1:5" x14ac:dyDescent="0.25">
      <c r="A41" s="292" t="s">
        <v>114</v>
      </c>
      <c r="B41" s="254" t="s">
        <v>115</v>
      </c>
      <c r="C41" s="292" t="s">
        <v>35</v>
      </c>
      <c r="D41" s="292" t="s">
        <v>36</v>
      </c>
      <c r="E41" s="375">
        <v>27591.759999999998</v>
      </c>
    </row>
    <row r="42" spans="1:5" x14ac:dyDescent="0.25">
      <c r="A42" s="292" t="s">
        <v>116</v>
      </c>
      <c r="B42" s="254" t="s">
        <v>117</v>
      </c>
      <c r="C42" s="292" t="s">
        <v>35</v>
      </c>
      <c r="D42" s="292" t="s">
        <v>36</v>
      </c>
      <c r="E42" s="375">
        <v>30894.71</v>
      </c>
    </row>
    <row r="43" spans="1:5" x14ac:dyDescent="0.25">
      <c r="A43" s="292" t="s">
        <v>118</v>
      </c>
      <c r="B43" s="254" t="s">
        <v>119</v>
      </c>
      <c r="C43" s="292" t="s">
        <v>35</v>
      </c>
      <c r="D43" s="292" t="s">
        <v>36</v>
      </c>
      <c r="E43" s="375">
        <v>24336.3</v>
      </c>
    </row>
    <row r="44" spans="1:5" x14ac:dyDescent="0.25">
      <c r="A44" s="292" t="s">
        <v>120</v>
      </c>
      <c r="B44" s="254" t="s">
        <v>121</v>
      </c>
      <c r="C44" s="292" t="s">
        <v>35</v>
      </c>
      <c r="D44" s="292" t="s">
        <v>36</v>
      </c>
      <c r="E44" s="375">
        <v>26274.48</v>
      </c>
    </row>
    <row r="45" spans="1:5" x14ac:dyDescent="0.25">
      <c r="A45" s="292" t="s">
        <v>122</v>
      </c>
      <c r="B45" s="254" t="s">
        <v>123</v>
      </c>
      <c r="C45" s="292" t="s">
        <v>35</v>
      </c>
      <c r="D45" s="292" t="s">
        <v>36</v>
      </c>
      <c r="E45" s="375">
        <v>28212.66</v>
      </c>
    </row>
    <row r="46" spans="1:5" x14ac:dyDescent="0.25">
      <c r="A46" s="292" t="s">
        <v>124</v>
      </c>
      <c r="B46" s="254" t="s">
        <v>125</v>
      </c>
      <c r="C46" s="292" t="s">
        <v>35</v>
      </c>
      <c r="D46" s="292" t="s">
        <v>36</v>
      </c>
      <c r="E46" s="375">
        <v>24321.09</v>
      </c>
    </row>
    <row r="47" spans="1:5" x14ac:dyDescent="0.25">
      <c r="A47" s="292" t="s">
        <v>126</v>
      </c>
      <c r="B47" s="254" t="s">
        <v>127</v>
      </c>
      <c r="C47" s="292" t="s">
        <v>35</v>
      </c>
      <c r="D47" s="292" t="s">
        <v>36</v>
      </c>
      <c r="E47" s="375">
        <v>25780.18</v>
      </c>
    </row>
    <row r="48" spans="1:5" x14ac:dyDescent="0.25">
      <c r="A48" s="292" t="s">
        <v>128</v>
      </c>
      <c r="B48" s="254" t="s">
        <v>129</v>
      </c>
      <c r="C48" s="292" t="s">
        <v>35</v>
      </c>
      <c r="D48" s="292" t="s">
        <v>36</v>
      </c>
      <c r="E48" s="375">
        <v>27239.27</v>
      </c>
    </row>
    <row r="49" spans="1:5" x14ac:dyDescent="0.25">
      <c r="A49" s="292" t="s">
        <v>130</v>
      </c>
      <c r="B49" s="254" t="s">
        <v>131</v>
      </c>
      <c r="C49" s="292" t="s">
        <v>35</v>
      </c>
      <c r="D49" s="292" t="s">
        <v>36</v>
      </c>
      <c r="E49" s="375">
        <v>7033.98</v>
      </c>
    </row>
    <row r="50" spans="1:5" x14ac:dyDescent="0.25">
      <c r="A50" s="292" t="s">
        <v>132</v>
      </c>
      <c r="B50" s="254" t="s">
        <v>133</v>
      </c>
      <c r="C50" s="292" t="s">
        <v>35</v>
      </c>
      <c r="D50" s="292" t="s">
        <v>36</v>
      </c>
      <c r="E50" s="375">
        <v>8945.68</v>
      </c>
    </row>
    <row r="51" spans="1:5" x14ac:dyDescent="0.25">
      <c r="A51" s="292" t="s">
        <v>134</v>
      </c>
      <c r="B51" s="254" t="s">
        <v>135</v>
      </c>
      <c r="C51" s="292" t="s">
        <v>35</v>
      </c>
      <c r="D51" s="292" t="s">
        <v>36</v>
      </c>
      <c r="E51" s="375">
        <v>16020</v>
      </c>
    </row>
    <row r="52" spans="1:5" x14ac:dyDescent="0.25">
      <c r="A52" s="292" t="s">
        <v>136</v>
      </c>
      <c r="B52" s="254" t="s">
        <v>137</v>
      </c>
      <c r="C52" s="292" t="s">
        <v>138</v>
      </c>
      <c r="D52" s="292" t="s">
        <v>36</v>
      </c>
      <c r="E52" s="375">
        <v>5615.95</v>
      </c>
    </row>
    <row r="53" spans="1:5" x14ac:dyDescent="0.25">
      <c r="A53" s="292" t="s">
        <v>139</v>
      </c>
      <c r="B53" s="254" t="s">
        <v>140</v>
      </c>
      <c r="C53" s="292" t="s">
        <v>35</v>
      </c>
      <c r="D53" s="292" t="s">
        <v>36</v>
      </c>
      <c r="E53" s="375">
        <v>24202.58</v>
      </c>
    </row>
    <row r="54" spans="1:5" x14ac:dyDescent="0.25">
      <c r="A54" s="292" t="s">
        <v>141</v>
      </c>
      <c r="B54" s="254" t="s">
        <v>142</v>
      </c>
      <c r="C54" s="292" t="s">
        <v>35</v>
      </c>
      <c r="D54" s="292" t="s">
        <v>36</v>
      </c>
      <c r="E54" s="375">
        <v>10684.08</v>
      </c>
    </row>
    <row r="55" spans="1:5" x14ac:dyDescent="0.25">
      <c r="A55" s="292" t="s">
        <v>143</v>
      </c>
      <c r="B55" s="254" t="s">
        <v>144</v>
      </c>
      <c r="C55" s="292" t="s">
        <v>35</v>
      </c>
      <c r="D55" s="292" t="s">
        <v>36</v>
      </c>
      <c r="E55" s="375">
        <v>13881.87</v>
      </c>
    </row>
    <row r="56" spans="1:5" x14ac:dyDescent="0.25">
      <c r="A56" s="292" t="s">
        <v>145</v>
      </c>
      <c r="B56" s="254" t="s">
        <v>146</v>
      </c>
      <c r="C56" s="292" t="s">
        <v>35</v>
      </c>
      <c r="D56" s="292" t="s">
        <v>36</v>
      </c>
      <c r="E56" s="375">
        <v>22130.43</v>
      </c>
    </row>
    <row r="57" spans="1:5" x14ac:dyDescent="0.25">
      <c r="A57" s="292" t="s">
        <v>147</v>
      </c>
      <c r="B57" s="254" t="s">
        <v>148</v>
      </c>
      <c r="C57" s="292" t="s">
        <v>61</v>
      </c>
      <c r="D57" s="292" t="s">
        <v>36</v>
      </c>
      <c r="E57" s="375">
        <v>5663</v>
      </c>
    </row>
    <row r="58" spans="1:5" x14ac:dyDescent="0.25">
      <c r="A58" s="292" t="s">
        <v>149</v>
      </c>
      <c r="B58" s="254" t="s">
        <v>150</v>
      </c>
      <c r="C58" s="292" t="s">
        <v>61</v>
      </c>
      <c r="D58" s="292" t="s">
        <v>36</v>
      </c>
      <c r="E58" s="375">
        <v>5107.6499999999996</v>
      </c>
    </row>
    <row r="59" spans="1:5" x14ac:dyDescent="0.25">
      <c r="A59" s="292" t="s">
        <v>151</v>
      </c>
      <c r="B59" s="254" t="s">
        <v>152</v>
      </c>
      <c r="C59" s="292" t="s">
        <v>35</v>
      </c>
      <c r="D59" s="292" t="s">
        <v>36</v>
      </c>
      <c r="E59" s="375">
        <v>9792.1200000000008</v>
      </c>
    </row>
    <row r="60" spans="1:5" x14ac:dyDescent="0.25">
      <c r="A60" s="292" t="s">
        <v>153</v>
      </c>
      <c r="B60" s="254" t="s">
        <v>154</v>
      </c>
      <c r="C60" s="292" t="s">
        <v>35</v>
      </c>
      <c r="D60" s="292" t="s">
        <v>36</v>
      </c>
      <c r="E60" s="375">
        <v>12691.57</v>
      </c>
    </row>
    <row r="61" spans="1:5" x14ac:dyDescent="0.25">
      <c r="A61" s="292" t="s">
        <v>155</v>
      </c>
      <c r="B61" s="254" t="s">
        <v>156</v>
      </c>
      <c r="C61" s="292" t="s">
        <v>35</v>
      </c>
      <c r="D61" s="292" t="s">
        <v>36</v>
      </c>
      <c r="E61" s="375">
        <v>22332</v>
      </c>
    </row>
    <row r="62" spans="1:5" x14ac:dyDescent="0.25">
      <c r="A62" s="292" t="s">
        <v>157</v>
      </c>
      <c r="B62" s="254" t="s">
        <v>158</v>
      </c>
      <c r="C62" s="292" t="s">
        <v>35</v>
      </c>
      <c r="D62" s="292" t="s">
        <v>36</v>
      </c>
      <c r="E62" s="375">
        <v>6169.62</v>
      </c>
    </row>
    <row r="63" spans="1:5" x14ac:dyDescent="0.25">
      <c r="A63" s="292" t="s">
        <v>159</v>
      </c>
      <c r="B63" s="254" t="s">
        <v>160</v>
      </c>
      <c r="C63" s="292" t="s">
        <v>35</v>
      </c>
      <c r="D63" s="292" t="s">
        <v>36</v>
      </c>
      <c r="E63" s="375">
        <v>7779.13</v>
      </c>
    </row>
    <row r="64" spans="1:5" x14ac:dyDescent="0.25">
      <c r="A64" s="292" t="s">
        <v>161</v>
      </c>
      <c r="B64" s="254" t="s">
        <v>162</v>
      </c>
      <c r="C64" s="292" t="s">
        <v>35</v>
      </c>
      <c r="D64" s="292" t="s">
        <v>36</v>
      </c>
      <c r="E64" s="375">
        <v>9886.92</v>
      </c>
    </row>
    <row r="65" spans="1:5" x14ac:dyDescent="0.25">
      <c r="A65" s="292" t="s">
        <v>163</v>
      </c>
      <c r="B65" s="254" t="s">
        <v>164</v>
      </c>
      <c r="C65" s="292" t="s">
        <v>61</v>
      </c>
      <c r="D65" s="292" t="s">
        <v>36</v>
      </c>
      <c r="E65" s="375">
        <v>6270.98</v>
      </c>
    </row>
    <row r="66" spans="1:5" x14ac:dyDescent="0.25">
      <c r="A66" s="292" t="s">
        <v>165</v>
      </c>
      <c r="B66" s="254" t="s">
        <v>166</v>
      </c>
      <c r="C66" s="292" t="s">
        <v>138</v>
      </c>
      <c r="D66" s="292" t="s">
        <v>36</v>
      </c>
      <c r="E66" s="375">
        <v>5087.7700000000004</v>
      </c>
    </row>
    <row r="67" spans="1:5" x14ac:dyDescent="0.25">
      <c r="A67" s="292" t="s">
        <v>167</v>
      </c>
      <c r="B67" s="254" t="s">
        <v>168</v>
      </c>
      <c r="C67" s="292" t="s">
        <v>138</v>
      </c>
      <c r="D67" s="292" t="s">
        <v>36</v>
      </c>
      <c r="E67" s="375">
        <v>6565.04</v>
      </c>
    </row>
    <row r="68" spans="1:5" x14ac:dyDescent="0.25">
      <c r="A68" s="292" t="s">
        <v>169</v>
      </c>
      <c r="B68" s="254" t="s">
        <v>170</v>
      </c>
      <c r="C68" s="292" t="s">
        <v>138</v>
      </c>
      <c r="D68" s="292" t="s">
        <v>36</v>
      </c>
      <c r="E68" s="375">
        <v>7040.14</v>
      </c>
    </row>
    <row r="69" spans="1:5" x14ac:dyDescent="0.25">
      <c r="A69" s="292" t="s">
        <v>171</v>
      </c>
      <c r="B69" s="254" t="s">
        <v>172</v>
      </c>
      <c r="C69" s="292" t="s">
        <v>138</v>
      </c>
      <c r="D69" s="292" t="s">
        <v>36</v>
      </c>
      <c r="E69" s="375">
        <v>9422.75</v>
      </c>
    </row>
    <row r="70" spans="1:5" x14ac:dyDescent="0.25">
      <c r="A70" s="292" t="s">
        <v>173</v>
      </c>
      <c r="B70" s="254" t="s">
        <v>174</v>
      </c>
      <c r="C70" s="292" t="s">
        <v>138</v>
      </c>
      <c r="D70" s="292" t="s">
        <v>36</v>
      </c>
      <c r="E70" s="375">
        <v>6390.65</v>
      </c>
    </row>
    <row r="71" spans="1:5" x14ac:dyDescent="0.25">
      <c r="A71" s="292" t="s">
        <v>177</v>
      </c>
      <c r="B71" s="254" t="s">
        <v>178</v>
      </c>
      <c r="C71" s="292" t="s">
        <v>138</v>
      </c>
      <c r="D71" s="292" t="s">
        <v>36</v>
      </c>
      <c r="E71" s="375">
        <v>5810.76</v>
      </c>
    </row>
    <row r="72" spans="1:5" x14ac:dyDescent="0.25">
      <c r="A72" s="292" t="s">
        <v>756</v>
      </c>
      <c r="B72" s="254" t="s">
        <v>757</v>
      </c>
      <c r="C72" s="292" t="s">
        <v>35</v>
      </c>
      <c r="D72" s="292" t="s">
        <v>36</v>
      </c>
      <c r="E72" s="375">
        <v>5922.06</v>
      </c>
    </row>
    <row r="73" spans="1:5" x14ac:dyDescent="0.25">
      <c r="A73" s="292" t="s">
        <v>758</v>
      </c>
      <c r="B73" s="254" t="s">
        <v>759</v>
      </c>
      <c r="C73" s="292" t="s">
        <v>35</v>
      </c>
      <c r="D73" s="292" t="s">
        <v>36</v>
      </c>
      <c r="E73" s="375">
        <v>7458.14</v>
      </c>
    </row>
    <row r="74" spans="1:5" x14ac:dyDescent="0.25">
      <c r="A74" s="292" t="s">
        <v>760</v>
      </c>
      <c r="B74" s="254" t="s">
        <v>761</v>
      </c>
      <c r="C74" s="292" t="s">
        <v>35</v>
      </c>
      <c r="D74" s="292" t="s">
        <v>36</v>
      </c>
      <c r="E74" s="375">
        <v>11316.56</v>
      </c>
    </row>
    <row r="75" spans="1:5" x14ac:dyDescent="0.25">
      <c r="A75" s="292" t="s">
        <v>762</v>
      </c>
      <c r="B75" s="254" t="s">
        <v>763</v>
      </c>
      <c r="C75" s="292" t="s">
        <v>35</v>
      </c>
      <c r="D75" s="292" t="s">
        <v>36</v>
      </c>
      <c r="E75" s="375">
        <v>7457.29</v>
      </c>
    </row>
    <row r="76" spans="1:5" x14ac:dyDescent="0.25">
      <c r="A76" s="292" t="s">
        <v>764</v>
      </c>
      <c r="B76" s="254" t="s">
        <v>765</v>
      </c>
      <c r="C76" s="292" t="s">
        <v>35</v>
      </c>
      <c r="D76" s="292" t="s">
        <v>36</v>
      </c>
      <c r="E76" s="375">
        <v>9539.3799999999992</v>
      </c>
    </row>
    <row r="77" spans="1:5" x14ac:dyDescent="0.25">
      <c r="A77" s="292" t="s">
        <v>766</v>
      </c>
      <c r="B77" s="254" t="s">
        <v>767</v>
      </c>
      <c r="C77" s="292" t="s">
        <v>35</v>
      </c>
      <c r="D77" s="292" t="s">
        <v>36</v>
      </c>
      <c r="E77" s="375">
        <v>16341.82</v>
      </c>
    </row>
    <row r="78" spans="1:5" x14ac:dyDescent="0.25">
      <c r="A78" s="292" t="s">
        <v>1115</v>
      </c>
      <c r="B78" s="254" t="s">
        <v>967</v>
      </c>
      <c r="C78" s="292" t="s">
        <v>35</v>
      </c>
      <c r="D78" s="292" t="s">
        <v>36</v>
      </c>
      <c r="E78" s="375">
        <v>24326.03</v>
      </c>
    </row>
    <row r="79" spans="1:5" x14ac:dyDescent="0.25">
      <c r="A79" s="292" t="s">
        <v>1116</v>
      </c>
      <c r="B79" s="254" t="s">
        <v>968</v>
      </c>
      <c r="C79" s="292" t="s">
        <v>35</v>
      </c>
      <c r="D79" s="292" t="s">
        <v>36</v>
      </c>
      <c r="E79" s="375">
        <v>25984.93</v>
      </c>
    </row>
    <row r="80" spans="1:5" x14ac:dyDescent="0.25">
      <c r="A80" s="292" t="s">
        <v>1117</v>
      </c>
      <c r="B80" s="254" t="s">
        <v>969</v>
      </c>
      <c r="C80" s="292" t="s">
        <v>35</v>
      </c>
      <c r="D80" s="292" t="s">
        <v>36</v>
      </c>
      <c r="E80" s="375">
        <v>27643.84</v>
      </c>
    </row>
    <row r="81" spans="1:5" x14ac:dyDescent="0.25">
      <c r="A81" s="292" t="s">
        <v>978</v>
      </c>
      <c r="B81" s="254" t="s">
        <v>979</v>
      </c>
      <c r="C81" s="292" t="s">
        <v>35</v>
      </c>
      <c r="D81" s="292" t="s">
        <v>36</v>
      </c>
      <c r="E81" s="375">
        <v>8375.83</v>
      </c>
    </row>
    <row r="82" spans="1:5" x14ac:dyDescent="0.25">
      <c r="A82" s="292" t="s">
        <v>980</v>
      </c>
      <c r="B82" s="254" t="s">
        <v>981</v>
      </c>
      <c r="C82" s="292" t="s">
        <v>35</v>
      </c>
      <c r="D82" s="292" t="s">
        <v>36</v>
      </c>
      <c r="E82" s="375">
        <v>10795.97</v>
      </c>
    </row>
    <row r="83" spans="1:5" x14ac:dyDescent="0.25">
      <c r="A83" s="292" t="s">
        <v>982</v>
      </c>
      <c r="B83" s="254" t="s">
        <v>983</v>
      </c>
      <c r="C83" s="292" t="s">
        <v>35</v>
      </c>
      <c r="D83" s="292" t="s">
        <v>36</v>
      </c>
      <c r="E83" s="375">
        <v>20233.23</v>
      </c>
    </row>
    <row r="84" spans="1:5" x14ac:dyDescent="0.25">
      <c r="A84" s="292" t="s">
        <v>984</v>
      </c>
      <c r="B84" s="254" t="s">
        <v>985</v>
      </c>
      <c r="C84" s="292" t="s">
        <v>35</v>
      </c>
      <c r="D84" s="292" t="s">
        <v>36</v>
      </c>
      <c r="E84" s="375">
        <v>7610.1</v>
      </c>
    </row>
    <row r="85" spans="1:5" x14ac:dyDescent="0.25">
      <c r="A85" s="292" t="s">
        <v>986</v>
      </c>
      <c r="B85" s="254" t="s">
        <v>987</v>
      </c>
      <c r="C85" s="292" t="s">
        <v>35</v>
      </c>
      <c r="D85" s="292" t="s">
        <v>36</v>
      </c>
      <c r="E85" s="375">
        <v>9727.15</v>
      </c>
    </row>
    <row r="86" spans="1:5" x14ac:dyDescent="0.25">
      <c r="A86" s="292" t="s">
        <v>988</v>
      </c>
      <c r="B86" s="254" t="s">
        <v>989</v>
      </c>
      <c r="C86" s="292" t="s">
        <v>35</v>
      </c>
      <c r="D86" s="292" t="s">
        <v>36</v>
      </c>
      <c r="E86" s="375">
        <v>14855.45</v>
      </c>
    </row>
    <row r="87" spans="1:5" x14ac:dyDescent="0.25">
      <c r="A87" s="292" t="s">
        <v>990</v>
      </c>
      <c r="B87" s="254" t="s">
        <v>991</v>
      </c>
      <c r="C87" s="292" t="s">
        <v>35</v>
      </c>
      <c r="D87" s="292" t="s">
        <v>36</v>
      </c>
      <c r="E87" s="375">
        <v>6577.01</v>
      </c>
    </row>
    <row r="88" spans="1:5" x14ac:dyDescent="0.25">
      <c r="A88" s="292" t="s">
        <v>992</v>
      </c>
      <c r="B88" s="254" t="s">
        <v>993</v>
      </c>
      <c r="C88" s="292" t="s">
        <v>35</v>
      </c>
      <c r="D88" s="292" t="s">
        <v>36</v>
      </c>
      <c r="E88" s="375">
        <v>8320.98</v>
      </c>
    </row>
    <row r="89" spans="1:5" x14ac:dyDescent="0.25">
      <c r="A89" s="292" t="s">
        <v>994</v>
      </c>
      <c r="B89" s="254" t="s">
        <v>995</v>
      </c>
      <c r="C89" s="292" t="s">
        <v>35</v>
      </c>
      <c r="D89" s="292" t="s">
        <v>36</v>
      </c>
      <c r="E89" s="375">
        <v>11894.09</v>
      </c>
    </row>
    <row r="90" spans="1:5" x14ac:dyDescent="0.25">
      <c r="A90" s="292" t="s">
        <v>1118</v>
      </c>
      <c r="B90" s="254" t="s">
        <v>970</v>
      </c>
      <c r="C90" s="292" t="s">
        <v>35</v>
      </c>
      <c r="D90" s="292" t="s">
        <v>36</v>
      </c>
      <c r="E90" s="375">
        <v>8661.08</v>
      </c>
    </row>
    <row r="91" spans="1:5" x14ac:dyDescent="0.25">
      <c r="A91" s="292" t="s">
        <v>1119</v>
      </c>
      <c r="B91" s="254" t="s">
        <v>971</v>
      </c>
      <c r="C91" s="292" t="s">
        <v>35</v>
      </c>
      <c r="D91" s="292" t="s">
        <v>36</v>
      </c>
      <c r="E91" s="375">
        <v>11183.09</v>
      </c>
    </row>
    <row r="92" spans="1:5" x14ac:dyDescent="0.25">
      <c r="A92" s="292" t="s">
        <v>1120</v>
      </c>
      <c r="B92" s="254" t="s">
        <v>972</v>
      </c>
      <c r="C92" s="292" t="s">
        <v>35</v>
      </c>
      <c r="D92" s="292" t="s">
        <v>36</v>
      </c>
      <c r="E92" s="375">
        <v>17210.75</v>
      </c>
    </row>
    <row r="93" spans="1:5" x14ac:dyDescent="0.25">
      <c r="A93" s="292" t="s">
        <v>1121</v>
      </c>
      <c r="B93" s="254" t="s">
        <v>973</v>
      </c>
      <c r="C93" s="292" t="s">
        <v>35</v>
      </c>
      <c r="D93" s="292" t="s">
        <v>36</v>
      </c>
      <c r="E93" s="375">
        <v>7610.1</v>
      </c>
    </row>
    <row r="94" spans="1:5" x14ac:dyDescent="0.25">
      <c r="A94" s="292" t="s">
        <v>1122</v>
      </c>
      <c r="B94" s="254" t="s">
        <v>974</v>
      </c>
      <c r="C94" s="292" t="s">
        <v>35</v>
      </c>
      <c r="D94" s="292" t="s">
        <v>36</v>
      </c>
      <c r="E94" s="375">
        <v>9727.15</v>
      </c>
    </row>
    <row r="95" spans="1:5" x14ac:dyDescent="0.25">
      <c r="A95" s="292" t="s">
        <v>1123</v>
      </c>
      <c r="B95" s="254" t="s">
        <v>975</v>
      </c>
      <c r="C95" s="292" t="s">
        <v>35</v>
      </c>
      <c r="D95" s="292" t="s">
        <v>36</v>
      </c>
      <c r="E95" s="375">
        <v>14855.45</v>
      </c>
    </row>
    <row r="96" spans="1:5" x14ac:dyDescent="0.25">
      <c r="A96" s="292" t="s">
        <v>996</v>
      </c>
      <c r="B96" s="254" t="s">
        <v>997</v>
      </c>
      <c r="C96" s="292" t="s">
        <v>35</v>
      </c>
      <c r="D96" s="292" t="s">
        <v>36</v>
      </c>
      <c r="E96" s="375">
        <v>8983.33</v>
      </c>
    </row>
    <row r="97" spans="1:5" x14ac:dyDescent="0.25">
      <c r="A97" s="292" t="s">
        <v>998</v>
      </c>
      <c r="B97" s="254" t="s">
        <v>999</v>
      </c>
      <c r="C97" s="292" t="s">
        <v>35</v>
      </c>
      <c r="D97" s="292" t="s">
        <v>36</v>
      </c>
      <c r="E97" s="375">
        <v>11612.76</v>
      </c>
    </row>
    <row r="98" spans="1:5" x14ac:dyDescent="0.25">
      <c r="A98" s="292" t="s">
        <v>1000</v>
      </c>
      <c r="B98" s="254" t="s">
        <v>1001</v>
      </c>
      <c r="C98" s="292" t="s">
        <v>35</v>
      </c>
      <c r="D98" s="292" t="s">
        <v>36</v>
      </c>
      <c r="E98" s="375">
        <v>17315.04</v>
      </c>
    </row>
    <row r="99" spans="1:5" x14ac:dyDescent="0.25">
      <c r="A99" s="193" t="s">
        <v>179</v>
      </c>
      <c r="B99" s="285" t="s">
        <v>180</v>
      </c>
      <c r="C99" s="193" t="s">
        <v>138</v>
      </c>
      <c r="D99" s="193" t="s">
        <v>36</v>
      </c>
      <c r="E99" s="405">
        <v>8697.3354999999992</v>
      </c>
    </row>
    <row r="100" spans="1:5" x14ac:dyDescent="0.25">
      <c r="A100" s="193" t="s">
        <v>181</v>
      </c>
      <c r="B100" s="285" t="s">
        <v>182</v>
      </c>
      <c r="C100" s="193" t="s">
        <v>138</v>
      </c>
      <c r="D100" s="193" t="s">
        <v>36</v>
      </c>
      <c r="E100" s="405">
        <v>7821.6815999999999</v>
      </c>
    </row>
    <row r="101" spans="1:5" x14ac:dyDescent="0.25">
      <c r="A101" s="193" t="s">
        <v>175</v>
      </c>
      <c r="B101" s="285" t="s">
        <v>176</v>
      </c>
      <c r="C101" s="193" t="s">
        <v>138</v>
      </c>
      <c r="D101" s="193" t="s">
        <v>36</v>
      </c>
      <c r="E101" s="404" t="s">
        <v>259</v>
      </c>
    </row>
    <row r="102" spans="1:5" x14ac:dyDescent="0.25">
      <c r="A102" s="292" t="s">
        <v>1002</v>
      </c>
      <c r="B102" s="293" t="s">
        <v>1003</v>
      </c>
      <c r="C102" s="292" t="s">
        <v>61</v>
      </c>
      <c r="D102" s="292" t="s">
        <v>336</v>
      </c>
      <c r="E102" s="294">
        <v>27.61</v>
      </c>
    </row>
    <row r="103" spans="1:5" x14ac:dyDescent="0.25">
      <c r="A103" s="193" t="s">
        <v>1017</v>
      </c>
      <c r="B103" s="285" t="s">
        <v>1018</v>
      </c>
      <c r="C103" s="193" t="s">
        <v>61</v>
      </c>
      <c r="D103" s="193" t="s">
        <v>36</v>
      </c>
      <c r="E103" s="405">
        <v>5581.4790999999996</v>
      </c>
    </row>
    <row r="104" spans="1:5" x14ac:dyDescent="0.25">
      <c r="A104" s="359" t="s">
        <v>1112</v>
      </c>
    </row>
  </sheetData>
  <pageMargins left="0.511811024" right="0.511811024" top="0.78740157499999996" bottom="0.78740157499999996" header="0.31496062000000002" footer="0.3149606200000000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3">
    <tabColor theme="9"/>
  </sheetPr>
  <dimension ref="A1:K14"/>
  <sheetViews>
    <sheetView topLeftCell="B1" zoomScale="90" zoomScaleNormal="90" workbookViewId="0">
      <selection activeCell="C25" sqref="C25"/>
    </sheetView>
  </sheetViews>
  <sheetFormatPr defaultColWidth="9.140625" defaultRowHeight="15" x14ac:dyDescent="0.25"/>
  <cols>
    <col min="1" max="1" width="17.7109375" style="2" customWidth="1"/>
    <col min="2" max="2" width="9.28515625" style="2" bestFit="1" customWidth="1"/>
    <col min="3" max="3" width="98.140625" style="2" customWidth="1"/>
    <col min="4" max="4" width="5.85546875" style="2" bestFit="1" customWidth="1"/>
    <col min="5" max="5" width="20.7109375" style="2" bestFit="1" customWidth="1"/>
    <col min="6" max="6" width="23.5703125" style="2" bestFit="1" customWidth="1"/>
    <col min="7" max="7" width="22.140625" style="2" bestFit="1" customWidth="1"/>
    <col min="8" max="8" width="24.85546875" style="2" bestFit="1" customWidth="1"/>
    <col min="9" max="9" width="20.7109375" style="2" bestFit="1" customWidth="1"/>
    <col min="10" max="10" width="23.5703125" style="2" bestFit="1" customWidth="1"/>
    <col min="11" max="11" width="15" style="2" bestFit="1" customWidth="1"/>
    <col min="12" max="16384" width="9.140625" style="2"/>
  </cols>
  <sheetData>
    <row r="1" spans="1:11" ht="34.5" x14ac:dyDescent="0.25">
      <c r="A1" s="2" t="s">
        <v>966</v>
      </c>
      <c r="B1" s="30" t="s">
        <v>29</v>
      </c>
      <c r="C1" s="30" t="s">
        <v>15</v>
      </c>
      <c r="D1" s="30" t="s">
        <v>30</v>
      </c>
      <c r="E1" s="30" t="s">
        <v>183</v>
      </c>
      <c r="F1" s="30" t="s">
        <v>184</v>
      </c>
      <c r="G1" s="30" t="s">
        <v>185</v>
      </c>
      <c r="H1" s="30" t="s">
        <v>186</v>
      </c>
      <c r="I1" s="30" t="s">
        <v>187</v>
      </c>
      <c r="J1" s="30" t="s">
        <v>188</v>
      </c>
      <c r="K1" s="30" t="s">
        <v>189</v>
      </c>
    </row>
    <row r="2" spans="1:11" x14ac:dyDescent="0.25">
      <c r="A2" s="2" t="s">
        <v>976</v>
      </c>
      <c r="B2" s="272" t="s">
        <v>190</v>
      </c>
      <c r="C2" s="267" t="s">
        <v>191</v>
      </c>
      <c r="D2" s="193" t="s">
        <v>192</v>
      </c>
      <c r="E2" s="194">
        <v>36.69</v>
      </c>
      <c r="F2" s="194">
        <v>6.57</v>
      </c>
      <c r="G2" s="194">
        <v>66</v>
      </c>
      <c r="H2" s="194">
        <v>116.49</v>
      </c>
      <c r="I2" s="194">
        <f>ROUND(E2*G2,4)</f>
        <v>2421.54</v>
      </c>
      <c r="J2" s="194">
        <f>ROUND(F2*H2,4)</f>
        <v>765.33929999999998</v>
      </c>
      <c r="K2" s="194">
        <f t="shared" ref="K2:K7" si="0">I2+J2</f>
        <v>3186.8793000000001</v>
      </c>
    </row>
    <row r="3" spans="1:11" x14ac:dyDescent="0.25">
      <c r="A3" s="2" t="s">
        <v>976</v>
      </c>
      <c r="B3" s="272" t="s">
        <v>193</v>
      </c>
      <c r="C3" s="267" t="s">
        <v>1114</v>
      </c>
      <c r="D3" s="193" t="s">
        <v>192</v>
      </c>
      <c r="E3" s="194">
        <v>79.599999999999994</v>
      </c>
      <c r="F3" s="194">
        <v>22.89</v>
      </c>
      <c r="G3" s="194">
        <v>66</v>
      </c>
      <c r="H3" s="194">
        <v>116.49</v>
      </c>
      <c r="I3" s="194">
        <f t="shared" ref="I3:J8" si="1">ROUND(E3*G3,4)</f>
        <v>5253.6</v>
      </c>
      <c r="J3" s="194">
        <f t="shared" si="1"/>
        <v>2666.4560999999999</v>
      </c>
      <c r="K3" s="194">
        <f t="shared" si="0"/>
        <v>7920.0560999999998</v>
      </c>
    </row>
    <row r="4" spans="1:11" x14ac:dyDescent="0.25">
      <c r="A4" s="2" t="s">
        <v>976</v>
      </c>
      <c r="B4" s="272" t="s">
        <v>194</v>
      </c>
      <c r="C4" s="267" t="s">
        <v>1113</v>
      </c>
      <c r="D4" s="193" t="s">
        <v>192</v>
      </c>
      <c r="E4" s="194">
        <v>83.96</v>
      </c>
      <c r="F4" s="194">
        <v>44.82</v>
      </c>
      <c r="G4" s="194">
        <v>66</v>
      </c>
      <c r="H4" s="194">
        <v>116.49</v>
      </c>
      <c r="I4" s="194">
        <f t="shared" si="1"/>
        <v>5541.36</v>
      </c>
      <c r="J4" s="194">
        <f t="shared" si="1"/>
        <v>5221.0817999999999</v>
      </c>
      <c r="K4" s="194">
        <f t="shared" si="0"/>
        <v>10762.441800000001</v>
      </c>
    </row>
    <row r="5" spans="1:11" x14ac:dyDescent="0.25">
      <c r="A5" s="2" t="s">
        <v>966</v>
      </c>
      <c r="B5" s="272" t="s">
        <v>195</v>
      </c>
      <c r="C5" s="267" t="s">
        <v>196</v>
      </c>
      <c r="D5" s="193" t="s">
        <v>197</v>
      </c>
      <c r="E5" s="194">
        <v>184.56559999999999</v>
      </c>
      <c r="F5" s="194">
        <v>69.557000000000002</v>
      </c>
      <c r="G5" s="194">
        <v>66</v>
      </c>
      <c r="H5" s="194">
        <v>116.49</v>
      </c>
      <c r="I5" s="194">
        <f t="shared" si="1"/>
        <v>12181.329599999999</v>
      </c>
      <c r="J5" s="194">
        <f t="shared" si="1"/>
        <v>8102.6949000000004</v>
      </c>
      <c r="K5" s="194">
        <f t="shared" si="0"/>
        <v>20284.0245</v>
      </c>
    </row>
    <row r="6" spans="1:11" x14ac:dyDescent="0.25">
      <c r="A6" s="2" t="s">
        <v>966</v>
      </c>
      <c r="B6" s="272" t="s">
        <v>871</v>
      </c>
      <c r="C6" s="267" t="s">
        <v>872</v>
      </c>
      <c r="D6" s="193" t="s">
        <v>197</v>
      </c>
      <c r="E6" s="194">
        <v>372.33269999999999</v>
      </c>
      <c r="F6" s="194">
        <v>259.245</v>
      </c>
      <c r="G6" s="194">
        <v>66</v>
      </c>
      <c r="H6" s="194">
        <v>116.49</v>
      </c>
      <c r="I6" s="194">
        <f t="shared" si="1"/>
        <v>24573.958200000001</v>
      </c>
      <c r="J6" s="194">
        <f t="shared" si="1"/>
        <v>30199.450099999998</v>
      </c>
      <c r="K6" s="194">
        <f t="shared" si="0"/>
        <v>54773.408299999996</v>
      </c>
    </row>
    <row r="7" spans="1:11" x14ac:dyDescent="0.25">
      <c r="A7" s="2" t="s">
        <v>966</v>
      </c>
      <c r="B7" s="272" t="s">
        <v>873</v>
      </c>
      <c r="C7" s="267" t="s">
        <v>874</v>
      </c>
      <c r="D7" s="193" t="s">
        <v>197</v>
      </c>
      <c r="E7" s="194">
        <v>17.801300000000001</v>
      </c>
      <c r="F7" s="194">
        <v>11.808</v>
      </c>
      <c r="G7" s="194">
        <v>66</v>
      </c>
      <c r="H7" s="194">
        <v>116.49</v>
      </c>
      <c r="I7" s="194">
        <f t="shared" si="1"/>
        <v>1174.8858</v>
      </c>
      <c r="J7" s="194">
        <f t="shared" si="1"/>
        <v>1375.5138999999999</v>
      </c>
      <c r="K7" s="194">
        <f t="shared" si="0"/>
        <v>2550.3996999999999</v>
      </c>
    </row>
    <row r="8" spans="1:11" x14ac:dyDescent="0.25">
      <c r="A8" s="2" t="s">
        <v>977</v>
      </c>
      <c r="B8" s="272" t="s">
        <v>875</v>
      </c>
      <c r="C8" s="267" t="s">
        <v>876</v>
      </c>
      <c r="D8" s="193" t="s">
        <v>877</v>
      </c>
      <c r="E8" s="194">
        <v>93.399500000000003</v>
      </c>
      <c r="F8" s="237">
        <v>0</v>
      </c>
      <c r="G8" s="194">
        <v>0</v>
      </c>
      <c r="H8" s="194">
        <v>116.49</v>
      </c>
      <c r="I8" s="194">
        <f t="shared" si="1"/>
        <v>0</v>
      </c>
      <c r="J8" s="194">
        <f t="shared" si="1"/>
        <v>0</v>
      </c>
      <c r="K8" s="194">
        <f>E8</f>
        <v>93.399500000000003</v>
      </c>
    </row>
    <row r="9" spans="1:11" x14ac:dyDescent="0.25">
      <c r="B9" s="438" t="s">
        <v>1274</v>
      </c>
      <c r="C9" s="439" t="s">
        <v>1275</v>
      </c>
      <c r="D9" s="438" t="s">
        <v>197</v>
      </c>
      <c r="E9" s="21"/>
      <c r="F9" s="21"/>
    </row>
    <row r="10" spans="1:11" x14ac:dyDescent="0.25">
      <c r="E10" s="21"/>
      <c r="F10" s="21"/>
    </row>
    <row r="12" spans="1:11" ht="17.25" x14ac:dyDescent="0.25">
      <c r="C12" s="260" t="s">
        <v>1151</v>
      </c>
    </row>
    <row r="14" spans="1:11" x14ac:dyDescent="0.25">
      <c r="C14" s="2" t="s">
        <v>1150</v>
      </c>
    </row>
  </sheetData>
  <pageMargins left="0.511811024" right="0.511811024" top="0.78740157499999996" bottom="0.78740157499999996" header="0.31496062000000002" footer="0.3149606200000000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4">
    <tabColor theme="9"/>
  </sheetPr>
  <dimension ref="A1:H14"/>
  <sheetViews>
    <sheetView zoomScale="115" zoomScaleNormal="115" workbookViewId="0">
      <selection activeCell="I27" sqref="I27"/>
    </sheetView>
  </sheetViews>
  <sheetFormatPr defaultRowHeight="15" x14ac:dyDescent="0.25"/>
  <cols>
    <col min="2" max="2" width="9.140625" style="39"/>
    <col min="3" max="3" width="22.42578125" customWidth="1"/>
    <col min="4" max="4" width="34.85546875" bestFit="1" customWidth="1"/>
    <col min="5" max="5" width="15" style="39" bestFit="1" customWidth="1"/>
    <col min="6" max="6" width="14.28515625" bestFit="1" customWidth="1"/>
  </cols>
  <sheetData>
    <row r="1" spans="1:8" ht="23.25" x14ac:dyDescent="0.35">
      <c r="B1" s="195" t="s">
        <v>878</v>
      </c>
      <c r="H1" s="260" t="s">
        <v>1149</v>
      </c>
    </row>
    <row r="2" spans="1:8" x14ac:dyDescent="0.25">
      <c r="A2" t="s">
        <v>965</v>
      </c>
      <c r="B2" s="39" t="s">
        <v>879</v>
      </c>
      <c r="C2" s="39" t="s">
        <v>273</v>
      </c>
      <c r="D2" s="39" t="s">
        <v>274</v>
      </c>
      <c r="E2" s="39" t="s">
        <v>275</v>
      </c>
      <c r="F2" s="39" t="s">
        <v>880</v>
      </c>
      <c r="H2" t="s">
        <v>1110</v>
      </c>
    </row>
    <row r="3" spans="1:8" x14ac:dyDescent="0.25">
      <c r="A3" t="s">
        <v>976</v>
      </c>
      <c r="B3" s="262" t="s">
        <v>278</v>
      </c>
      <c r="C3" s="263" t="s">
        <v>277</v>
      </c>
      <c r="D3" t="s">
        <v>1014</v>
      </c>
      <c r="E3" s="39" t="s">
        <v>279</v>
      </c>
      <c r="F3" s="243">
        <v>49.4</v>
      </c>
      <c r="H3" t="s">
        <v>1111</v>
      </c>
    </row>
    <row r="4" spans="1:8" x14ac:dyDescent="0.25">
      <c r="A4" t="s">
        <v>976</v>
      </c>
      <c r="B4" s="262" t="s">
        <v>280</v>
      </c>
      <c r="C4" s="263" t="s">
        <v>277</v>
      </c>
      <c r="D4" t="s">
        <v>1015</v>
      </c>
      <c r="E4" s="39" t="s">
        <v>279</v>
      </c>
      <c r="F4" s="243">
        <v>47.46</v>
      </c>
    </row>
    <row r="5" spans="1:8" x14ac:dyDescent="0.25">
      <c r="A5" t="s">
        <v>976</v>
      </c>
      <c r="B5" s="262" t="s">
        <v>282</v>
      </c>
      <c r="C5" s="263" t="s">
        <v>281</v>
      </c>
      <c r="D5" t="s">
        <v>283</v>
      </c>
      <c r="E5" s="39" t="s">
        <v>284</v>
      </c>
      <c r="F5" s="243">
        <v>467.45</v>
      </c>
    </row>
    <row r="6" spans="1:8" x14ac:dyDescent="0.25">
      <c r="A6" t="s">
        <v>976</v>
      </c>
      <c r="B6" s="262" t="s">
        <v>285</v>
      </c>
      <c r="C6" s="263" t="s">
        <v>281</v>
      </c>
      <c r="D6" t="s">
        <v>286</v>
      </c>
      <c r="E6" s="39" t="s">
        <v>284</v>
      </c>
      <c r="F6" s="243">
        <v>42.11</v>
      </c>
    </row>
    <row r="7" spans="1:8" x14ac:dyDescent="0.25">
      <c r="A7" t="s">
        <v>976</v>
      </c>
      <c r="B7" s="262" t="s">
        <v>288</v>
      </c>
      <c r="C7" s="263" t="s">
        <v>287</v>
      </c>
      <c r="D7" t="s">
        <v>289</v>
      </c>
      <c r="E7" s="39" t="s">
        <v>36</v>
      </c>
      <c r="F7" s="243">
        <v>5952.38</v>
      </c>
    </row>
    <row r="8" spans="1:8" x14ac:dyDescent="0.25">
      <c r="A8" t="s">
        <v>976</v>
      </c>
      <c r="B8" s="262" t="s">
        <v>290</v>
      </c>
      <c r="C8" s="263" t="s">
        <v>287</v>
      </c>
      <c r="D8" t="s">
        <v>291</v>
      </c>
      <c r="E8" s="39" t="s">
        <v>36</v>
      </c>
      <c r="F8" s="243">
        <v>4642.5600000000004</v>
      </c>
    </row>
    <row r="9" spans="1:8" x14ac:dyDescent="0.25">
      <c r="A9" t="s">
        <v>976</v>
      </c>
      <c r="B9" s="262" t="s">
        <v>292</v>
      </c>
      <c r="C9" s="263" t="s">
        <v>287</v>
      </c>
      <c r="D9" t="s">
        <v>293</v>
      </c>
      <c r="E9" s="39" t="s">
        <v>36</v>
      </c>
      <c r="F9" s="243">
        <v>3520.5</v>
      </c>
    </row>
    <row r="10" spans="1:8" x14ac:dyDescent="0.25">
      <c r="A10" t="s">
        <v>976</v>
      </c>
      <c r="B10" s="262" t="s">
        <v>294</v>
      </c>
      <c r="C10" s="263" t="s">
        <v>287</v>
      </c>
      <c r="D10" t="s">
        <v>256</v>
      </c>
      <c r="E10" s="39" t="s">
        <v>36</v>
      </c>
      <c r="F10" s="243">
        <v>5150.2700000000004</v>
      </c>
    </row>
    <row r="11" spans="1:8" x14ac:dyDescent="0.25">
      <c r="A11" t="s">
        <v>976</v>
      </c>
      <c r="B11" s="262" t="s">
        <v>1021</v>
      </c>
      <c r="C11" s="263" t="s">
        <v>287</v>
      </c>
      <c r="D11" t="s">
        <v>1022</v>
      </c>
      <c r="E11" s="39" t="s">
        <v>36</v>
      </c>
      <c r="F11" s="243">
        <v>866.31</v>
      </c>
    </row>
    <row r="12" spans="1:8" x14ac:dyDescent="0.25">
      <c r="A12" t="s">
        <v>976</v>
      </c>
      <c r="B12" s="262" t="s">
        <v>296</v>
      </c>
      <c r="C12" s="263" t="s">
        <v>295</v>
      </c>
      <c r="D12" t="s">
        <v>283</v>
      </c>
      <c r="E12" s="39" t="s">
        <v>284</v>
      </c>
      <c r="F12" s="243">
        <v>137.55000000000001</v>
      </c>
    </row>
    <row r="13" spans="1:8" x14ac:dyDescent="0.25">
      <c r="A13" t="s">
        <v>976</v>
      </c>
      <c r="B13" s="262" t="s">
        <v>297</v>
      </c>
      <c r="C13" s="263" t="s">
        <v>295</v>
      </c>
      <c r="D13" t="s">
        <v>286</v>
      </c>
      <c r="E13" s="39" t="s">
        <v>284</v>
      </c>
      <c r="F13" s="243">
        <v>204.08</v>
      </c>
    </row>
    <row r="14" spans="1:8" x14ac:dyDescent="0.25">
      <c r="A14" t="s">
        <v>1112</v>
      </c>
    </row>
  </sheetData>
  <pageMargins left="0.511811024" right="0.511811024" top="0.78740157499999996" bottom="0.78740157499999996" header="0.31496062000000002" footer="0.31496062000000002"/>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5">
    <tabColor theme="9"/>
  </sheetPr>
  <dimension ref="A1:N18"/>
  <sheetViews>
    <sheetView zoomScaleNormal="100" workbookViewId="0">
      <selection activeCell="L25" sqref="L25"/>
    </sheetView>
  </sheetViews>
  <sheetFormatPr defaultRowHeight="15" x14ac:dyDescent="0.25"/>
  <cols>
    <col min="1" max="1" width="78.85546875" bestFit="1" customWidth="1"/>
    <col min="2" max="2" width="22.42578125" bestFit="1" customWidth="1"/>
    <col min="3" max="3" width="11.28515625" bestFit="1" customWidth="1"/>
    <col min="4" max="4" width="12.5703125" bestFit="1" customWidth="1"/>
  </cols>
  <sheetData>
    <row r="1" spans="1:14" ht="15" customHeight="1" x14ac:dyDescent="0.25">
      <c r="A1" s="378" t="s">
        <v>1143</v>
      </c>
      <c r="B1" s="379"/>
      <c r="C1" s="379"/>
      <c r="D1" s="379"/>
      <c r="G1" s="260" t="s">
        <v>1148</v>
      </c>
    </row>
    <row r="2" spans="1:14" ht="15" customHeight="1" x14ac:dyDescent="0.25">
      <c r="A2" s="637" t="s">
        <v>1144</v>
      </c>
      <c r="B2" s="638"/>
      <c r="C2" s="639" t="s">
        <v>1145</v>
      </c>
      <c r="D2" s="637"/>
      <c r="G2" s="632" t="s">
        <v>1226</v>
      </c>
      <c r="H2" s="632"/>
      <c r="I2" s="632"/>
      <c r="J2" s="632"/>
      <c r="K2" s="632"/>
      <c r="L2" s="632"/>
      <c r="M2" s="632"/>
      <c r="N2" s="632"/>
    </row>
    <row r="3" spans="1:14" x14ac:dyDescent="0.25">
      <c r="A3" s="640" t="s">
        <v>298</v>
      </c>
      <c r="B3" s="641"/>
      <c r="C3" s="380" t="s">
        <v>1096</v>
      </c>
      <c r="D3" s="381" t="s">
        <v>1097</v>
      </c>
      <c r="G3" t="s">
        <v>1109</v>
      </c>
    </row>
    <row r="4" spans="1:14" x14ac:dyDescent="0.25">
      <c r="A4" s="382" t="s">
        <v>299</v>
      </c>
      <c r="B4" s="383" t="s">
        <v>300</v>
      </c>
      <c r="C4" s="384">
        <f>D4/(1+D$17/100)</f>
        <v>6.8913238233064567</v>
      </c>
      <c r="D4" s="385">
        <v>10</v>
      </c>
    </row>
    <row r="5" spans="1:14" x14ac:dyDescent="0.25">
      <c r="A5" s="386" t="s">
        <v>301</v>
      </c>
      <c r="B5" s="387">
        <v>1.1499999999999999</v>
      </c>
      <c r="C5" s="384">
        <f>1.07</f>
        <v>1.07</v>
      </c>
      <c r="D5" s="388">
        <v>1.56</v>
      </c>
    </row>
    <row r="6" spans="1:14" x14ac:dyDescent="0.25">
      <c r="A6" s="386" t="s">
        <v>302</v>
      </c>
      <c r="B6" s="389" t="s">
        <v>303</v>
      </c>
      <c r="C6" s="384">
        <v>0.5</v>
      </c>
      <c r="D6" s="388">
        <f>C6*(1+D$17/100)</f>
        <v>0.72555000000000003</v>
      </c>
    </row>
    <row r="7" spans="1:14" x14ac:dyDescent="0.25">
      <c r="A7" s="386" t="s">
        <v>1099</v>
      </c>
      <c r="B7" s="389" t="s">
        <v>304</v>
      </c>
      <c r="C7" s="384">
        <v>0.1</v>
      </c>
      <c r="D7" s="388">
        <f>C7*(1+D$17/100)</f>
        <v>0.14511000000000002</v>
      </c>
    </row>
    <row r="8" spans="1:14" x14ac:dyDescent="0.25">
      <c r="A8" s="390"/>
      <c r="B8" s="391" t="s">
        <v>1046</v>
      </c>
      <c r="C8" s="392">
        <f t="shared" ref="C8:D8" si="0">SUM(C4:C7)</f>
        <v>8.5613238233064575</v>
      </c>
      <c r="D8" s="393">
        <f t="shared" si="0"/>
        <v>12.430660000000001</v>
      </c>
    </row>
    <row r="9" spans="1:14" x14ac:dyDescent="0.25">
      <c r="A9" s="642" t="s">
        <v>305</v>
      </c>
      <c r="B9" s="643"/>
      <c r="C9" s="380" t="s">
        <v>1096</v>
      </c>
      <c r="D9" s="381" t="s">
        <v>1097</v>
      </c>
    </row>
    <row r="10" spans="1:14" x14ac:dyDescent="0.25">
      <c r="A10" s="394" t="s">
        <v>1146</v>
      </c>
      <c r="B10" s="383" t="s">
        <v>300</v>
      </c>
      <c r="C10" s="384">
        <f>D10/(1+D$17/100)</f>
        <v>8.269588587967748</v>
      </c>
      <c r="D10" s="388">
        <v>12</v>
      </c>
    </row>
    <row r="11" spans="1:14" x14ac:dyDescent="0.25">
      <c r="A11" s="395"/>
      <c r="B11" s="391" t="s">
        <v>1047</v>
      </c>
      <c r="C11" s="392">
        <f t="shared" ref="C11:D11" si="1">C10</f>
        <v>8.269588587967748</v>
      </c>
      <c r="D11" s="393">
        <f t="shared" si="1"/>
        <v>12</v>
      </c>
    </row>
    <row r="12" spans="1:14" x14ac:dyDescent="0.25">
      <c r="A12" s="642" t="s">
        <v>307</v>
      </c>
      <c r="B12" s="643"/>
      <c r="C12" s="380" t="s">
        <v>1096</v>
      </c>
      <c r="D12" s="396" t="s">
        <v>1097</v>
      </c>
    </row>
    <row r="13" spans="1:14" x14ac:dyDescent="0.25">
      <c r="A13" s="394" t="s">
        <v>308</v>
      </c>
      <c r="B13" s="397" t="s">
        <v>309</v>
      </c>
      <c r="C13" s="384">
        <v>1.65</v>
      </c>
      <c r="D13" s="385">
        <f>C13*(1+D$17/100)</f>
        <v>2.3943149999999997</v>
      </c>
    </row>
    <row r="14" spans="1:14" x14ac:dyDescent="0.25">
      <c r="A14" s="398" t="s">
        <v>310</v>
      </c>
      <c r="B14" s="399" t="s">
        <v>311</v>
      </c>
      <c r="C14" s="384">
        <v>7.6</v>
      </c>
      <c r="D14" s="388">
        <f>C14*(1+D$17/100)</f>
        <v>11.028359999999999</v>
      </c>
    </row>
    <row r="15" spans="1:14" x14ac:dyDescent="0.25">
      <c r="A15" s="398" t="s">
        <v>1100</v>
      </c>
      <c r="B15" s="399" t="s">
        <v>312</v>
      </c>
      <c r="C15" s="384">
        <v>5</v>
      </c>
      <c r="D15" s="388">
        <f>C15*(1+D$17/100)</f>
        <v>7.2555000000000005</v>
      </c>
    </row>
    <row r="16" spans="1:14" x14ac:dyDescent="0.25">
      <c r="A16" s="395"/>
      <c r="B16" s="400" t="s">
        <v>1048</v>
      </c>
      <c r="C16" s="392">
        <f>SUM(C13:C15)</f>
        <v>14.25</v>
      </c>
      <c r="D16" s="401">
        <v>20.68</v>
      </c>
    </row>
    <row r="17" spans="1:4" x14ac:dyDescent="0.25">
      <c r="A17" s="644" t="s">
        <v>1049</v>
      </c>
      <c r="B17" s="644"/>
      <c r="C17" s="402">
        <f>C8+C11+C16</f>
        <v>31.080912411274205</v>
      </c>
      <c r="D17" s="403">
        <v>45.11</v>
      </c>
    </row>
    <row r="18" spans="1:4" ht="26.25" customHeight="1" x14ac:dyDescent="0.25">
      <c r="A18" s="633" t="s">
        <v>1147</v>
      </c>
      <c r="B18" s="634"/>
      <c r="C18" s="635"/>
      <c r="D18" s="636"/>
    </row>
  </sheetData>
  <mergeCells count="8">
    <mergeCell ref="G2:N2"/>
    <mergeCell ref="A18:D18"/>
    <mergeCell ref="A2:B2"/>
    <mergeCell ref="C2:D2"/>
    <mergeCell ref="A3:B3"/>
    <mergeCell ref="A9:B9"/>
    <mergeCell ref="A12:B12"/>
    <mergeCell ref="A17:B17"/>
  </mergeCells>
  <pageMargins left="0.511811024" right="0.511811024" top="0.78740157499999996" bottom="0.78740157499999996" header="0.31496062000000002" footer="0.3149606200000000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6">
    <tabColor theme="9"/>
    <pageSetUpPr fitToPage="1"/>
  </sheetPr>
  <dimension ref="A1:K55"/>
  <sheetViews>
    <sheetView zoomScale="85" zoomScaleNormal="85" workbookViewId="0">
      <selection activeCell="E15" sqref="E15"/>
    </sheetView>
  </sheetViews>
  <sheetFormatPr defaultRowHeight="15" x14ac:dyDescent="0.25"/>
  <cols>
    <col min="1" max="2" width="9.7109375" bestFit="1" customWidth="1"/>
    <col min="3" max="3" width="98.140625" bestFit="1" customWidth="1"/>
    <col min="4" max="4" width="10.85546875" bestFit="1" customWidth="1"/>
    <col min="5" max="5" width="15.140625" bestFit="1" customWidth="1"/>
    <col min="6" max="6" width="16.28515625" bestFit="1" customWidth="1"/>
    <col min="7" max="7" width="16.5703125" bestFit="1" customWidth="1"/>
    <col min="8" max="9" width="17.7109375" customWidth="1"/>
    <col min="10" max="10" width="12.85546875" customWidth="1"/>
    <col min="11" max="11" width="22.140625" bestFit="1" customWidth="1"/>
  </cols>
  <sheetData>
    <row r="1" spans="1:11" ht="51.75" x14ac:dyDescent="0.25">
      <c r="A1" s="30" t="s">
        <v>29</v>
      </c>
      <c r="B1" s="30" t="s">
        <v>881</v>
      </c>
      <c r="C1" s="30" t="s">
        <v>15</v>
      </c>
      <c r="D1" s="30" t="s">
        <v>680</v>
      </c>
      <c r="E1" s="30" t="s">
        <v>768</v>
      </c>
      <c r="F1" s="30" t="s">
        <v>769</v>
      </c>
      <c r="G1" s="30" t="s">
        <v>770</v>
      </c>
      <c r="H1" s="30" t="s">
        <v>963</v>
      </c>
      <c r="I1" s="30" t="s">
        <v>964</v>
      </c>
      <c r="J1" s="30" t="s">
        <v>771</v>
      </c>
      <c r="K1" s="30" t="s">
        <v>772</v>
      </c>
    </row>
    <row r="2" spans="1:11" x14ac:dyDescent="0.25">
      <c r="A2" s="196">
        <v>65</v>
      </c>
      <c r="B2" s="197" t="s">
        <v>882</v>
      </c>
      <c r="C2" s="198" t="s">
        <v>883</v>
      </c>
      <c r="D2" s="199"/>
      <c r="E2" s="199"/>
      <c r="F2" s="198"/>
      <c r="G2" s="198"/>
      <c r="H2" s="198"/>
      <c r="I2" s="198"/>
      <c r="J2" s="198"/>
      <c r="K2" s="198"/>
    </row>
    <row r="3" spans="1:11" x14ac:dyDescent="0.25">
      <c r="A3" s="200" t="s">
        <v>1050</v>
      </c>
      <c r="B3" s="201" t="s">
        <v>882</v>
      </c>
      <c r="C3" s="202" t="s">
        <v>884</v>
      </c>
      <c r="D3" s="203"/>
      <c r="E3" s="204"/>
      <c r="F3" s="205"/>
      <c r="G3" s="205"/>
      <c r="H3" s="206"/>
      <c r="I3" s="206"/>
      <c r="J3" s="207"/>
      <c r="K3" s="208"/>
    </row>
    <row r="4" spans="1:11" x14ac:dyDescent="0.25">
      <c r="A4" s="252" t="s">
        <v>1051</v>
      </c>
      <c r="B4" s="127" t="s">
        <v>882</v>
      </c>
      <c r="C4" s="254" t="s">
        <v>885</v>
      </c>
      <c r="D4" s="128" t="s">
        <v>886</v>
      </c>
      <c r="E4" s="129">
        <v>1500</v>
      </c>
      <c r="F4" s="130">
        <v>45748</v>
      </c>
      <c r="G4" s="130">
        <v>45839</v>
      </c>
      <c r="H4" s="131">
        <f>Listas!$AI$3</f>
        <v>303.67500000000001</v>
      </c>
      <c r="I4" s="131">
        <f>Listas!$AJ$3</f>
        <v>303.56299999999999</v>
      </c>
      <c r="J4" s="132">
        <f>ROUND(I4/H4-1, 5)</f>
        <v>-3.6999999999999999E-4</v>
      </c>
      <c r="K4" s="133">
        <f>ROUND(E4*(1+J4),2)</f>
        <v>1499.45</v>
      </c>
    </row>
    <row r="5" spans="1:11" x14ac:dyDescent="0.25">
      <c r="A5" s="252" t="s">
        <v>1052</v>
      </c>
      <c r="B5" s="127" t="s">
        <v>882</v>
      </c>
      <c r="C5" s="254" t="s">
        <v>887</v>
      </c>
      <c r="D5" s="128" t="s">
        <v>411</v>
      </c>
      <c r="E5" s="129">
        <v>95</v>
      </c>
      <c r="F5" s="130">
        <v>45748</v>
      </c>
      <c r="G5" s="130">
        <v>45839</v>
      </c>
      <c r="H5" s="131">
        <f>Listas!$AI$3</f>
        <v>303.67500000000001</v>
      </c>
      <c r="I5" s="131">
        <f>Listas!$AJ$3</f>
        <v>303.56299999999999</v>
      </c>
      <c r="J5" s="132">
        <f t="shared" ref="J5:J6" si="0">ROUND(I5/H5-1, 5)</f>
        <v>-3.6999999999999999E-4</v>
      </c>
      <c r="K5" s="133">
        <f>ROUND(E5*(1+J5),2)</f>
        <v>94.96</v>
      </c>
    </row>
    <row r="6" spans="1:11" x14ac:dyDescent="0.25">
      <c r="A6" s="252" t="s">
        <v>1053</v>
      </c>
      <c r="B6" s="127" t="s">
        <v>882</v>
      </c>
      <c r="C6" s="254" t="s">
        <v>888</v>
      </c>
      <c r="D6" s="128" t="s">
        <v>886</v>
      </c>
      <c r="E6" s="129">
        <v>300</v>
      </c>
      <c r="F6" s="130">
        <v>45748</v>
      </c>
      <c r="G6" s="130">
        <v>45839</v>
      </c>
      <c r="H6" s="131">
        <f>Listas!$AI$3</f>
        <v>303.67500000000001</v>
      </c>
      <c r="I6" s="131">
        <f>Listas!$AJ$3</f>
        <v>303.56299999999999</v>
      </c>
      <c r="J6" s="132">
        <f t="shared" si="0"/>
        <v>-3.6999999999999999E-4</v>
      </c>
      <c r="K6" s="133">
        <f>ROUND(E6*(1+J6),2)</f>
        <v>299.89</v>
      </c>
    </row>
    <row r="7" spans="1:11" x14ac:dyDescent="0.25">
      <c r="A7" s="210" t="s">
        <v>960</v>
      </c>
      <c r="B7" s="201" t="s">
        <v>882</v>
      </c>
      <c r="C7" s="202" t="s">
        <v>889</v>
      </c>
      <c r="D7" s="203"/>
      <c r="E7" s="204"/>
      <c r="F7" s="205"/>
      <c r="G7" s="205"/>
      <c r="H7" s="131"/>
      <c r="I7" s="131"/>
      <c r="J7" s="207"/>
      <c r="K7" s="208"/>
    </row>
    <row r="8" spans="1:11" x14ac:dyDescent="0.25">
      <c r="A8" s="252" t="s">
        <v>1054</v>
      </c>
      <c r="B8" s="127" t="s">
        <v>882</v>
      </c>
      <c r="C8" s="254" t="s">
        <v>890</v>
      </c>
      <c r="D8" s="128" t="s">
        <v>886</v>
      </c>
      <c r="E8" s="129">
        <v>500</v>
      </c>
      <c r="F8" s="130">
        <v>45748</v>
      </c>
      <c r="G8" s="130">
        <v>45839</v>
      </c>
      <c r="H8" s="131">
        <f>Listas!$AI$3</f>
        <v>303.67500000000001</v>
      </c>
      <c r="I8" s="131">
        <f>Listas!$AJ$3</f>
        <v>303.56299999999999</v>
      </c>
      <c r="J8" s="132">
        <f>ROUND(I8/H8-1, 5)</f>
        <v>-3.6999999999999999E-4</v>
      </c>
      <c r="K8" s="133">
        <f>ROUND(E8*(1+J8),2)</f>
        <v>499.82</v>
      </c>
    </row>
    <row r="9" spans="1:11" x14ac:dyDescent="0.25">
      <c r="A9" s="252" t="s">
        <v>1055</v>
      </c>
      <c r="B9" s="127" t="s">
        <v>882</v>
      </c>
      <c r="C9" s="254" t="s">
        <v>891</v>
      </c>
      <c r="D9" s="128" t="s">
        <v>411</v>
      </c>
      <c r="E9" s="129">
        <v>75</v>
      </c>
      <c r="F9" s="130">
        <v>45748</v>
      </c>
      <c r="G9" s="130">
        <v>45839</v>
      </c>
      <c r="H9" s="131">
        <f>Listas!$AI$3</f>
        <v>303.67500000000001</v>
      </c>
      <c r="I9" s="131">
        <f>Listas!$AJ$3</f>
        <v>303.56299999999999</v>
      </c>
      <c r="J9" s="132">
        <f>ROUND(I9/H9-1, 5)</f>
        <v>-3.6999999999999999E-4</v>
      </c>
      <c r="K9" s="133">
        <f>ROUND(E9*(1+J9),2)</f>
        <v>74.97</v>
      </c>
    </row>
    <row r="10" spans="1:11" s="134" customFormat="1" x14ac:dyDescent="0.25">
      <c r="A10" s="210" t="s">
        <v>961</v>
      </c>
      <c r="B10" s="201" t="s">
        <v>882</v>
      </c>
      <c r="C10" s="202" t="s">
        <v>892</v>
      </c>
      <c r="D10" s="211"/>
      <c r="E10" s="212"/>
      <c r="F10" s="213"/>
      <c r="G10" s="213"/>
      <c r="H10" s="131"/>
      <c r="I10" s="131"/>
      <c r="J10" s="214"/>
      <c r="K10" s="215"/>
    </row>
    <row r="11" spans="1:11" s="134" customFormat="1" x14ac:dyDescent="0.25">
      <c r="A11" s="252" t="s">
        <v>1056</v>
      </c>
      <c r="B11" s="216" t="s">
        <v>882</v>
      </c>
      <c r="C11" s="254" t="s">
        <v>893</v>
      </c>
      <c r="D11" s="211" t="s">
        <v>411</v>
      </c>
      <c r="E11" s="212">
        <v>150</v>
      </c>
      <c r="F11" s="130">
        <v>45748</v>
      </c>
      <c r="G11" s="130">
        <v>45839</v>
      </c>
      <c r="H11" s="131">
        <f>Listas!$AI$3</f>
        <v>303.67500000000001</v>
      </c>
      <c r="I11" s="131">
        <f>Listas!$AJ$3</f>
        <v>303.56299999999999</v>
      </c>
      <c r="J11" s="132">
        <f>ROUND(I11/H11-1, 5)</f>
        <v>-3.6999999999999999E-4</v>
      </c>
      <c r="K11" s="133">
        <f>ROUND(E11*(1+J11),2)</f>
        <v>149.94</v>
      </c>
    </row>
    <row r="12" spans="1:11" x14ac:dyDescent="0.25">
      <c r="A12" s="210" t="s">
        <v>962</v>
      </c>
      <c r="B12" s="201" t="s">
        <v>882</v>
      </c>
      <c r="C12" s="202" t="s">
        <v>894</v>
      </c>
      <c r="D12" s="203"/>
      <c r="E12" s="204"/>
      <c r="F12" s="205"/>
      <c r="G12" s="205"/>
      <c r="H12" s="131"/>
      <c r="I12" s="131"/>
      <c r="J12" s="207"/>
      <c r="K12" s="208"/>
    </row>
    <row r="13" spans="1:11" x14ac:dyDescent="0.25">
      <c r="A13" s="252" t="s">
        <v>1057</v>
      </c>
      <c r="B13" s="127" t="s">
        <v>882</v>
      </c>
      <c r="C13" s="254" t="s">
        <v>895</v>
      </c>
      <c r="D13" s="128" t="s">
        <v>886</v>
      </c>
      <c r="E13" s="129">
        <v>3000</v>
      </c>
      <c r="F13" s="130">
        <v>45748</v>
      </c>
      <c r="G13" s="130">
        <v>45839</v>
      </c>
      <c r="H13" s="131">
        <f>Listas!$AI$3</f>
        <v>303.67500000000001</v>
      </c>
      <c r="I13" s="131">
        <f>Listas!$AJ$3</f>
        <v>303.56299999999999</v>
      </c>
      <c r="J13" s="132">
        <f>ROUND(I13/H13-1, 5)</f>
        <v>-3.6999999999999999E-4</v>
      </c>
      <c r="K13" s="133">
        <f>ROUND(E13*(1+J13),2)</f>
        <v>2998.89</v>
      </c>
    </row>
    <row r="14" spans="1:11" x14ac:dyDescent="0.25">
      <c r="A14" s="252" t="s">
        <v>1058</v>
      </c>
      <c r="B14" s="127" t="s">
        <v>882</v>
      </c>
      <c r="C14" s="254" t="s">
        <v>896</v>
      </c>
      <c r="D14" s="128" t="s">
        <v>886</v>
      </c>
      <c r="E14" s="129">
        <v>600</v>
      </c>
      <c r="F14" s="130">
        <v>45748</v>
      </c>
      <c r="G14" s="130">
        <v>45839</v>
      </c>
      <c r="H14" s="131">
        <f>Listas!$AI$3</f>
        <v>303.67500000000001</v>
      </c>
      <c r="I14" s="131">
        <f>Listas!$AJ$3</f>
        <v>303.56299999999999</v>
      </c>
      <c r="J14" s="132">
        <f>ROUND(I14/H14-1, 5)</f>
        <v>-3.6999999999999999E-4</v>
      </c>
      <c r="K14" s="133">
        <f>ROUND(E14*(1+J14),2)</f>
        <v>599.78</v>
      </c>
    </row>
    <row r="15" spans="1:11" x14ac:dyDescent="0.25">
      <c r="A15" s="252" t="s">
        <v>1059</v>
      </c>
      <c r="B15" s="127" t="s">
        <v>882</v>
      </c>
      <c r="C15" s="256" t="s">
        <v>897</v>
      </c>
      <c r="D15" s="188" t="s">
        <v>411</v>
      </c>
      <c r="E15" s="29">
        <v>220</v>
      </c>
      <c r="F15" s="130">
        <v>45748</v>
      </c>
      <c r="G15" s="130">
        <v>45839</v>
      </c>
      <c r="H15" s="131">
        <f>Listas!$AI$3</f>
        <v>303.67500000000001</v>
      </c>
      <c r="I15" s="131">
        <f>Listas!$AJ$3</f>
        <v>303.56299999999999</v>
      </c>
      <c r="J15" s="132">
        <f>ROUND(I15/H15-1, 5)</f>
        <v>-3.6999999999999999E-4</v>
      </c>
      <c r="K15" s="133">
        <f>ROUND(E15*(1+J15),2)</f>
        <v>219.92</v>
      </c>
    </row>
    <row r="16" spans="1:11" x14ac:dyDescent="0.25">
      <c r="A16" s="252" t="s">
        <v>1060</v>
      </c>
      <c r="B16" s="127" t="s">
        <v>882</v>
      </c>
      <c r="C16" s="256" t="s">
        <v>898</v>
      </c>
      <c r="D16" s="188" t="s">
        <v>411</v>
      </c>
      <c r="E16" s="29">
        <v>220</v>
      </c>
      <c r="F16" s="130">
        <v>45748</v>
      </c>
      <c r="G16" s="130">
        <v>45839</v>
      </c>
      <c r="H16" s="131">
        <f>Listas!$AI$3</f>
        <v>303.67500000000001</v>
      </c>
      <c r="I16" s="131">
        <f>Listas!$AJ$3</f>
        <v>303.56299999999999</v>
      </c>
      <c r="J16" s="132">
        <f>ROUND(I16/H16-1, 5)</f>
        <v>-3.6999999999999999E-4</v>
      </c>
      <c r="K16" s="133">
        <f>ROUND(E16*(1+J16),2)</f>
        <v>219.92</v>
      </c>
    </row>
    <row r="17" spans="1:11" x14ac:dyDescent="0.25">
      <c r="A17" s="209" t="s">
        <v>899</v>
      </c>
      <c r="B17" s="127" t="s">
        <v>882</v>
      </c>
      <c r="C17" s="131" t="s">
        <v>900</v>
      </c>
      <c r="D17" s="188" t="s">
        <v>411</v>
      </c>
      <c r="E17" s="29">
        <v>519</v>
      </c>
      <c r="F17" s="130">
        <v>45748</v>
      </c>
      <c r="G17" s="130">
        <v>45839</v>
      </c>
      <c r="H17" s="131"/>
      <c r="I17" s="131"/>
      <c r="J17" s="132"/>
      <c r="K17" s="133"/>
    </row>
    <row r="18" spans="1:11" x14ac:dyDescent="0.25">
      <c r="A18" s="210" t="s">
        <v>1157</v>
      </c>
      <c r="B18" s="201" t="s">
        <v>882</v>
      </c>
      <c r="C18" s="202" t="s">
        <v>1158</v>
      </c>
      <c r="D18" s="128"/>
      <c r="E18" s="129"/>
      <c r="F18" s="130"/>
      <c r="G18" s="130"/>
      <c r="H18" s="131"/>
      <c r="I18" s="131"/>
      <c r="J18" s="132"/>
      <c r="K18" s="133"/>
    </row>
    <row r="19" spans="1:11" x14ac:dyDescent="0.25">
      <c r="A19" s="252" t="s">
        <v>1159</v>
      </c>
      <c r="B19" s="127" t="s">
        <v>882</v>
      </c>
      <c r="C19" s="256" t="s">
        <v>1160</v>
      </c>
      <c r="D19" s="128" t="s">
        <v>1161</v>
      </c>
      <c r="E19" s="129">
        <v>2200</v>
      </c>
      <c r="F19" s="130">
        <v>45748</v>
      </c>
      <c r="G19" s="130">
        <v>45839</v>
      </c>
      <c r="H19" s="131">
        <f>Listas!$AI$3</f>
        <v>303.67500000000001</v>
      </c>
      <c r="I19" s="131">
        <f>Listas!$AJ$3</f>
        <v>303.56299999999999</v>
      </c>
      <c r="J19" s="132">
        <f>ROUND(I19/H19-1, 5)</f>
        <v>-3.6999999999999999E-4</v>
      </c>
      <c r="K19" s="133">
        <f>ROUND(E19*(1+J19),2)</f>
        <v>2199.19</v>
      </c>
    </row>
    <row r="20" spans="1:11" x14ac:dyDescent="0.25">
      <c r="A20" s="252" t="s">
        <v>1162</v>
      </c>
      <c r="B20" s="127" t="s">
        <v>882</v>
      </c>
      <c r="C20" s="256" t="s">
        <v>1163</v>
      </c>
      <c r="D20" s="128" t="s">
        <v>1161</v>
      </c>
      <c r="E20" s="129">
        <v>1800</v>
      </c>
      <c r="F20" s="130">
        <v>45748</v>
      </c>
      <c r="G20" s="130">
        <v>45839</v>
      </c>
      <c r="H20" s="131">
        <f>Listas!$AI$3</f>
        <v>303.67500000000001</v>
      </c>
      <c r="I20" s="131">
        <f>Listas!$AJ$3</f>
        <v>303.56299999999999</v>
      </c>
      <c r="J20" s="132">
        <f>ROUND(I20/H20-1, 5)</f>
        <v>-3.6999999999999999E-4</v>
      </c>
      <c r="K20" s="133">
        <f>ROUND(E20*(1+J20),2)</f>
        <v>1799.33</v>
      </c>
    </row>
    <row r="21" spans="1:11" x14ac:dyDescent="0.25">
      <c r="A21" s="252" t="s">
        <v>1164</v>
      </c>
      <c r="B21" s="127" t="s">
        <v>882</v>
      </c>
      <c r="C21" s="256" t="s">
        <v>1165</v>
      </c>
      <c r="D21" s="128" t="s">
        <v>1161</v>
      </c>
      <c r="E21" s="129">
        <v>900</v>
      </c>
      <c r="F21" s="130">
        <v>45748</v>
      </c>
      <c r="G21" s="130">
        <v>45839</v>
      </c>
      <c r="H21" s="131">
        <f>Listas!$AI$3</f>
        <v>303.67500000000001</v>
      </c>
      <c r="I21" s="131">
        <f>Listas!$AJ$3</f>
        <v>303.56299999999999</v>
      </c>
      <c r="J21" s="132">
        <f>ROUND(I21/H21-1, 5)</f>
        <v>-3.6999999999999999E-4</v>
      </c>
      <c r="K21" s="133">
        <f>ROUND(E21*(1+J21),2)</f>
        <v>899.67</v>
      </c>
    </row>
    <row r="22" spans="1:11" x14ac:dyDescent="0.25">
      <c r="A22" s="196" t="s">
        <v>1061</v>
      </c>
      <c r="B22" s="197" t="s">
        <v>882</v>
      </c>
      <c r="C22" s="198" t="s">
        <v>901</v>
      </c>
      <c r="D22" s="199"/>
      <c r="E22" s="199"/>
      <c r="F22" s="198"/>
      <c r="G22" s="198"/>
      <c r="H22" s="198"/>
      <c r="I22" s="198"/>
      <c r="J22" s="198"/>
      <c r="K22" s="198"/>
    </row>
    <row r="23" spans="1:11" x14ac:dyDescent="0.25">
      <c r="A23" s="200" t="s">
        <v>1062</v>
      </c>
      <c r="B23" s="201" t="s">
        <v>882</v>
      </c>
      <c r="C23" s="202" t="s">
        <v>902</v>
      </c>
      <c r="D23" s="203"/>
      <c r="E23" s="204"/>
      <c r="F23" s="205"/>
      <c r="G23" s="205"/>
      <c r="H23" s="206"/>
      <c r="I23" s="206"/>
      <c r="J23" s="207"/>
      <c r="K23" s="208"/>
    </row>
    <row r="24" spans="1:11" x14ac:dyDescent="0.25">
      <c r="A24" s="258" t="s">
        <v>1063</v>
      </c>
      <c r="B24" s="127" t="s">
        <v>882</v>
      </c>
      <c r="C24" s="257" t="s">
        <v>903</v>
      </c>
      <c r="D24" s="128" t="s">
        <v>1161</v>
      </c>
      <c r="E24" s="217">
        <v>30</v>
      </c>
      <c r="F24" s="130">
        <v>45748</v>
      </c>
      <c r="G24" s="130">
        <v>45839</v>
      </c>
      <c r="H24" s="131">
        <f>Listas!$AI$3</f>
        <v>303.67500000000001</v>
      </c>
      <c r="I24" s="131">
        <f>Listas!$AJ$3</f>
        <v>303.56299999999999</v>
      </c>
      <c r="J24" s="132">
        <f t="shared" ref="J24:J55" si="1">ROUND(I24/H24-1, 5)</f>
        <v>-3.6999999999999999E-4</v>
      </c>
      <c r="K24" s="133">
        <f t="shared" ref="K24:K55" si="2">ROUND(E24*(1+J24),2)</f>
        <v>29.99</v>
      </c>
    </row>
    <row r="25" spans="1:11" x14ac:dyDescent="0.25">
      <c r="A25" s="258" t="s">
        <v>1064</v>
      </c>
      <c r="B25" s="127" t="s">
        <v>882</v>
      </c>
      <c r="C25" s="257" t="s">
        <v>904</v>
      </c>
      <c r="D25" s="128" t="s">
        <v>1161</v>
      </c>
      <c r="E25" s="217">
        <v>246.58</v>
      </c>
      <c r="F25" s="130">
        <v>45748</v>
      </c>
      <c r="G25" s="130">
        <v>45839</v>
      </c>
      <c r="H25" s="131">
        <f>Listas!$AI$3</f>
        <v>303.67500000000001</v>
      </c>
      <c r="I25" s="131">
        <f>Listas!$AJ$3</f>
        <v>303.56299999999999</v>
      </c>
      <c r="J25" s="132">
        <f t="shared" si="1"/>
        <v>-3.6999999999999999E-4</v>
      </c>
      <c r="K25" s="133">
        <f t="shared" si="2"/>
        <v>246.49</v>
      </c>
    </row>
    <row r="26" spans="1:11" x14ac:dyDescent="0.25">
      <c r="A26" s="258" t="s">
        <v>1065</v>
      </c>
      <c r="B26" s="127" t="s">
        <v>882</v>
      </c>
      <c r="C26" s="257" t="s">
        <v>905</v>
      </c>
      <c r="D26" s="128" t="s">
        <v>1161</v>
      </c>
      <c r="E26" s="217">
        <v>117.7</v>
      </c>
      <c r="F26" s="130">
        <v>45748</v>
      </c>
      <c r="G26" s="130">
        <v>45839</v>
      </c>
      <c r="H26" s="131">
        <f>Listas!$AI$3</f>
        <v>303.67500000000001</v>
      </c>
      <c r="I26" s="131">
        <f>Listas!$AJ$3</f>
        <v>303.56299999999999</v>
      </c>
      <c r="J26" s="132">
        <f t="shared" si="1"/>
        <v>-3.6999999999999999E-4</v>
      </c>
      <c r="K26" s="133">
        <f t="shared" si="2"/>
        <v>117.66</v>
      </c>
    </row>
    <row r="27" spans="1:11" x14ac:dyDescent="0.25">
      <c r="A27" s="258" t="s">
        <v>1066</v>
      </c>
      <c r="B27" s="127" t="s">
        <v>882</v>
      </c>
      <c r="C27" s="257" t="s">
        <v>906</v>
      </c>
      <c r="D27" s="128" t="s">
        <v>1161</v>
      </c>
      <c r="E27" s="217">
        <v>150</v>
      </c>
      <c r="F27" s="130">
        <v>45748</v>
      </c>
      <c r="G27" s="130">
        <v>45839</v>
      </c>
      <c r="H27" s="131">
        <f>Listas!$AI$3</f>
        <v>303.67500000000001</v>
      </c>
      <c r="I27" s="131">
        <f>Listas!$AJ$3</f>
        <v>303.56299999999999</v>
      </c>
      <c r="J27" s="132">
        <f t="shared" si="1"/>
        <v>-3.6999999999999999E-4</v>
      </c>
      <c r="K27" s="133">
        <f t="shared" si="2"/>
        <v>149.94</v>
      </c>
    </row>
    <row r="28" spans="1:11" x14ac:dyDescent="0.25">
      <c r="A28" s="258" t="s">
        <v>1067</v>
      </c>
      <c r="B28" s="127" t="s">
        <v>882</v>
      </c>
      <c r="C28" s="257" t="s">
        <v>907</v>
      </c>
      <c r="D28" s="128" t="s">
        <v>1161</v>
      </c>
      <c r="E28" s="217">
        <v>150</v>
      </c>
      <c r="F28" s="130">
        <v>45748</v>
      </c>
      <c r="G28" s="130">
        <v>45839</v>
      </c>
      <c r="H28" s="131">
        <f>Listas!$AI$3</f>
        <v>303.67500000000001</v>
      </c>
      <c r="I28" s="131">
        <f>Listas!$AJ$3</f>
        <v>303.56299999999999</v>
      </c>
      <c r="J28" s="132">
        <f t="shared" si="1"/>
        <v>-3.6999999999999999E-4</v>
      </c>
      <c r="K28" s="133">
        <f t="shared" si="2"/>
        <v>149.94</v>
      </c>
    </row>
    <row r="29" spans="1:11" x14ac:dyDescent="0.25">
      <c r="A29" s="258" t="s">
        <v>1068</v>
      </c>
      <c r="B29" s="127" t="s">
        <v>882</v>
      </c>
      <c r="C29" s="257" t="s">
        <v>908</v>
      </c>
      <c r="D29" s="128" t="s">
        <v>1161</v>
      </c>
      <c r="E29" s="217">
        <v>150</v>
      </c>
      <c r="F29" s="130">
        <v>45748</v>
      </c>
      <c r="G29" s="130">
        <v>45839</v>
      </c>
      <c r="H29" s="131">
        <f>Listas!$AI$3</f>
        <v>303.67500000000001</v>
      </c>
      <c r="I29" s="131">
        <f>Listas!$AJ$3</f>
        <v>303.56299999999999</v>
      </c>
      <c r="J29" s="132">
        <f t="shared" si="1"/>
        <v>-3.6999999999999999E-4</v>
      </c>
      <c r="K29" s="133">
        <f t="shared" si="2"/>
        <v>149.94</v>
      </c>
    </row>
    <row r="30" spans="1:11" x14ac:dyDescent="0.25">
      <c r="A30" s="258" t="s">
        <v>1069</v>
      </c>
      <c r="B30" s="127" t="s">
        <v>882</v>
      </c>
      <c r="C30" s="257" t="s">
        <v>909</v>
      </c>
      <c r="D30" s="128" t="s">
        <v>1161</v>
      </c>
      <c r="E30" s="217">
        <v>250</v>
      </c>
      <c r="F30" s="130">
        <v>45748</v>
      </c>
      <c r="G30" s="130">
        <v>45839</v>
      </c>
      <c r="H30" s="131">
        <f>Listas!$AI$3</f>
        <v>303.67500000000001</v>
      </c>
      <c r="I30" s="131">
        <f>Listas!$AJ$3</f>
        <v>303.56299999999999</v>
      </c>
      <c r="J30" s="132">
        <f t="shared" si="1"/>
        <v>-3.6999999999999999E-4</v>
      </c>
      <c r="K30" s="133">
        <f t="shared" si="2"/>
        <v>249.91</v>
      </c>
    </row>
    <row r="31" spans="1:11" x14ac:dyDescent="0.25">
      <c r="A31" s="258" t="s">
        <v>1070</v>
      </c>
      <c r="B31" s="127" t="s">
        <v>882</v>
      </c>
      <c r="C31" s="257" t="s">
        <v>910</v>
      </c>
      <c r="D31" s="128" t="s">
        <v>1161</v>
      </c>
      <c r="E31" s="217">
        <v>200</v>
      </c>
      <c r="F31" s="130">
        <v>45748</v>
      </c>
      <c r="G31" s="130">
        <v>45839</v>
      </c>
      <c r="H31" s="131">
        <f>Listas!$AI$3</f>
        <v>303.67500000000001</v>
      </c>
      <c r="I31" s="131">
        <f>Listas!$AJ$3</f>
        <v>303.56299999999999</v>
      </c>
      <c r="J31" s="132">
        <f t="shared" si="1"/>
        <v>-3.6999999999999999E-4</v>
      </c>
      <c r="K31" s="133">
        <f t="shared" si="2"/>
        <v>199.93</v>
      </c>
    </row>
    <row r="32" spans="1:11" x14ac:dyDescent="0.25">
      <c r="A32" s="258" t="s">
        <v>1071</v>
      </c>
      <c r="B32" s="127" t="s">
        <v>882</v>
      </c>
      <c r="C32" s="257" t="s">
        <v>911</v>
      </c>
      <c r="D32" s="128" t="s">
        <v>1161</v>
      </c>
      <c r="E32" s="217">
        <v>200</v>
      </c>
      <c r="F32" s="130">
        <v>45748</v>
      </c>
      <c r="G32" s="130">
        <v>45839</v>
      </c>
      <c r="H32" s="131">
        <f>Listas!$AI$3</f>
        <v>303.67500000000001</v>
      </c>
      <c r="I32" s="131">
        <f>Listas!$AJ$3</f>
        <v>303.56299999999999</v>
      </c>
      <c r="J32" s="132">
        <f t="shared" si="1"/>
        <v>-3.6999999999999999E-4</v>
      </c>
      <c r="K32" s="133">
        <f t="shared" si="2"/>
        <v>199.93</v>
      </c>
    </row>
    <row r="33" spans="1:11" x14ac:dyDescent="0.25">
      <c r="A33" s="258" t="s">
        <v>1072</v>
      </c>
      <c r="B33" s="127" t="s">
        <v>882</v>
      </c>
      <c r="C33" s="259" t="s">
        <v>912</v>
      </c>
      <c r="D33" s="128" t="s">
        <v>1161</v>
      </c>
      <c r="E33" s="218">
        <v>320</v>
      </c>
      <c r="F33" s="130">
        <v>45748</v>
      </c>
      <c r="G33" s="130">
        <v>45839</v>
      </c>
      <c r="H33" s="131">
        <f>Listas!$AI$3</f>
        <v>303.67500000000001</v>
      </c>
      <c r="I33" s="131">
        <f>Listas!$AJ$3</f>
        <v>303.56299999999999</v>
      </c>
      <c r="J33" s="132">
        <f t="shared" si="1"/>
        <v>-3.6999999999999999E-4</v>
      </c>
      <c r="K33" s="133">
        <f t="shared" si="2"/>
        <v>319.88</v>
      </c>
    </row>
    <row r="34" spans="1:11" x14ac:dyDescent="0.25">
      <c r="A34" s="258" t="s">
        <v>1073</v>
      </c>
      <c r="B34" s="127" t="s">
        <v>882</v>
      </c>
      <c r="C34" s="259" t="s">
        <v>913</v>
      </c>
      <c r="D34" s="128" t="s">
        <v>1161</v>
      </c>
      <c r="E34" s="218">
        <v>156.4</v>
      </c>
      <c r="F34" s="130">
        <v>45748</v>
      </c>
      <c r="G34" s="130">
        <v>45839</v>
      </c>
      <c r="H34" s="131">
        <f>Listas!$AI$3</f>
        <v>303.67500000000001</v>
      </c>
      <c r="I34" s="131">
        <f>Listas!$AJ$3</f>
        <v>303.56299999999999</v>
      </c>
      <c r="J34" s="132">
        <f t="shared" si="1"/>
        <v>-3.6999999999999999E-4</v>
      </c>
      <c r="K34" s="133">
        <f t="shared" si="2"/>
        <v>156.34</v>
      </c>
    </row>
    <row r="35" spans="1:11" x14ac:dyDescent="0.25">
      <c r="A35" s="258" t="s">
        <v>1074</v>
      </c>
      <c r="B35" s="127" t="s">
        <v>882</v>
      </c>
      <c r="C35" s="259" t="s">
        <v>914</v>
      </c>
      <c r="D35" s="128" t="s">
        <v>1161</v>
      </c>
      <c r="E35" s="218">
        <v>310</v>
      </c>
      <c r="F35" s="130">
        <v>45748</v>
      </c>
      <c r="G35" s="130">
        <v>45839</v>
      </c>
      <c r="H35" s="131">
        <f>Listas!$AI$3</f>
        <v>303.67500000000001</v>
      </c>
      <c r="I35" s="131">
        <f>Listas!$AJ$3</f>
        <v>303.56299999999999</v>
      </c>
      <c r="J35" s="132">
        <f t="shared" si="1"/>
        <v>-3.6999999999999999E-4</v>
      </c>
      <c r="K35" s="133">
        <f t="shared" si="2"/>
        <v>309.89</v>
      </c>
    </row>
    <row r="36" spans="1:11" x14ac:dyDescent="0.25">
      <c r="A36" s="258" t="s">
        <v>1075</v>
      </c>
      <c r="B36" s="127" t="s">
        <v>882</v>
      </c>
      <c r="C36" s="257" t="s">
        <v>915</v>
      </c>
      <c r="D36" s="128" t="s">
        <v>1161</v>
      </c>
      <c r="E36" s="217">
        <v>350</v>
      </c>
      <c r="F36" s="130">
        <v>45748</v>
      </c>
      <c r="G36" s="130">
        <v>45839</v>
      </c>
      <c r="H36" s="131">
        <f>Listas!$AI$3</f>
        <v>303.67500000000001</v>
      </c>
      <c r="I36" s="131">
        <f>Listas!$AJ$3</f>
        <v>303.56299999999999</v>
      </c>
      <c r="J36" s="132">
        <f t="shared" si="1"/>
        <v>-3.6999999999999999E-4</v>
      </c>
      <c r="K36" s="133">
        <f t="shared" si="2"/>
        <v>349.87</v>
      </c>
    </row>
    <row r="37" spans="1:11" x14ac:dyDescent="0.25">
      <c r="A37" s="258" t="s">
        <v>1076</v>
      </c>
      <c r="B37" s="127" t="s">
        <v>882</v>
      </c>
      <c r="C37" s="257" t="s">
        <v>916</v>
      </c>
      <c r="D37" s="128" t="s">
        <v>1161</v>
      </c>
      <c r="E37" s="217">
        <v>280</v>
      </c>
      <c r="F37" s="130">
        <v>45748</v>
      </c>
      <c r="G37" s="130">
        <v>45839</v>
      </c>
      <c r="H37" s="131">
        <f>Listas!$AI$3</f>
        <v>303.67500000000001</v>
      </c>
      <c r="I37" s="131">
        <f>Listas!$AJ$3</f>
        <v>303.56299999999999</v>
      </c>
      <c r="J37" s="132">
        <f t="shared" si="1"/>
        <v>-3.6999999999999999E-4</v>
      </c>
      <c r="K37" s="133">
        <f t="shared" si="2"/>
        <v>279.89999999999998</v>
      </c>
    </row>
    <row r="38" spans="1:11" x14ac:dyDescent="0.25">
      <c r="A38" s="258" t="s">
        <v>1077</v>
      </c>
      <c r="B38" s="127" t="s">
        <v>882</v>
      </c>
      <c r="C38" s="257" t="s">
        <v>917</v>
      </c>
      <c r="D38" s="128" t="s">
        <v>1161</v>
      </c>
      <c r="E38" s="217">
        <v>300</v>
      </c>
      <c r="F38" s="130">
        <v>45748</v>
      </c>
      <c r="G38" s="130">
        <v>45839</v>
      </c>
      <c r="H38" s="131">
        <f>Listas!$AI$3</f>
        <v>303.67500000000001</v>
      </c>
      <c r="I38" s="131">
        <f>Listas!$AJ$3</f>
        <v>303.56299999999999</v>
      </c>
      <c r="J38" s="132">
        <f t="shared" si="1"/>
        <v>-3.6999999999999999E-4</v>
      </c>
      <c r="K38" s="133">
        <f t="shared" si="2"/>
        <v>299.89</v>
      </c>
    </row>
    <row r="39" spans="1:11" x14ac:dyDescent="0.25">
      <c r="A39" s="258" t="s">
        <v>1078</v>
      </c>
      <c r="B39" s="127" t="s">
        <v>882</v>
      </c>
      <c r="C39" s="257" t="s">
        <v>918</v>
      </c>
      <c r="D39" s="128" t="s">
        <v>1161</v>
      </c>
      <c r="E39" s="217">
        <v>445</v>
      </c>
      <c r="F39" s="130">
        <v>45748</v>
      </c>
      <c r="G39" s="130">
        <v>45839</v>
      </c>
      <c r="H39" s="131">
        <f>Listas!$AI$3</f>
        <v>303.67500000000001</v>
      </c>
      <c r="I39" s="131">
        <f>Listas!$AJ$3</f>
        <v>303.56299999999999</v>
      </c>
      <c r="J39" s="132">
        <f t="shared" si="1"/>
        <v>-3.6999999999999999E-4</v>
      </c>
      <c r="K39" s="133">
        <f t="shared" si="2"/>
        <v>444.84</v>
      </c>
    </row>
    <row r="40" spans="1:11" x14ac:dyDescent="0.25">
      <c r="A40" s="258" t="s">
        <v>1079</v>
      </c>
      <c r="B40" s="127" t="s">
        <v>882</v>
      </c>
      <c r="C40" s="257" t="s">
        <v>919</v>
      </c>
      <c r="D40" s="128" t="s">
        <v>1161</v>
      </c>
      <c r="E40" s="217">
        <v>320.47000000000003</v>
      </c>
      <c r="F40" s="130">
        <v>45748</v>
      </c>
      <c r="G40" s="130">
        <v>45839</v>
      </c>
      <c r="H40" s="131">
        <f>Listas!$AI$3</f>
        <v>303.67500000000001</v>
      </c>
      <c r="I40" s="131">
        <f>Listas!$AJ$3</f>
        <v>303.56299999999999</v>
      </c>
      <c r="J40" s="132">
        <f t="shared" si="1"/>
        <v>-3.6999999999999999E-4</v>
      </c>
      <c r="K40" s="133">
        <f t="shared" si="2"/>
        <v>320.35000000000002</v>
      </c>
    </row>
    <row r="41" spans="1:11" x14ac:dyDescent="0.25">
      <c r="A41" s="258" t="s">
        <v>1080</v>
      </c>
      <c r="B41" s="127" t="s">
        <v>882</v>
      </c>
      <c r="C41" s="257" t="s">
        <v>920</v>
      </c>
      <c r="D41" s="128" t="s">
        <v>1161</v>
      </c>
      <c r="E41" s="217">
        <v>320.47000000000003</v>
      </c>
      <c r="F41" s="130">
        <v>45748</v>
      </c>
      <c r="G41" s="130">
        <v>45839</v>
      </c>
      <c r="H41" s="131">
        <f>Listas!$AI$3</f>
        <v>303.67500000000001</v>
      </c>
      <c r="I41" s="131">
        <f>Listas!$AJ$3</f>
        <v>303.56299999999999</v>
      </c>
      <c r="J41" s="132">
        <f t="shared" si="1"/>
        <v>-3.6999999999999999E-4</v>
      </c>
      <c r="K41" s="133">
        <f t="shared" si="2"/>
        <v>320.35000000000002</v>
      </c>
    </row>
    <row r="42" spans="1:11" x14ac:dyDescent="0.25">
      <c r="A42" s="258" t="s">
        <v>1081</v>
      </c>
      <c r="B42" s="127" t="s">
        <v>882</v>
      </c>
      <c r="C42" s="257" t="s">
        <v>921</v>
      </c>
      <c r="D42" s="128" t="s">
        <v>1161</v>
      </c>
      <c r="E42" s="217">
        <v>400</v>
      </c>
      <c r="F42" s="130">
        <v>45748</v>
      </c>
      <c r="G42" s="130">
        <v>45839</v>
      </c>
      <c r="H42" s="131">
        <f>Listas!$AI$3</f>
        <v>303.67500000000001</v>
      </c>
      <c r="I42" s="131">
        <f>Listas!$AJ$3</f>
        <v>303.56299999999999</v>
      </c>
      <c r="J42" s="132">
        <f t="shared" si="1"/>
        <v>-3.6999999999999999E-4</v>
      </c>
      <c r="K42" s="133">
        <f t="shared" si="2"/>
        <v>399.85</v>
      </c>
    </row>
    <row r="43" spans="1:11" x14ac:dyDescent="0.25">
      <c r="A43" s="258" t="s">
        <v>1082</v>
      </c>
      <c r="B43" s="127" t="s">
        <v>882</v>
      </c>
      <c r="C43" s="257" t="s">
        <v>1166</v>
      </c>
      <c r="D43" s="128" t="s">
        <v>1161</v>
      </c>
      <c r="E43" s="217">
        <v>1238.05</v>
      </c>
      <c r="F43" s="130">
        <v>45748</v>
      </c>
      <c r="G43" s="130">
        <v>45839</v>
      </c>
      <c r="H43" s="131">
        <f>Listas!$AI$3</f>
        <v>303.67500000000001</v>
      </c>
      <c r="I43" s="131">
        <f>Listas!$AJ$3</f>
        <v>303.56299999999999</v>
      </c>
      <c r="J43" s="132">
        <f t="shared" si="1"/>
        <v>-3.6999999999999999E-4</v>
      </c>
      <c r="K43" s="133">
        <f t="shared" si="2"/>
        <v>1237.5899999999999</v>
      </c>
    </row>
    <row r="44" spans="1:11" x14ac:dyDescent="0.25">
      <c r="A44" s="258" t="s">
        <v>1083</v>
      </c>
      <c r="B44" s="127" t="s">
        <v>882</v>
      </c>
      <c r="C44" s="257" t="s">
        <v>1167</v>
      </c>
      <c r="D44" s="128" t="s">
        <v>1161</v>
      </c>
      <c r="E44" s="217">
        <v>2550</v>
      </c>
      <c r="F44" s="130">
        <v>45748</v>
      </c>
      <c r="G44" s="130">
        <v>45839</v>
      </c>
      <c r="H44" s="131">
        <f>Listas!$AI$3</f>
        <v>303.67500000000001</v>
      </c>
      <c r="I44" s="131">
        <f>Listas!$AJ$3</f>
        <v>303.56299999999999</v>
      </c>
      <c r="J44" s="132">
        <f t="shared" si="1"/>
        <v>-3.6999999999999999E-4</v>
      </c>
      <c r="K44" s="133">
        <f t="shared" si="2"/>
        <v>2549.06</v>
      </c>
    </row>
    <row r="45" spans="1:11" x14ac:dyDescent="0.25">
      <c r="A45" s="258" t="s">
        <v>1084</v>
      </c>
      <c r="B45" s="127" t="s">
        <v>882</v>
      </c>
      <c r="C45" s="259" t="s">
        <v>1168</v>
      </c>
      <c r="D45" s="128" t="s">
        <v>1161</v>
      </c>
      <c r="E45" s="218">
        <v>3960</v>
      </c>
      <c r="F45" s="130">
        <v>45748</v>
      </c>
      <c r="G45" s="130">
        <v>45839</v>
      </c>
      <c r="H45" s="131">
        <f>Listas!$AI$3</f>
        <v>303.67500000000001</v>
      </c>
      <c r="I45" s="131">
        <f>Listas!$AJ$3</f>
        <v>303.56299999999999</v>
      </c>
      <c r="J45" s="132">
        <f t="shared" si="1"/>
        <v>-3.6999999999999999E-4</v>
      </c>
      <c r="K45" s="133">
        <f t="shared" si="2"/>
        <v>3958.53</v>
      </c>
    </row>
    <row r="46" spans="1:11" x14ac:dyDescent="0.25">
      <c r="A46" s="258" t="s">
        <v>1085</v>
      </c>
      <c r="B46" s="127" t="s">
        <v>882</v>
      </c>
      <c r="C46" s="259" t="s">
        <v>1169</v>
      </c>
      <c r="D46" s="128" t="s">
        <v>1161</v>
      </c>
      <c r="E46" s="218">
        <v>4050</v>
      </c>
      <c r="F46" s="130">
        <v>45748</v>
      </c>
      <c r="G46" s="130">
        <v>45839</v>
      </c>
      <c r="H46" s="131">
        <f>Listas!$AI$3</f>
        <v>303.67500000000001</v>
      </c>
      <c r="I46" s="131">
        <f>Listas!$AJ$3</f>
        <v>303.56299999999999</v>
      </c>
      <c r="J46" s="132">
        <f t="shared" si="1"/>
        <v>-3.6999999999999999E-4</v>
      </c>
      <c r="K46" s="133">
        <f t="shared" si="2"/>
        <v>4048.5</v>
      </c>
    </row>
    <row r="47" spans="1:11" x14ac:dyDescent="0.25">
      <c r="A47" s="258" t="s">
        <v>1086</v>
      </c>
      <c r="B47" s="127" t="s">
        <v>882</v>
      </c>
      <c r="C47" s="259" t="s">
        <v>1170</v>
      </c>
      <c r="D47" s="128" t="s">
        <v>1161</v>
      </c>
      <c r="E47" s="218">
        <v>3960</v>
      </c>
      <c r="F47" s="130">
        <v>45748</v>
      </c>
      <c r="G47" s="130">
        <v>45839</v>
      </c>
      <c r="H47" s="131">
        <f>Listas!$AI$3</f>
        <v>303.67500000000001</v>
      </c>
      <c r="I47" s="131">
        <f>Listas!$AJ$3</f>
        <v>303.56299999999999</v>
      </c>
      <c r="J47" s="132">
        <f t="shared" si="1"/>
        <v>-3.6999999999999999E-4</v>
      </c>
      <c r="K47" s="133">
        <f t="shared" si="2"/>
        <v>3958.53</v>
      </c>
    </row>
    <row r="48" spans="1:11" x14ac:dyDescent="0.25">
      <c r="A48" s="258" t="s">
        <v>1087</v>
      </c>
      <c r="B48" s="127" t="s">
        <v>882</v>
      </c>
      <c r="C48" s="257" t="s">
        <v>1171</v>
      </c>
      <c r="D48" s="128" t="s">
        <v>1161</v>
      </c>
      <c r="E48" s="217">
        <v>5250</v>
      </c>
      <c r="F48" s="130">
        <v>45748</v>
      </c>
      <c r="G48" s="130">
        <v>45839</v>
      </c>
      <c r="H48" s="131">
        <f>Listas!$AI$3</f>
        <v>303.67500000000001</v>
      </c>
      <c r="I48" s="131">
        <f>Listas!$AJ$3</f>
        <v>303.56299999999999</v>
      </c>
      <c r="J48" s="132">
        <f t="shared" si="1"/>
        <v>-3.6999999999999999E-4</v>
      </c>
      <c r="K48" s="133">
        <f t="shared" si="2"/>
        <v>5248.06</v>
      </c>
    </row>
    <row r="49" spans="1:11" x14ac:dyDescent="0.25">
      <c r="A49" s="258" t="s">
        <v>1088</v>
      </c>
      <c r="B49" s="127" t="s">
        <v>882</v>
      </c>
      <c r="C49" s="257" t="s">
        <v>1172</v>
      </c>
      <c r="D49" s="128" t="s">
        <v>1161</v>
      </c>
      <c r="E49" s="217">
        <v>1140.54</v>
      </c>
      <c r="F49" s="130">
        <v>45748</v>
      </c>
      <c r="G49" s="130">
        <v>45839</v>
      </c>
      <c r="H49" s="131">
        <f>Listas!$AI$3</f>
        <v>303.67500000000001</v>
      </c>
      <c r="I49" s="131">
        <f>Listas!$AJ$3</f>
        <v>303.56299999999999</v>
      </c>
      <c r="J49" s="132">
        <f t="shared" si="1"/>
        <v>-3.6999999999999999E-4</v>
      </c>
      <c r="K49" s="133">
        <f t="shared" si="2"/>
        <v>1140.1199999999999</v>
      </c>
    </row>
    <row r="50" spans="1:11" x14ac:dyDescent="0.25">
      <c r="A50" s="258" t="s">
        <v>1089</v>
      </c>
      <c r="B50" s="127" t="s">
        <v>882</v>
      </c>
      <c r="C50" s="257" t="s">
        <v>1173</v>
      </c>
      <c r="D50" s="128" t="s">
        <v>1161</v>
      </c>
      <c r="E50" s="217">
        <v>1200</v>
      </c>
      <c r="F50" s="130">
        <v>45748</v>
      </c>
      <c r="G50" s="130">
        <v>45839</v>
      </c>
      <c r="H50" s="131">
        <f>Listas!$AI$3</f>
        <v>303.67500000000001</v>
      </c>
      <c r="I50" s="131">
        <f>Listas!$AJ$3</f>
        <v>303.56299999999999</v>
      </c>
      <c r="J50" s="132">
        <f t="shared" si="1"/>
        <v>-3.6999999999999999E-4</v>
      </c>
      <c r="K50" s="133">
        <f t="shared" si="2"/>
        <v>1199.56</v>
      </c>
    </row>
    <row r="51" spans="1:11" x14ac:dyDescent="0.25">
      <c r="A51" s="258" t="s">
        <v>1090</v>
      </c>
      <c r="B51" s="127" t="s">
        <v>882</v>
      </c>
      <c r="C51" s="257" t="s">
        <v>1174</v>
      </c>
      <c r="D51" s="128" t="s">
        <v>1161</v>
      </c>
      <c r="E51" s="217">
        <v>3000</v>
      </c>
      <c r="F51" s="130">
        <v>45748</v>
      </c>
      <c r="G51" s="130">
        <v>45839</v>
      </c>
      <c r="H51" s="131">
        <f>Listas!$AI$3</f>
        <v>303.67500000000001</v>
      </c>
      <c r="I51" s="131">
        <f>Listas!$AJ$3</f>
        <v>303.56299999999999</v>
      </c>
      <c r="J51" s="132">
        <f t="shared" si="1"/>
        <v>-3.6999999999999999E-4</v>
      </c>
      <c r="K51" s="133">
        <f t="shared" si="2"/>
        <v>2998.89</v>
      </c>
    </row>
    <row r="52" spans="1:11" x14ac:dyDescent="0.25">
      <c r="A52" s="258" t="s">
        <v>1091</v>
      </c>
      <c r="B52" s="127" t="s">
        <v>882</v>
      </c>
      <c r="C52" s="257" t="s">
        <v>1175</v>
      </c>
      <c r="D52" s="128" t="s">
        <v>1161</v>
      </c>
      <c r="E52" s="217">
        <v>3800</v>
      </c>
      <c r="F52" s="130">
        <v>45748</v>
      </c>
      <c r="G52" s="130">
        <v>45839</v>
      </c>
      <c r="H52" s="131">
        <f>Listas!$AI$3</f>
        <v>303.67500000000001</v>
      </c>
      <c r="I52" s="131">
        <f>Listas!$AJ$3</f>
        <v>303.56299999999999</v>
      </c>
      <c r="J52" s="132">
        <f t="shared" si="1"/>
        <v>-3.6999999999999999E-4</v>
      </c>
      <c r="K52" s="133">
        <f t="shared" si="2"/>
        <v>3798.59</v>
      </c>
    </row>
    <row r="53" spans="1:11" x14ac:dyDescent="0.25">
      <c r="A53" s="258" t="s">
        <v>1092</v>
      </c>
      <c r="B53" s="127" t="s">
        <v>882</v>
      </c>
      <c r="C53" s="257" t="s">
        <v>1176</v>
      </c>
      <c r="D53" s="128" t="s">
        <v>1161</v>
      </c>
      <c r="E53" s="217">
        <v>4600</v>
      </c>
      <c r="F53" s="130">
        <v>45748</v>
      </c>
      <c r="G53" s="130">
        <v>45839</v>
      </c>
      <c r="H53" s="131">
        <f>Listas!$AI$3</f>
        <v>303.67500000000001</v>
      </c>
      <c r="I53" s="131">
        <f>Listas!$AJ$3</f>
        <v>303.56299999999999</v>
      </c>
      <c r="J53" s="132">
        <f t="shared" si="1"/>
        <v>-3.6999999999999999E-4</v>
      </c>
      <c r="K53" s="133">
        <f t="shared" si="2"/>
        <v>4598.3</v>
      </c>
    </row>
    <row r="54" spans="1:11" x14ac:dyDescent="0.25">
      <c r="A54" s="258" t="s">
        <v>1093</v>
      </c>
      <c r="B54" s="127" t="s">
        <v>882</v>
      </c>
      <c r="C54" s="257" t="s">
        <v>1177</v>
      </c>
      <c r="D54" s="128" t="s">
        <v>1161</v>
      </c>
      <c r="E54" s="217">
        <v>3570</v>
      </c>
      <c r="F54" s="130">
        <v>45748</v>
      </c>
      <c r="G54" s="130">
        <v>45839</v>
      </c>
      <c r="H54" s="131">
        <f>Listas!$AI$3</f>
        <v>303.67500000000001</v>
      </c>
      <c r="I54" s="131">
        <f>Listas!$AJ$3</f>
        <v>303.56299999999999</v>
      </c>
      <c r="J54" s="132">
        <f t="shared" si="1"/>
        <v>-3.6999999999999999E-4</v>
      </c>
      <c r="K54" s="133">
        <f t="shared" si="2"/>
        <v>3568.68</v>
      </c>
    </row>
    <row r="55" spans="1:11" x14ac:dyDescent="0.25">
      <c r="A55" s="258" t="s">
        <v>1094</v>
      </c>
      <c r="B55" s="127" t="s">
        <v>882</v>
      </c>
      <c r="C55" s="257" t="s">
        <v>1178</v>
      </c>
      <c r="D55" s="128" t="s">
        <v>1161</v>
      </c>
      <c r="E55" s="217">
        <v>4200</v>
      </c>
      <c r="F55" s="130">
        <v>45748</v>
      </c>
      <c r="G55" s="130">
        <v>45839</v>
      </c>
      <c r="H55" s="131">
        <f>Listas!$AI$3</f>
        <v>303.67500000000001</v>
      </c>
      <c r="I55" s="131">
        <f>Listas!$AJ$3</f>
        <v>303.56299999999999</v>
      </c>
      <c r="J55" s="132">
        <f t="shared" si="1"/>
        <v>-3.6999999999999999E-4</v>
      </c>
      <c r="K55" s="133">
        <f t="shared" si="2"/>
        <v>4198.45</v>
      </c>
    </row>
  </sheetData>
  <pageMargins left="0.511811024" right="0.511811024" top="0.78740157499999996" bottom="0.78740157499999996" header="0.31496062000000002" footer="0.31496062000000002"/>
  <pageSetup paperSize="9" scale="55"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FC75"/>
  <sheetViews>
    <sheetView showGridLines="0" view="pageBreakPreview" zoomScale="115" zoomScaleNormal="100" zoomScaleSheetLayoutView="115" workbookViewId="0">
      <selection activeCell="C16" sqref="C16"/>
    </sheetView>
  </sheetViews>
  <sheetFormatPr defaultColWidth="0" defaultRowHeight="15" customHeight="1" x14ac:dyDescent="0.25"/>
  <cols>
    <col min="1" max="1" width="1.7109375" style="2" customWidth="1"/>
    <col min="2" max="2" width="9.85546875" style="2" bestFit="1" customWidth="1"/>
    <col min="3" max="3" width="7.28515625" style="2" customWidth="1"/>
    <col min="4" max="4" width="45" style="2" customWidth="1"/>
    <col min="5" max="5" width="15.85546875" style="2" customWidth="1"/>
    <col min="6" max="6" width="16.42578125" style="2" bestFit="1" customWidth="1"/>
    <col min="7" max="7" width="15" style="2" bestFit="1" customWidth="1"/>
    <col min="8" max="8" width="1.7109375" style="2" customWidth="1"/>
    <col min="9" max="16383" width="9.140625" style="2" hidden="1"/>
    <col min="16384" max="16384" width="1.28515625" style="2" customWidth="1"/>
  </cols>
  <sheetData>
    <row r="1" spans="2:7" ht="9" customHeight="1" x14ac:dyDescent="0.25"/>
    <row r="2" spans="2:7" ht="34.5" customHeight="1" x14ac:dyDescent="0.25"/>
    <row r="3" spans="2:7" ht="34.5" customHeight="1" x14ac:dyDescent="0.25"/>
    <row r="4" spans="2:7" ht="3" customHeight="1" x14ac:dyDescent="0.25"/>
    <row r="5" spans="2:7" x14ac:dyDescent="0.25">
      <c r="B5" s="23" t="s">
        <v>0</v>
      </c>
      <c r="C5" s="548" t="str">
        <f>Sumario!C5</f>
        <v>Contratação de Projeto Executivo de Engenharia para Implantação do Aeródromo no município de Nova Andradina</v>
      </c>
      <c r="D5" s="548"/>
      <c r="E5" s="548"/>
      <c r="F5" s="548"/>
      <c r="G5" s="548"/>
    </row>
    <row r="6" spans="2:7" x14ac:dyDescent="0.25">
      <c r="B6" s="5" t="s">
        <v>862</v>
      </c>
      <c r="C6" s="1" t="str">
        <f>Sumario!C6</f>
        <v>Nova Andradina/MS</v>
      </c>
    </row>
    <row r="7" spans="2:7" x14ac:dyDescent="0.25">
      <c r="B7" s="5" t="s">
        <v>863</v>
      </c>
      <c r="C7" s="1" t="str">
        <f>Sumario!C7</f>
        <v>Nova Andradina/MS</v>
      </c>
    </row>
    <row r="8" spans="2:7" x14ac:dyDescent="0.25">
      <c r="B8" s="5" t="s">
        <v>1</v>
      </c>
      <c r="C8" s="239">
        <f>Sumario!C8</f>
        <v>1.7</v>
      </c>
      <c r="D8" s="2" t="s">
        <v>1132</v>
      </c>
      <c r="F8" s="5" t="s">
        <v>16</v>
      </c>
      <c r="G8" s="6" t="str">
        <f>Sumario!J8</f>
        <v>79.010.182-2025</v>
      </c>
    </row>
    <row r="9" spans="2:7" x14ac:dyDescent="0.25">
      <c r="B9" s="5" t="s">
        <v>2</v>
      </c>
      <c r="C9" s="264">
        <f>Sumario!C9</f>
        <v>365</v>
      </c>
      <c r="D9" s="2" t="s">
        <v>4</v>
      </c>
      <c r="F9" s="5" t="s">
        <v>17</v>
      </c>
      <c r="G9" s="265">
        <f>Sumario!J9</f>
        <v>45748</v>
      </c>
    </row>
    <row r="10" spans="2:7" x14ac:dyDescent="0.25">
      <c r="B10" s="5" t="s">
        <v>723</v>
      </c>
      <c r="C10" s="566">
        <f>Orcamento!C10</f>
        <v>0.4511</v>
      </c>
      <c r="D10" s="566"/>
      <c r="F10" s="5"/>
      <c r="G10" s="6"/>
    </row>
    <row r="12" spans="2:7" s="11" customFormat="1" ht="21" x14ac:dyDescent="0.25">
      <c r="B12" s="547" t="s">
        <v>1140</v>
      </c>
      <c r="C12" s="547"/>
      <c r="D12" s="547"/>
      <c r="E12" s="547"/>
      <c r="F12" s="547"/>
      <c r="G12" s="547"/>
    </row>
    <row r="13" spans="2:7" ht="7.5" customHeight="1" x14ac:dyDescent="0.25"/>
    <row r="14" spans="2:7" ht="30" customHeight="1" x14ac:dyDescent="0.25">
      <c r="B14" s="562" t="s">
        <v>19</v>
      </c>
      <c r="C14" s="564" t="s">
        <v>15</v>
      </c>
      <c r="D14" s="565"/>
      <c r="E14" s="360" t="s">
        <v>717</v>
      </c>
      <c r="F14" s="360" t="s">
        <v>718</v>
      </c>
      <c r="G14" s="562" t="s">
        <v>414</v>
      </c>
    </row>
    <row r="15" spans="2:7" ht="15" customHeight="1" x14ac:dyDescent="0.25">
      <c r="B15" s="562"/>
      <c r="C15" s="564"/>
      <c r="D15" s="565"/>
      <c r="E15" s="360" t="s">
        <v>363</v>
      </c>
      <c r="F15" s="360" t="s">
        <v>719</v>
      </c>
      <c r="G15" s="562"/>
    </row>
    <row r="16" spans="2:7" ht="15" customHeight="1" x14ac:dyDescent="0.25">
      <c r="B16" s="427" t="s">
        <v>1202</v>
      </c>
      <c r="C16" s="428" t="s">
        <v>1105</v>
      </c>
      <c r="D16" s="429"/>
      <c r="E16" s="430">
        <f ca="1">Orcamento!E60</f>
        <v>43660.959999999999</v>
      </c>
      <c r="F16" s="430">
        <f ca="1">Orcamento!F60</f>
        <v>63356.419055999999</v>
      </c>
      <c r="G16" s="431">
        <f t="shared" ref="G16:G50" ca="1" si="0">F16/$F$51</f>
        <v>0.1616364286866504</v>
      </c>
    </row>
    <row r="17" spans="2:7" ht="15" customHeight="1" x14ac:dyDescent="0.25">
      <c r="B17" s="427" t="s">
        <v>486</v>
      </c>
      <c r="C17" s="428" t="s">
        <v>1225</v>
      </c>
      <c r="D17" s="429"/>
      <c r="E17" s="430">
        <f ca="1">Orcamento!E24</f>
        <v>20165.489999999998</v>
      </c>
      <c r="F17" s="430">
        <f ca="1">Orcamento!F24</f>
        <v>29262.14</v>
      </c>
      <c r="G17" s="431">
        <f t="shared" ca="1" si="0"/>
        <v>7.4654279326426903E-2</v>
      </c>
    </row>
    <row r="18" spans="2:7" ht="15" customHeight="1" x14ac:dyDescent="0.25">
      <c r="B18" s="427" t="s">
        <v>621</v>
      </c>
      <c r="C18" s="428" t="s">
        <v>559</v>
      </c>
      <c r="D18" s="429"/>
      <c r="E18" s="430">
        <f ca="1">Orcamento!E27</f>
        <v>21455.69</v>
      </c>
      <c r="F18" s="430">
        <f ca="1">Orcamento!F27</f>
        <v>31134.35</v>
      </c>
      <c r="G18" s="431">
        <f t="shared" ca="1" si="0"/>
        <v>7.9430706761253259E-2</v>
      </c>
    </row>
    <row r="19" spans="2:7" ht="15" customHeight="1" x14ac:dyDescent="0.25">
      <c r="B19" s="427" t="s">
        <v>1206</v>
      </c>
      <c r="C19" s="428" t="s">
        <v>1188</v>
      </c>
      <c r="D19" s="429"/>
      <c r="E19" s="430">
        <f ca="1">Orcamento!E56</f>
        <v>20233.349999999999</v>
      </c>
      <c r="F19" s="430">
        <f ca="1">Orcamento!F56</f>
        <v>29360.61</v>
      </c>
      <c r="G19" s="431">
        <f t="shared" ca="1" si="0"/>
        <v>7.4905498372104126E-2</v>
      </c>
    </row>
    <row r="20" spans="2:7" ht="15" customHeight="1" x14ac:dyDescent="0.25">
      <c r="B20" s="427" t="s">
        <v>943</v>
      </c>
      <c r="C20" s="428" t="s">
        <v>580</v>
      </c>
      <c r="D20" s="429"/>
      <c r="E20" s="430">
        <f ca="1">Orcamento!E40</f>
        <v>15588.140000000003</v>
      </c>
      <c r="F20" s="430">
        <f ca="1">Orcamento!F40</f>
        <v>22619.94</v>
      </c>
      <c r="G20" s="431">
        <f t="shared" ca="1" si="0"/>
        <v>5.7708538032659844E-2</v>
      </c>
    </row>
    <row r="21" spans="2:7" ht="15" customHeight="1" x14ac:dyDescent="0.25">
      <c r="B21" s="427" t="s">
        <v>485</v>
      </c>
      <c r="C21" s="428" t="s">
        <v>211</v>
      </c>
      <c r="D21" s="429"/>
      <c r="E21" s="430">
        <f ca="1">Orcamento!E23</f>
        <v>12904.869999999999</v>
      </c>
      <c r="F21" s="430">
        <f ca="1">Orcamento!F23</f>
        <v>18726.25</v>
      </c>
      <c r="G21" s="431">
        <f t="shared" ca="1" si="0"/>
        <v>4.7774861928638911E-2</v>
      </c>
    </row>
    <row r="22" spans="2:7" ht="15" customHeight="1" x14ac:dyDescent="0.25">
      <c r="B22" s="427" t="s">
        <v>954</v>
      </c>
      <c r="C22" s="428" t="s">
        <v>925</v>
      </c>
      <c r="D22" s="429"/>
      <c r="E22" s="430">
        <f ca="1">Orcamento!E51</f>
        <v>11412.89</v>
      </c>
      <c r="F22" s="430">
        <f ca="1">Orcamento!F51</f>
        <v>16561.240000000002</v>
      </c>
      <c r="G22" s="431">
        <f t="shared" ca="1" si="0"/>
        <v>4.2251436051908522E-2</v>
      </c>
    </row>
    <row r="23" spans="2:7" ht="15" customHeight="1" x14ac:dyDescent="0.25">
      <c r="B23" s="110" t="s">
        <v>935</v>
      </c>
      <c r="C23" s="539" t="s">
        <v>541</v>
      </c>
      <c r="D23" s="540"/>
      <c r="E23" s="180">
        <f ca="1">Orcamento!E30</f>
        <v>10227.07</v>
      </c>
      <c r="F23" s="180">
        <f ca="1">Orcamento!F30</f>
        <v>14840.5</v>
      </c>
      <c r="G23" s="541">
        <f t="shared" ca="1" si="0"/>
        <v>3.7861442544661415E-2</v>
      </c>
    </row>
    <row r="24" spans="2:7" ht="15" customHeight="1" x14ac:dyDescent="0.25">
      <c r="B24" s="110" t="s">
        <v>936</v>
      </c>
      <c r="C24" s="539" t="s">
        <v>782</v>
      </c>
      <c r="D24" s="540"/>
      <c r="E24" s="180">
        <f ca="1">Orcamento!E31</f>
        <v>10227.07</v>
      </c>
      <c r="F24" s="180">
        <f ca="1">Orcamento!F31</f>
        <v>14840.5</v>
      </c>
      <c r="G24" s="541">
        <f t="shared" ca="1" si="0"/>
        <v>3.7861442544661415E-2</v>
      </c>
    </row>
    <row r="25" spans="2:7" ht="15" customHeight="1" x14ac:dyDescent="0.25">
      <c r="B25" s="110" t="s">
        <v>428</v>
      </c>
      <c r="C25" s="423" t="s">
        <v>721</v>
      </c>
      <c r="D25" s="424"/>
      <c r="E25" s="26">
        <f ca="1">Orcamento!E19</f>
        <v>7985.33</v>
      </c>
      <c r="F25" s="26">
        <f ca="1">Orcamento!F19</f>
        <v>11587.51</v>
      </c>
      <c r="G25" s="268">
        <f t="shared" ca="1" si="0"/>
        <v>2.9562335777142925E-2</v>
      </c>
    </row>
    <row r="26" spans="2:7" ht="15" customHeight="1" x14ac:dyDescent="0.25">
      <c r="B26" s="110" t="s">
        <v>1007</v>
      </c>
      <c r="C26" s="423" t="s">
        <v>1187</v>
      </c>
      <c r="D26" s="424"/>
      <c r="E26" s="26">
        <f ca="1">Orcamento!E54</f>
        <v>7953.9499999999989</v>
      </c>
      <c r="F26" s="26">
        <f ca="1">Orcamento!F54</f>
        <v>11541.97</v>
      </c>
      <c r="G26" s="268">
        <f t="shared" ca="1" si="0"/>
        <v>2.944615302767465E-2</v>
      </c>
    </row>
    <row r="27" spans="2:7" ht="15" customHeight="1" x14ac:dyDescent="0.25">
      <c r="B27" s="110" t="s">
        <v>946</v>
      </c>
      <c r="C27" s="423" t="s">
        <v>214</v>
      </c>
      <c r="D27" s="424"/>
      <c r="E27" s="26">
        <f ca="1">Orcamento!E43</f>
        <v>6818.0499999999993</v>
      </c>
      <c r="F27" s="26">
        <f ca="1">Orcamento!F43</f>
        <v>9893.67</v>
      </c>
      <c r="G27" s="268">
        <f t="shared" ca="1" si="0"/>
        <v>2.5240970200521566E-2</v>
      </c>
    </row>
    <row r="28" spans="2:7" ht="15" customHeight="1" x14ac:dyDescent="0.25">
      <c r="B28" s="110" t="s">
        <v>947</v>
      </c>
      <c r="C28" s="423" t="s">
        <v>783</v>
      </c>
      <c r="D28" s="424"/>
      <c r="E28" s="26">
        <f ca="1">Orcamento!E44</f>
        <v>6818.0499999999993</v>
      </c>
      <c r="F28" s="26">
        <f ca="1">Orcamento!F44</f>
        <v>9893.67</v>
      </c>
      <c r="G28" s="268">
        <f t="shared" ca="1" si="0"/>
        <v>2.5240970200521566E-2</v>
      </c>
    </row>
    <row r="29" spans="2:7" ht="15" customHeight="1" x14ac:dyDescent="0.25">
      <c r="B29" s="110" t="s">
        <v>937</v>
      </c>
      <c r="C29" s="423" t="s">
        <v>542</v>
      </c>
      <c r="D29" s="424"/>
      <c r="E29" s="26">
        <f ca="1">Orcamento!E32</f>
        <v>6316.71</v>
      </c>
      <c r="F29" s="26">
        <f ca="1">Orcamento!F32</f>
        <v>9166.17</v>
      </c>
      <c r="G29" s="268">
        <f t="shared" ca="1" si="0"/>
        <v>2.3384954604602212E-2</v>
      </c>
    </row>
    <row r="30" spans="2:7" ht="15" customHeight="1" x14ac:dyDescent="0.25">
      <c r="B30" s="110" t="s">
        <v>939</v>
      </c>
      <c r="C30" s="423" t="s">
        <v>544</v>
      </c>
      <c r="D30" s="424"/>
      <c r="E30" s="26">
        <f ca="1">Orcamento!E34</f>
        <v>5545.53</v>
      </c>
      <c r="F30" s="26">
        <f ca="1">Orcamento!F34</f>
        <v>8047.11</v>
      </c>
      <c r="G30" s="268">
        <f t="shared" ca="1" si="0"/>
        <v>2.0529981666087417E-2</v>
      </c>
    </row>
    <row r="31" spans="2:7" ht="15" customHeight="1" x14ac:dyDescent="0.25">
      <c r="B31" s="110" t="s">
        <v>945</v>
      </c>
      <c r="C31" s="423" t="s">
        <v>213</v>
      </c>
      <c r="D31" s="424"/>
      <c r="E31" s="26">
        <f ca="1">Orcamento!E42</f>
        <v>5263.93</v>
      </c>
      <c r="F31" s="26">
        <f ca="1">Orcamento!F42</f>
        <v>7638.48</v>
      </c>
      <c r="G31" s="268">
        <f t="shared" ca="1" si="0"/>
        <v>1.9487474926622776E-2</v>
      </c>
    </row>
    <row r="32" spans="2:7" ht="15" customHeight="1" x14ac:dyDescent="0.25">
      <c r="B32" s="110" t="s">
        <v>657</v>
      </c>
      <c r="C32" s="423" t="s">
        <v>540</v>
      </c>
      <c r="D32" s="424"/>
      <c r="E32" s="26">
        <f ca="1">Orcamento!E29</f>
        <v>5263.92</v>
      </c>
      <c r="F32" s="26">
        <f ca="1">Orcamento!F29</f>
        <v>7638.47</v>
      </c>
      <c r="G32" s="268">
        <f t="shared" ca="1" si="0"/>
        <v>1.9487449414380908E-2</v>
      </c>
    </row>
    <row r="33" spans="2:7" ht="15" customHeight="1" x14ac:dyDescent="0.25">
      <c r="B33" s="110" t="s">
        <v>938</v>
      </c>
      <c r="C33" s="423" t="s">
        <v>543</v>
      </c>
      <c r="D33" s="424"/>
      <c r="E33" s="26">
        <f ca="1">Orcamento!E33</f>
        <v>4912.99</v>
      </c>
      <c r="F33" s="26">
        <f ca="1">Orcamento!F33</f>
        <v>7129.23</v>
      </c>
      <c r="G33" s="268">
        <f t="shared" ca="1" si="0"/>
        <v>1.8188264009479226E-2</v>
      </c>
    </row>
    <row r="34" spans="2:7" ht="15" customHeight="1" x14ac:dyDescent="0.25">
      <c r="B34" s="110" t="s">
        <v>942</v>
      </c>
      <c r="C34" s="423" t="s">
        <v>560</v>
      </c>
      <c r="D34" s="424"/>
      <c r="E34" s="26">
        <f ca="1">Orcamento!E37</f>
        <v>4519.49</v>
      </c>
      <c r="F34" s="26">
        <f ca="1">Orcamento!F37</f>
        <v>6558.23</v>
      </c>
      <c r="G34" s="268">
        <f t="shared" ca="1" si="0"/>
        <v>1.6731514998798883E-2</v>
      </c>
    </row>
    <row r="35" spans="2:7" ht="15" customHeight="1" x14ac:dyDescent="0.25">
      <c r="B35" s="110" t="s">
        <v>948</v>
      </c>
      <c r="C35" s="423" t="s">
        <v>216</v>
      </c>
      <c r="D35" s="424"/>
      <c r="E35" s="26">
        <f ca="1">Orcamento!E45</f>
        <v>4211.1400000000003</v>
      </c>
      <c r="F35" s="26">
        <f ca="1">Orcamento!F45</f>
        <v>6110.78</v>
      </c>
      <c r="G35" s="268">
        <f t="shared" ca="1" si="0"/>
        <v>1.5589969736401473E-2</v>
      </c>
    </row>
    <row r="36" spans="2:7" ht="15" customHeight="1" x14ac:dyDescent="0.25">
      <c r="B36" s="110" t="s">
        <v>483</v>
      </c>
      <c r="C36" s="423" t="s">
        <v>209</v>
      </c>
      <c r="D36" s="424"/>
      <c r="E36" s="26">
        <f ca="1">Orcamento!E20</f>
        <v>4185.32</v>
      </c>
      <c r="F36" s="26">
        <f ca="1">Orcamento!F20</f>
        <v>6073.31</v>
      </c>
      <c r="G36" s="268">
        <f t="shared" ca="1" si="0"/>
        <v>1.5494375366120926E-2</v>
      </c>
    </row>
    <row r="37" spans="2:7" ht="15" customHeight="1" x14ac:dyDescent="0.25">
      <c r="B37" s="110" t="s">
        <v>950</v>
      </c>
      <c r="C37" s="423" t="s">
        <v>218</v>
      </c>
      <c r="D37" s="424"/>
      <c r="E37" s="26">
        <f ca="1">Orcamento!E47</f>
        <v>3697.0299999999997</v>
      </c>
      <c r="F37" s="26">
        <f ca="1">Orcamento!F47</f>
        <v>5364.76</v>
      </c>
      <c r="G37" s="268">
        <f t="shared" ca="1" si="0"/>
        <v>1.3686705468542015E-2</v>
      </c>
    </row>
    <row r="38" spans="2:7" ht="15" customHeight="1" x14ac:dyDescent="0.25">
      <c r="B38" s="110" t="s">
        <v>624</v>
      </c>
      <c r="C38" s="423" t="s">
        <v>558</v>
      </c>
      <c r="D38" s="424"/>
      <c r="E38" s="26">
        <f ca="1">Orcamento!E28</f>
        <v>3194.13</v>
      </c>
      <c r="F38" s="26">
        <f ca="1">Orcamento!F28</f>
        <v>4635</v>
      </c>
      <c r="G38" s="268">
        <f t="shared" ca="1" si="0"/>
        <v>1.1824924105960423E-2</v>
      </c>
    </row>
    <row r="39" spans="2:7" ht="15" customHeight="1" x14ac:dyDescent="0.25">
      <c r="B39" s="110" t="s">
        <v>949</v>
      </c>
      <c r="C39" s="535" t="s">
        <v>217</v>
      </c>
      <c r="D39" s="536"/>
      <c r="E39" s="26">
        <f ca="1">Orcamento!E46</f>
        <v>3275.33</v>
      </c>
      <c r="F39" s="26">
        <f ca="1">Orcamento!F46</f>
        <v>4752.83</v>
      </c>
      <c r="G39" s="268">
        <f t="shared" ca="1" si="0"/>
        <v>1.2125534851894687E-2</v>
      </c>
    </row>
    <row r="40" spans="2:7" ht="15" customHeight="1" x14ac:dyDescent="0.25">
      <c r="B40" s="110" t="s">
        <v>944</v>
      </c>
      <c r="C40" s="15" t="s">
        <v>582</v>
      </c>
      <c r="D40" s="15"/>
      <c r="E40" s="26">
        <f ca="1">Orcamento!E41</f>
        <v>3194.1500000000005</v>
      </c>
      <c r="F40" s="26">
        <f ca="1">Orcamento!F41</f>
        <v>4635.03</v>
      </c>
      <c r="G40" s="268">
        <f t="shared" ca="1" si="0"/>
        <v>1.1825000642686026E-2</v>
      </c>
    </row>
    <row r="41" spans="2:7" ht="15" customHeight="1" x14ac:dyDescent="0.25">
      <c r="B41" s="110" t="s">
        <v>953</v>
      </c>
      <c r="C41" s="423" t="s">
        <v>221</v>
      </c>
      <c r="D41" s="424"/>
      <c r="E41" s="26">
        <f ca="1">Orcamento!E50</f>
        <v>3013</v>
      </c>
      <c r="F41" s="26">
        <f ca="1">Orcamento!F50</f>
        <v>4372.16</v>
      </c>
      <c r="G41" s="268">
        <f t="shared" ca="1" si="0"/>
        <v>1.1154360340693833E-2</v>
      </c>
    </row>
    <row r="42" spans="2:7" ht="15" customHeight="1" x14ac:dyDescent="0.25">
      <c r="B42" s="110" t="s">
        <v>940</v>
      </c>
      <c r="C42" s="423" t="s">
        <v>556</v>
      </c>
      <c r="D42" s="424"/>
      <c r="E42" s="26">
        <f ca="1">Orcamento!E35</f>
        <v>2807.41</v>
      </c>
      <c r="F42" s="26">
        <f ca="1">Orcamento!F35</f>
        <v>4073.83</v>
      </c>
      <c r="G42" s="268">
        <f t="shared" ca="1" si="0"/>
        <v>1.0393253629036623E-2</v>
      </c>
    </row>
    <row r="43" spans="2:7" ht="15" customHeight="1" x14ac:dyDescent="0.25">
      <c r="B43" s="110" t="s">
        <v>484</v>
      </c>
      <c r="C43" s="15" t="s">
        <v>208</v>
      </c>
      <c r="D43" s="15"/>
      <c r="E43" s="26">
        <f ca="1">Orcamento!E22</f>
        <v>2339.5100000000002</v>
      </c>
      <c r="F43" s="26">
        <f ca="1">Orcamento!F22</f>
        <v>3394.86</v>
      </c>
      <c r="G43" s="268">
        <f t="shared" ca="1" si="0"/>
        <v>8.6610489429041638E-3</v>
      </c>
    </row>
    <row r="44" spans="2:7" ht="15" customHeight="1" x14ac:dyDescent="0.25">
      <c r="B44" s="110" t="s">
        <v>482</v>
      </c>
      <c r="C44" s="15" t="s">
        <v>206</v>
      </c>
      <c r="D44" s="15"/>
      <c r="E44" s="26">
        <f ca="1">Orcamento!E18</f>
        <v>2282.880000000011</v>
      </c>
      <c r="F44" s="26">
        <f ca="1">Orcamento!F18</f>
        <v>3312.68</v>
      </c>
      <c r="G44" s="268">
        <f t="shared" ca="1" si="0"/>
        <v>8.4513893392304147E-3</v>
      </c>
    </row>
    <row r="45" spans="2:7" ht="15" customHeight="1" x14ac:dyDescent="0.25">
      <c r="B45" s="110" t="s">
        <v>1205</v>
      </c>
      <c r="C45" s="15" t="s">
        <v>1211</v>
      </c>
      <c r="D45" s="15"/>
      <c r="E45" s="26">
        <f ca="1">Orcamento!E55</f>
        <v>2246.58</v>
      </c>
      <c r="F45" s="26">
        <f ca="1">Orcamento!F55</f>
        <v>3260.01</v>
      </c>
      <c r="G45" s="268">
        <f t="shared" ca="1" si="0"/>
        <v>8.3170163613100409E-3</v>
      </c>
    </row>
    <row r="46" spans="2:7" ht="15" customHeight="1" x14ac:dyDescent="0.25">
      <c r="B46" s="110" t="s">
        <v>423</v>
      </c>
      <c r="C46" s="15" t="s">
        <v>210</v>
      </c>
      <c r="D46" s="15"/>
      <c r="E46" s="26">
        <f ca="1">Orcamento!E21</f>
        <v>2235.25</v>
      </c>
      <c r="F46" s="26">
        <f ca="1">Orcamento!F21</f>
        <v>3243.57</v>
      </c>
      <c r="G46" s="268">
        <f t="shared" ca="1" si="0"/>
        <v>8.275074235678543E-3</v>
      </c>
    </row>
    <row r="47" spans="2:7" ht="15" customHeight="1" x14ac:dyDescent="0.25">
      <c r="B47" s="110" t="s">
        <v>1206</v>
      </c>
      <c r="C47" s="15" t="s">
        <v>1191</v>
      </c>
      <c r="D47" s="15"/>
      <c r="E47" s="26">
        <f ca="1">Orcamento!E57</f>
        <v>1935.02</v>
      </c>
      <c r="F47" s="26">
        <f ca="1">Orcamento!F57</f>
        <v>2807.9</v>
      </c>
      <c r="G47" s="268">
        <f t="shared" ca="1" si="0"/>
        <v>7.163582394202E-3</v>
      </c>
    </row>
    <row r="48" spans="2:7" ht="15" customHeight="1" x14ac:dyDescent="0.25">
      <c r="B48" s="110" t="s">
        <v>951</v>
      </c>
      <c r="C48" s="15" t="s">
        <v>581</v>
      </c>
      <c r="D48" s="15"/>
      <c r="E48" s="26">
        <f ca="1">Orcamento!E48</f>
        <v>1871.6100000000006</v>
      </c>
      <c r="F48" s="26">
        <f ca="1">Orcamento!F48</f>
        <v>2715.89</v>
      </c>
      <c r="G48" s="268">
        <f t="shared" ca="1" si="0"/>
        <v>6.9288442567717046E-3</v>
      </c>
    </row>
    <row r="49" spans="2:7" ht="15" customHeight="1" x14ac:dyDescent="0.25">
      <c r="B49" s="110" t="s">
        <v>941</v>
      </c>
      <c r="C49" s="15" t="s">
        <v>722</v>
      </c>
      <c r="D49" s="15"/>
      <c r="E49" s="26">
        <f ca="1">Orcamento!E36</f>
        <v>1413.94</v>
      </c>
      <c r="F49" s="26">
        <f ca="1">Orcamento!F36</f>
        <v>2051.7600000000002</v>
      </c>
      <c r="G49" s="268">
        <f t="shared" ca="1" si="0"/>
        <v>5.2344997375718145E-3</v>
      </c>
    </row>
    <row r="50" spans="2:7" ht="15" customHeight="1" x14ac:dyDescent="0.25">
      <c r="B50" s="110" t="s">
        <v>952</v>
      </c>
      <c r="C50" s="423" t="s">
        <v>220</v>
      </c>
      <c r="D50" s="424"/>
      <c r="E50" s="26">
        <f ca="1">Orcamento!E49</f>
        <v>942.63999999999987</v>
      </c>
      <c r="F50" s="26">
        <f ca="1">Orcamento!F49</f>
        <v>1367.86</v>
      </c>
      <c r="G50" s="268">
        <f t="shared" ca="1" si="0"/>
        <v>3.4897175161982788E-3</v>
      </c>
    </row>
    <row r="51" spans="2:7" ht="15" customHeight="1" x14ac:dyDescent="0.25">
      <c r="B51" s="230"/>
      <c r="C51" s="12"/>
      <c r="D51" s="231" t="s">
        <v>329</v>
      </c>
      <c r="E51" s="154">
        <f ca="1">Orcamento!E61</f>
        <v>270118.42000000004</v>
      </c>
      <c r="F51" s="154">
        <f ca="1">Orcamento!F61</f>
        <v>391968.68905600003</v>
      </c>
      <c r="G51" s="269">
        <f ca="1">SUM(G16:G50)</f>
        <v>0.99999999999999989</v>
      </c>
    </row>
    <row r="52" spans="2:7" ht="9" customHeight="1" x14ac:dyDescent="0.25"/>
    <row r="53" spans="2:7" ht="47.25" customHeight="1" x14ac:dyDescent="0.25">
      <c r="B53" s="567" t="s">
        <v>1128</v>
      </c>
      <c r="C53" s="567"/>
      <c r="D53" s="567"/>
      <c r="E53" s="567"/>
      <c r="F53" s="567"/>
      <c r="G53" s="567"/>
    </row>
    <row r="54" spans="2:7" ht="15" customHeight="1" x14ac:dyDescent="0.25">
      <c r="G54" s="273"/>
    </row>
    <row r="55" spans="2:7" ht="15" customHeight="1" x14ac:dyDescent="0.25">
      <c r="E55" s="273"/>
      <c r="F55" s="274"/>
      <c r="G55" s="273"/>
    </row>
    <row r="56" spans="2:7" ht="15" customHeight="1" x14ac:dyDescent="0.25">
      <c r="F56" s="154">
        <v>315187.81995799998</v>
      </c>
      <c r="G56" s="346"/>
    </row>
    <row r="57" spans="2:7" ht="15" customHeight="1" x14ac:dyDescent="0.25">
      <c r="E57" s="273"/>
    </row>
    <row r="58" spans="2:7" ht="15" customHeight="1" x14ac:dyDescent="0.25">
      <c r="E58" s="273"/>
    </row>
    <row r="59" spans="2:7" ht="15" customHeight="1" x14ac:dyDescent="0.25">
      <c r="E59" s="273"/>
    </row>
    <row r="60" spans="2:7" ht="15" customHeight="1" x14ac:dyDescent="0.25">
      <c r="E60" s="273"/>
    </row>
    <row r="61" spans="2:7" ht="15" customHeight="1" x14ac:dyDescent="0.25">
      <c r="E61" s="273"/>
    </row>
    <row r="62" spans="2:7" ht="15" customHeight="1" x14ac:dyDescent="0.25">
      <c r="E62" s="273"/>
    </row>
    <row r="63" spans="2:7" ht="15" customHeight="1" x14ac:dyDescent="0.25">
      <c r="E63" s="273"/>
    </row>
    <row r="64" spans="2:7" ht="15" customHeight="1" x14ac:dyDescent="0.25">
      <c r="E64" s="273"/>
    </row>
    <row r="65" spans="5:5" ht="15" customHeight="1" x14ac:dyDescent="0.25">
      <c r="E65" s="273"/>
    </row>
    <row r="66" spans="5:5" ht="15" customHeight="1" x14ac:dyDescent="0.25">
      <c r="E66" s="273"/>
    </row>
    <row r="67" spans="5:5" ht="15" customHeight="1" x14ac:dyDescent="0.25">
      <c r="E67" s="273"/>
    </row>
    <row r="68" spans="5:5" ht="15" customHeight="1" x14ac:dyDescent="0.25">
      <c r="E68" s="273"/>
    </row>
    <row r="69" spans="5:5" ht="15" customHeight="1" x14ac:dyDescent="0.25">
      <c r="E69" s="273"/>
    </row>
    <row r="70" spans="5:5" ht="15" customHeight="1" x14ac:dyDescent="0.25">
      <c r="E70" s="273"/>
    </row>
    <row r="71" spans="5:5" ht="15" customHeight="1" x14ac:dyDescent="0.25">
      <c r="E71" s="273"/>
    </row>
    <row r="72" spans="5:5" ht="15" customHeight="1" x14ac:dyDescent="0.25">
      <c r="E72" s="273"/>
    </row>
    <row r="73" spans="5:5" ht="15" customHeight="1" x14ac:dyDescent="0.25">
      <c r="E73" s="273"/>
    </row>
    <row r="74" spans="5:5" ht="15" customHeight="1" x14ac:dyDescent="0.25">
      <c r="E74" s="273"/>
    </row>
    <row r="75" spans="5:5" ht="15" customHeight="1" x14ac:dyDescent="0.25">
      <c r="E75" s="273"/>
    </row>
  </sheetData>
  <sortState ref="B16:G49">
    <sortCondition descending="1" ref="G16:G49"/>
  </sortState>
  <mergeCells count="7">
    <mergeCell ref="B53:G53"/>
    <mergeCell ref="C5:G5"/>
    <mergeCell ref="C10:D10"/>
    <mergeCell ref="B12:G12"/>
    <mergeCell ref="B14:B15"/>
    <mergeCell ref="C14:D15"/>
    <mergeCell ref="G14:G15"/>
  </mergeCells>
  <printOptions horizontalCentered="1"/>
  <pageMargins left="0.78740157480314965" right="0.78740157480314965" top="0.39370078740157483" bottom="0.78740157480314965" header="0.19685039370078741" footer="0.19685039370078741"/>
  <pageSetup paperSize="9" scale="75" fitToHeight="0" orientation="portrait"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43"/>
  <sheetViews>
    <sheetView showGridLines="0" view="pageBreakPreview" zoomScaleNormal="100" zoomScaleSheetLayoutView="100" workbookViewId="0">
      <pane ySplit="12" topLeftCell="A13" activePane="bottomLeft" state="frozen"/>
      <selection pane="bottomLeft" activeCell="J24" sqref="J24"/>
    </sheetView>
  </sheetViews>
  <sheetFormatPr defaultColWidth="9.140625" defaultRowHeight="15" customHeight="1" x14ac:dyDescent="0.25"/>
  <cols>
    <col min="1" max="1" width="1.7109375" style="2" customWidth="1"/>
    <col min="2" max="2" width="9.85546875" style="2" bestFit="1" customWidth="1"/>
    <col min="3" max="3" width="26.28515625" style="2" customWidth="1"/>
    <col min="4" max="4" width="8.7109375" style="2" customWidth="1"/>
    <col min="5" max="5" width="8" style="2" customWidth="1"/>
    <col min="6" max="6" width="9.7109375" style="2" customWidth="1"/>
    <col min="7" max="7" width="6.42578125" style="2" bestFit="1" customWidth="1"/>
    <col min="8" max="8" width="14.140625" style="2" bestFit="1" customWidth="1"/>
    <col min="9" max="9" width="10.28515625" style="2" bestFit="1" customWidth="1"/>
    <col min="10" max="10" width="9.7109375" style="2" customWidth="1"/>
    <col min="11" max="11" width="14.7109375" style="2" bestFit="1" customWidth="1"/>
    <col min="12" max="12" width="16.28515625" style="2" bestFit="1" customWidth="1"/>
    <col min="13" max="13" width="10" style="2" customWidth="1"/>
    <col min="14" max="14" width="1.7109375" style="2" customWidth="1"/>
    <col min="15" max="15" width="9.140625" style="2" customWidth="1"/>
    <col min="16" max="16384" width="9.140625" style="2"/>
  </cols>
  <sheetData>
    <row r="1" spans="2:13" ht="9" customHeight="1" x14ac:dyDescent="0.25"/>
    <row r="2" spans="2:13" ht="34.5" customHeight="1" x14ac:dyDescent="0.25"/>
    <row r="3" spans="2:13" ht="26.25" customHeight="1" x14ac:dyDescent="0.25"/>
    <row r="4" spans="2:13" x14ac:dyDescent="0.25">
      <c r="B4" s="23" t="s">
        <v>0</v>
      </c>
      <c r="C4" s="548" t="str">
        <f>'Qd abrang'!C4</f>
        <v>Contratação de Projeto Executivo de Engenharia para Implantação do Aeródromo no município de Nova Andradina</v>
      </c>
      <c r="D4" s="548"/>
      <c r="E4" s="548"/>
      <c r="F4" s="548"/>
      <c r="G4" s="548"/>
      <c r="H4" s="548"/>
      <c r="I4" s="548"/>
      <c r="J4" s="548"/>
      <c r="K4" s="548"/>
      <c r="L4" s="548"/>
      <c r="M4" s="362"/>
    </row>
    <row r="5" spans="2:13" x14ac:dyDescent="0.25">
      <c r="B5" s="5" t="s">
        <v>862</v>
      </c>
      <c r="C5" s="1" t="str">
        <f>'Qd abrang'!C5</f>
        <v>Nova Andradina/MS</v>
      </c>
    </row>
    <row r="6" spans="2:13" x14ac:dyDescent="0.25">
      <c r="B6" s="5" t="s">
        <v>863</v>
      </c>
      <c r="C6" s="1"/>
    </row>
    <row r="7" spans="2:13" x14ac:dyDescent="0.25">
      <c r="B7" s="5" t="s">
        <v>1</v>
      </c>
      <c r="C7" s="367">
        <f>'Qd abrang'!C7</f>
        <v>1.7</v>
      </c>
      <c r="D7" s="2" t="s">
        <v>1138</v>
      </c>
      <c r="K7" s="5" t="s">
        <v>16</v>
      </c>
      <c r="L7" s="6" t="str">
        <f>'Qd abrang'!N7</f>
        <v>79.010.182-2025</v>
      </c>
      <c r="M7" s="6"/>
    </row>
    <row r="8" spans="2:13" x14ac:dyDescent="0.25">
      <c r="B8" s="5" t="s">
        <v>2</v>
      </c>
      <c r="C8" s="264">
        <f>'Qd abrang'!C8</f>
        <v>365</v>
      </c>
      <c r="K8" s="5" t="s">
        <v>17</v>
      </c>
      <c r="L8" s="265">
        <f>'Qd abrang'!N8</f>
        <v>45748</v>
      </c>
      <c r="M8" s="265"/>
    </row>
    <row r="9" spans="2:13" ht="8.25" customHeight="1" x14ac:dyDescent="0.25"/>
    <row r="10" spans="2:13" s="11" customFormat="1" ht="21" x14ac:dyDescent="0.25">
      <c r="B10" s="547" t="s">
        <v>1139</v>
      </c>
      <c r="C10" s="547"/>
      <c r="D10" s="547"/>
      <c r="E10" s="547"/>
      <c r="F10" s="547"/>
      <c r="G10" s="547"/>
      <c r="H10" s="547"/>
      <c r="I10" s="547"/>
      <c r="J10" s="547"/>
      <c r="K10" s="547"/>
      <c r="L10" s="547"/>
      <c r="M10" s="361"/>
    </row>
    <row r="11" spans="2:13" ht="6.75" customHeight="1" x14ac:dyDescent="0.25">
      <c r="L11" s="91"/>
      <c r="M11" s="91"/>
    </row>
    <row r="12" spans="2:13" ht="30" customHeight="1" x14ac:dyDescent="0.25">
      <c r="B12" s="562" t="s">
        <v>29</v>
      </c>
      <c r="C12" s="564" t="s">
        <v>15</v>
      </c>
      <c r="D12" s="562" t="s">
        <v>390</v>
      </c>
      <c r="E12" s="364" t="s">
        <v>391</v>
      </c>
      <c r="F12" s="364" t="s">
        <v>392</v>
      </c>
      <c r="G12" s="364" t="s">
        <v>393</v>
      </c>
      <c r="H12" s="364" t="s">
        <v>325</v>
      </c>
      <c r="I12" s="364" t="s">
        <v>326</v>
      </c>
      <c r="J12" s="364" t="s">
        <v>394</v>
      </c>
      <c r="K12" s="364" t="s">
        <v>395</v>
      </c>
      <c r="L12" s="364" t="s">
        <v>1142</v>
      </c>
      <c r="M12" s="364" t="s">
        <v>414</v>
      </c>
    </row>
    <row r="13" spans="2:13" s="363" customFormat="1" ht="15" customHeight="1" x14ac:dyDescent="0.25">
      <c r="B13" s="562"/>
      <c r="C13" s="564"/>
      <c r="D13" s="562"/>
      <c r="E13" s="364" t="s">
        <v>330</v>
      </c>
      <c r="F13" s="364" t="s">
        <v>331</v>
      </c>
      <c r="G13" s="364" t="s">
        <v>332</v>
      </c>
      <c r="H13" s="364" t="s">
        <v>333</v>
      </c>
      <c r="I13" s="364" t="s">
        <v>1141</v>
      </c>
      <c r="J13" s="364" t="s">
        <v>335</v>
      </c>
      <c r="K13" s="364"/>
      <c r="L13" s="364" t="s">
        <v>1334</v>
      </c>
      <c r="M13" s="364"/>
    </row>
    <row r="14" spans="2:13" s="21" customFormat="1" ht="15" customHeight="1" x14ac:dyDescent="0.25">
      <c r="B14" s="369" t="str">
        <f>'Memo calc'!B1635</f>
        <v>P8061</v>
      </c>
      <c r="C14" s="370" t="str">
        <f t="shared" ref="C14:C32" ca="1" si="0">IFERROR(VLOOKUP(B14,MO_Matriz,2,0),"")</f>
        <v>Engenheiro coordenador</v>
      </c>
      <c r="D14" s="369" t="str">
        <f t="shared" ref="D14:D32" ca="1" si="1">IFERROR(VLOOKUP(B14,MO_Matriz,3,0),"")</f>
        <v>S</v>
      </c>
      <c r="E14" s="369">
        <f>'Memo calc'!H1635</f>
        <v>1</v>
      </c>
      <c r="F14" s="369">
        <f>'Memo calc'!I1635</f>
        <v>1</v>
      </c>
      <c r="G14" s="371">
        <f>'Memo calc'!K1635</f>
        <v>3.6666666666666665</v>
      </c>
      <c r="H14" s="372">
        <f>'Memo calc'!M1635+'Memo calc'!M1081</f>
        <v>136.42857142857142</v>
      </c>
      <c r="I14" s="372">
        <f>SUMIF(MO!$B$15:$B$120,"P8061",MO!$J$15:$J$120)</f>
        <v>525.90476190476181</v>
      </c>
      <c r="J14" s="372">
        <f t="shared" ref="J14:J32" si="2">I14/220</f>
        <v>2.39047619047619</v>
      </c>
      <c r="K14" s="373">
        <f t="shared" ref="K14:K32" ca="1" si="3">IFERROR(VLOOKUP(B14,MO_Matriz,5,0),"")</f>
        <v>35173.129999999997</v>
      </c>
      <c r="L14" s="373">
        <f ca="1">TRUNC(J14*K14*(1+Orcamento!$C$10),2)</f>
        <v>122009.25</v>
      </c>
      <c r="M14" s="374">
        <f ca="1">L14/Orcamento!$F$61</f>
        <v>0.31127294961707697</v>
      </c>
    </row>
    <row r="15" spans="2:13" s="21" customFormat="1" ht="15" customHeight="1" x14ac:dyDescent="0.25">
      <c r="B15" s="369" t="str">
        <f>'Memo calc'!B29</f>
        <v>P8065</v>
      </c>
      <c r="C15" s="370" t="str">
        <f t="shared" ca="1" si="0"/>
        <v>Engenheiro de projetos júnior</v>
      </c>
      <c r="D15" s="369" t="str">
        <f t="shared" ca="1" si="1"/>
        <v>S</v>
      </c>
      <c r="E15" s="369">
        <f>'Memo calc'!I29</f>
        <v>1</v>
      </c>
      <c r="F15" s="369">
        <f>'Memo calc'!K29</f>
        <v>1</v>
      </c>
      <c r="G15" s="371">
        <f>'Memo calc'!N29</f>
        <v>7.333333333333333</v>
      </c>
      <c r="H15" s="372">
        <f>'Memo calc'!Q29+'Memo calc'!P245+'Memo calc'!P287+'Memo calc'!N410+'Memo calc'!N1038+'Memo calc'!M1172+'Memo calc'!M1218+'Memo calc'!M1264+'Memo calc'!M1310+'Memo calc'!M1356+'Memo calc'!M1402+'Memo calc'!M1448+'Memo calc'!M1540+'Memo calc'!M1585</f>
        <v>49.605391904761895</v>
      </c>
      <c r="I15" s="372">
        <f>SUMIF(MO!$B$15:$B$120,"P8065",MO!$J$15:$J$120)</f>
        <v>363.77287396825398</v>
      </c>
      <c r="J15" s="372">
        <f>I15/220</f>
        <v>1.6535130634920636</v>
      </c>
      <c r="K15" s="373">
        <f t="shared" ca="1" si="3"/>
        <v>24288.81</v>
      </c>
      <c r="L15" s="373">
        <f ca="1">TRUNC(J15*K15*(1+Orcamento!$C$10),2)</f>
        <v>58278.879999999997</v>
      </c>
      <c r="M15" s="374">
        <f ca="1">L15/Orcamento!$F$61</f>
        <v>0.14868248823740554</v>
      </c>
    </row>
    <row r="16" spans="2:13" s="21" customFormat="1" ht="15" customHeight="1" x14ac:dyDescent="0.25">
      <c r="B16" s="369" t="str">
        <f>'Memo calc'!B1979</f>
        <v>P8060</v>
      </c>
      <c r="C16" s="370" t="str">
        <f t="shared" ca="1" si="0"/>
        <v>Engenheiro consultor especial</v>
      </c>
      <c r="D16" s="369" t="str">
        <f t="shared" ca="1" si="1"/>
        <v>S</v>
      </c>
      <c r="E16" s="369">
        <f>'Memo calc'!H1979</f>
        <v>1</v>
      </c>
      <c r="F16" s="369">
        <f>'Memo calc'!I1979</f>
        <v>1</v>
      </c>
      <c r="G16" s="371">
        <f>'Memo calc'!K1979</f>
        <v>7.333333333333333</v>
      </c>
      <c r="H16" s="372">
        <f>'Memo calc'!M1979</f>
        <v>12.030460000000001</v>
      </c>
      <c r="I16" s="372">
        <f>SUMIF(MO!$B$15:$B$120,"P8060",MO!$J$15:$J$120)</f>
        <v>88.223373333333342</v>
      </c>
      <c r="J16" s="372">
        <f t="shared" si="2"/>
        <v>0.40101533333333339</v>
      </c>
      <c r="K16" s="373">
        <f t="shared" ca="1" si="3"/>
        <v>41989.87</v>
      </c>
      <c r="L16" s="373">
        <f ca="1">TRUNC(J16*K16*(1+Orcamento!$C$10),2)</f>
        <v>24434.46</v>
      </c>
      <c r="M16" s="374">
        <f ca="1">L16/Orcamento!$F$61</f>
        <v>6.2337785344147939E-2</v>
      </c>
    </row>
    <row r="17" spans="2:13" s="21" customFormat="1" ht="15" customHeight="1" x14ac:dyDescent="0.25">
      <c r="B17" s="369" t="str">
        <f>'Memo calc'!B80</f>
        <v>P8058</v>
      </c>
      <c r="C17" s="370" t="str">
        <f t="shared" ca="1" si="0"/>
        <v>Engenheiro ambiental pleno</v>
      </c>
      <c r="D17" s="369" t="str">
        <f t="shared" ca="1" si="1"/>
        <v>S</v>
      </c>
      <c r="E17" s="369">
        <f>'Memo calc'!H80</f>
        <v>1</v>
      </c>
      <c r="F17" s="369">
        <f>'Memo calc'!J80</f>
        <v>1</v>
      </c>
      <c r="G17" s="371">
        <f>'Memo calc'!M80</f>
        <v>7.333333333333333</v>
      </c>
      <c r="H17" s="372">
        <f>'Memo calc'!O80+'Memo calc'!O159+'Memo calc'!P201+'Memo calc'!M1789+'Memo calc'!M1839+'Memo calc'!M1885+'Memo calc'!M1935</f>
        <v>18</v>
      </c>
      <c r="I17" s="372">
        <f>SUMIF(MO!$B$15:$B$120,"P8058",MO!$J$15:$J$120)</f>
        <v>132</v>
      </c>
      <c r="J17" s="372">
        <f t="shared" si="2"/>
        <v>0.6</v>
      </c>
      <c r="K17" s="373">
        <f t="shared" ca="1" si="3"/>
        <v>26558.86</v>
      </c>
      <c r="L17" s="373">
        <f ca="1">TRUNC(J17*K17*(1+Orcamento!$C$10),2)</f>
        <v>23123.73</v>
      </c>
      <c r="M17" s="374">
        <f ca="1">L17/Orcamento!$F$61</f>
        <v>5.8993819265743298E-2</v>
      </c>
    </row>
    <row r="18" spans="2:13" s="21" customFormat="1" ht="15" customHeight="1" x14ac:dyDescent="0.25">
      <c r="B18" s="369" t="str">
        <f>'Memo calc'!B288</f>
        <v>P9848</v>
      </c>
      <c r="C18" s="370" t="str">
        <f t="shared" ca="1" si="0"/>
        <v>Desenhista</v>
      </c>
      <c r="D18" s="369" t="str">
        <f t="shared" ca="1" si="1"/>
        <v>T</v>
      </c>
      <c r="E18" s="369">
        <f>'Memo calc'!H288</f>
        <v>1</v>
      </c>
      <c r="F18" s="369">
        <f>'Memo calc'!J288</f>
        <v>1</v>
      </c>
      <c r="G18" s="371">
        <f>'Memo calc'!M288</f>
        <v>7.333333333333333</v>
      </c>
      <c r="H18" s="372">
        <f>'Memo calc'!P288+'Memo calc'!N412+'Memo calc'!N843+'Memo calc'!M1173+'Memo calc'!M1219+'Memo calc'!M1265+'Memo calc'!M1311+'Memo calc'!M1357+'Memo calc'!M1449+'Memo calc'!M1980+'Memo calc'!M1403</f>
        <v>49.632518571428569</v>
      </c>
      <c r="I18" s="372">
        <f>SUMIF(MO!$B$15:$B$120,"P9848",MO!$J$15:$J$120)</f>
        <v>363.97180285714285</v>
      </c>
      <c r="J18" s="372">
        <f t="shared" si="2"/>
        <v>1.6544172857142856</v>
      </c>
      <c r="K18" s="373">
        <f t="shared" ca="1" si="3"/>
        <v>7821.6815999999999</v>
      </c>
      <c r="L18" s="373">
        <f ca="1">TRUNC(J18*K18*(1+Orcamento!$C$10),2)</f>
        <v>18777.7</v>
      </c>
      <c r="M18" s="374">
        <f ca="1">L18/Orcamento!$F$61</f>
        <v>4.7906122413051352E-2</v>
      </c>
    </row>
    <row r="19" spans="2:13" s="21" customFormat="1" ht="15" customHeight="1" x14ac:dyDescent="0.25">
      <c r="B19" s="110" t="str">
        <f>'Memo calc'!B1082</f>
        <v>P8147</v>
      </c>
      <c r="C19" s="537" t="str">
        <f t="shared" ca="1" si="0"/>
        <v>Técnico de obras</v>
      </c>
      <c r="D19" s="110" t="str">
        <f t="shared" ca="1" si="1"/>
        <v>T</v>
      </c>
      <c r="E19" s="110">
        <f>'Memo calc'!H1082</f>
        <v>1</v>
      </c>
      <c r="F19" s="110">
        <f>'Memo calc'!I1082</f>
        <v>1</v>
      </c>
      <c r="G19" s="245">
        <f>'Memo calc'!K1082</f>
        <v>7.333333333333333</v>
      </c>
      <c r="H19" s="246">
        <f>'Memo calc'!M1082</f>
        <v>7</v>
      </c>
      <c r="I19" s="246">
        <f>SUMIF(MO!$B$15:$B$120,"P8147",MO!$J$15:$J$120)</f>
        <v>121</v>
      </c>
      <c r="J19" s="246">
        <f t="shared" si="2"/>
        <v>0.55000000000000004</v>
      </c>
      <c r="K19" s="146">
        <f t="shared" ca="1" si="3"/>
        <v>7040.14</v>
      </c>
      <c r="L19" s="146">
        <f ca="1">TRUNC(J19*K19*(1+Orcamento!$C$10),2)</f>
        <v>5618.77</v>
      </c>
      <c r="M19" s="368">
        <f ca="1">L19/Orcamento!$F$61</f>
        <v>1.4334741924238888E-2</v>
      </c>
    </row>
    <row r="20" spans="2:13" s="21" customFormat="1" ht="15" customHeight="1" x14ac:dyDescent="0.25">
      <c r="B20" s="110" t="str">
        <f>'Memo calc'!B160</f>
        <v>P8143</v>
      </c>
      <c r="C20" s="537" t="str">
        <f t="shared" ca="1" si="0"/>
        <v>Técnico ambiental</v>
      </c>
      <c r="D20" s="110" t="str">
        <f t="shared" ca="1" si="1"/>
        <v>T</v>
      </c>
      <c r="E20" s="110">
        <f>'Memo calc'!H160</f>
        <v>1</v>
      </c>
      <c r="F20" s="110">
        <f>'Memo calc'!J160</f>
        <v>1</v>
      </c>
      <c r="G20" s="245">
        <f>'Memo calc'!L160</f>
        <v>7.333333333333333</v>
      </c>
      <c r="H20" s="246">
        <f>'Memo calc'!O160</f>
        <v>2</v>
      </c>
      <c r="I20" s="246">
        <f>SUMIF(MO!$B$15:$B$120,"P8143",MO!$J$15:$J$120)</f>
        <v>91.666666666666657</v>
      </c>
      <c r="J20" s="246">
        <f t="shared" si="2"/>
        <v>0.41666666666666663</v>
      </c>
      <c r="K20" s="146">
        <f t="shared" ca="1" si="3"/>
        <v>6565.04</v>
      </c>
      <c r="L20" s="146">
        <f ca="1">TRUNC(J20*K20*(1+Orcamento!$C$10),2)</f>
        <v>3969.38</v>
      </c>
      <c r="M20" s="368">
        <f ca="1">L20/Orcamento!$F$61</f>
        <v>1.0126778262722154E-2</v>
      </c>
    </row>
    <row r="21" spans="2:13" s="21" customFormat="1" ht="15" customHeight="1" x14ac:dyDescent="0.25">
      <c r="B21" s="110" t="str">
        <f>'Memo calc'!B81</f>
        <v>P8025</v>
      </c>
      <c r="C21" s="537" t="str">
        <f t="shared" ca="1" si="0"/>
        <v>Auxiliar</v>
      </c>
      <c r="D21" s="110" t="str">
        <f t="shared" ca="1" si="1"/>
        <v>A</v>
      </c>
      <c r="E21" s="110">
        <f>'Memo calc'!H81</f>
        <v>1</v>
      </c>
      <c r="F21" s="110">
        <f>'Memo calc'!J81</f>
        <v>1</v>
      </c>
      <c r="G21" s="245">
        <f>'Memo calc'!M81</f>
        <v>7.333333333333333</v>
      </c>
      <c r="H21" s="246">
        <f>'Memo calc'!O81</f>
        <v>3</v>
      </c>
      <c r="I21" s="246">
        <f>SUMIF(MO!$B$15:$B$120,"P8025",MO!$J$15:$J$120)</f>
        <v>182.16</v>
      </c>
      <c r="J21" s="246">
        <f>I21/220</f>
        <v>0.82799999999999996</v>
      </c>
      <c r="K21" s="146">
        <f t="shared" ca="1" si="3"/>
        <v>4276.41</v>
      </c>
      <c r="L21" s="146">
        <f ca="1">TRUNC(J21*K21*(1+Orcamento!$C$10),2)</f>
        <v>5138.1499999999996</v>
      </c>
      <c r="M21" s="368">
        <f ca="1">L21/Orcamento!$F$61</f>
        <v>1.3108572555564302E-2</v>
      </c>
    </row>
    <row r="22" spans="2:13" s="21" customFormat="1" ht="15" customHeight="1" x14ac:dyDescent="0.25">
      <c r="B22" s="110" t="str">
        <f>'Memo calc'!B976</f>
        <v>P8098</v>
      </c>
      <c r="C22" s="537" t="str">
        <f t="shared" ca="1" si="0"/>
        <v>Laboratorista</v>
      </c>
      <c r="D22" s="110" t="str">
        <f t="shared" ca="1" si="1"/>
        <v>T</v>
      </c>
      <c r="E22" s="110">
        <f>'Memo calc'!H976</f>
        <v>1</v>
      </c>
      <c r="F22" s="110">
        <f>'Memo calc'!J976</f>
        <v>1</v>
      </c>
      <c r="G22" s="245">
        <f>'Memo calc'!L976</f>
        <v>7.333333333333333</v>
      </c>
      <c r="H22" s="246">
        <f>'Memo calc'!N976</f>
        <v>7.5</v>
      </c>
      <c r="I22" s="246">
        <f>SUMIF(MO!$B$15:$B$120,"P8098",MO!$J$15:$J$120)</f>
        <v>86.411111111111111</v>
      </c>
      <c r="J22" s="246">
        <f t="shared" si="2"/>
        <v>0.39277777777777778</v>
      </c>
      <c r="K22" s="146">
        <f t="shared" ca="1" si="3"/>
        <v>5615.95</v>
      </c>
      <c r="L22" s="146">
        <f ca="1">TRUNC(J22*K22*(1+Orcamento!$C$10),2)</f>
        <v>3200.86</v>
      </c>
      <c r="M22" s="368">
        <f ca="1">L22/Orcamento!$F$61</f>
        <v>8.1661114506590034E-3</v>
      </c>
    </row>
    <row r="23" spans="2:13" s="21" customFormat="1" ht="15" customHeight="1" x14ac:dyDescent="0.25">
      <c r="B23" s="110" t="str">
        <f>MO!B114</f>
        <v>P8033</v>
      </c>
      <c r="C23" s="537" t="str">
        <f t="shared" ca="1" si="0"/>
        <v>Biólogo pleno</v>
      </c>
      <c r="D23" s="110" t="str">
        <f t="shared" ca="1" si="1"/>
        <v>S</v>
      </c>
      <c r="E23" s="110">
        <v>1</v>
      </c>
      <c r="F23" s="110">
        <v>1</v>
      </c>
      <c r="G23" s="245">
        <v>7.333333333333333</v>
      </c>
      <c r="H23" s="246">
        <f>'Memo calc'!M1791+'Memo calc'!M1887</f>
        <v>5</v>
      </c>
      <c r="I23" s="246">
        <f>SUMIF(MO!$B$15:$B$120,"P8033",MO!$J$15:$J$120)</f>
        <v>36.666666666666664</v>
      </c>
      <c r="J23" s="246">
        <f t="shared" si="2"/>
        <v>0.16666666666666666</v>
      </c>
      <c r="K23" s="146">
        <f t="shared" ca="1" si="3"/>
        <v>8820.85</v>
      </c>
      <c r="L23" s="146">
        <f ca="1">TRUNC(J23*K23*(1+Orcamento!$C$10),2)</f>
        <v>2133.3200000000002</v>
      </c>
      <c r="M23" s="368">
        <f ca="1">L23/Orcamento!$F$61</f>
        <v>5.4425775822497281E-3</v>
      </c>
    </row>
    <row r="24" spans="2:13" s="21" customFormat="1" ht="15" customHeight="1" x14ac:dyDescent="0.25">
      <c r="B24" s="110" t="str">
        <f>'Memo calc'!B841</f>
        <v>P8066</v>
      </c>
      <c r="C24" s="539" t="str">
        <f t="shared" ca="1" si="0"/>
        <v>Engenheiro de projetos pleno</v>
      </c>
      <c r="D24" s="110" t="str">
        <f t="shared" ca="1" si="1"/>
        <v>S</v>
      </c>
      <c r="E24" s="110">
        <f>'Memo calc'!I30</f>
        <v>1</v>
      </c>
      <c r="F24" s="110">
        <f>'Memo calc'!K30</f>
        <v>1</v>
      </c>
      <c r="G24" s="245">
        <f>'Memo calc'!N30</f>
        <v>7.333333333333333</v>
      </c>
      <c r="H24" s="246">
        <f>'Memo calc'!N841</f>
        <v>1.58</v>
      </c>
      <c r="I24" s="246">
        <f>SUMIF(MO!$B$15:$B$120,"P8066",MO!$J$15:$J$120)</f>
        <v>11.586666666666666</v>
      </c>
      <c r="J24" s="246">
        <f t="shared" si="2"/>
        <v>5.266666666666666E-2</v>
      </c>
      <c r="K24" s="146">
        <f t="shared" ca="1" si="3"/>
        <v>27591.759999999998</v>
      </c>
      <c r="L24" s="146">
        <f ca="1">TRUNC(J24*K24*(1+Orcamento!$C$10),2)</f>
        <v>2108.6799999999998</v>
      </c>
      <c r="M24" s="368">
        <f ca="1">L24/Orcamento!$F$61</f>
        <v>5.3797154182862184E-3</v>
      </c>
    </row>
    <row r="25" spans="2:13" s="21" customFormat="1" ht="15" customHeight="1" x14ac:dyDescent="0.25">
      <c r="B25" s="110" t="str">
        <f>'Memo calc'!B977</f>
        <v>P8027</v>
      </c>
      <c r="C25" s="537" t="str">
        <f t="shared" ca="1" si="0"/>
        <v>Auxiliar de laboratório</v>
      </c>
      <c r="D25" s="110" t="str">
        <f t="shared" ca="1" si="1"/>
        <v>A</v>
      </c>
      <c r="E25" s="110">
        <f>'Memo calc'!H977</f>
        <v>1</v>
      </c>
      <c r="F25" s="110">
        <f>'Memo calc'!J977</f>
        <v>1</v>
      </c>
      <c r="G25" s="245">
        <f>'Memo calc'!L977</f>
        <v>7.333333333333333</v>
      </c>
      <c r="H25" s="246">
        <f>'Memo calc'!N977+'Memo calc'!N750</f>
        <v>8</v>
      </c>
      <c r="I25" s="246">
        <f>SUMIF(MO!$B$15:$B$120,"P8027",MO!$J$15:$J$120)</f>
        <v>62.333333333333336</v>
      </c>
      <c r="J25" s="246">
        <f t="shared" si="2"/>
        <v>0.28333333333333333</v>
      </c>
      <c r="K25" s="146">
        <f t="shared" ca="1" si="3"/>
        <v>4554.09</v>
      </c>
      <c r="L25" s="146">
        <f ca="1">TRUNC(J25*K25*(1+Orcamento!$C$10),2)</f>
        <v>1872.39</v>
      </c>
      <c r="M25" s="368">
        <f ca="1">L25/Orcamento!$F$61</f>
        <v>4.7768866551799859E-3</v>
      </c>
    </row>
    <row r="26" spans="2:13" s="21" customFormat="1" ht="15" customHeight="1" x14ac:dyDescent="0.25">
      <c r="B26" s="110" t="str">
        <f>'Memo calc'!B332</f>
        <v>P8163</v>
      </c>
      <c r="C26" s="537" t="str">
        <f t="shared" ca="1" si="0"/>
        <v>Topógrafo</v>
      </c>
      <c r="D26" s="110" t="str">
        <f t="shared" ca="1" si="1"/>
        <v>T</v>
      </c>
      <c r="E26" s="110">
        <f>'Memo calc'!H332</f>
        <v>1</v>
      </c>
      <c r="F26" s="110">
        <f>'Memo calc'!J332</f>
        <v>1</v>
      </c>
      <c r="G26" s="245">
        <f>'Memo calc'!L332</f>
        <v>7.333333333333333</v>
      </c>
      <c r="H26" s="246">
        <f>'Memo calc'!N332</f>
        <v>3</v>
      </c>
      <c r="I26" s="246">
        <f>SUMIF(MO!$B$15:$B$120,"P8163",MO!$J$15:$J$120)</f>
        <v>36.666666666666664</v>
      </c>
      <c r="J26" s="246">
        <f t="shared" si="2"/>
        <v>0.16666666666666666</v>
      </c>
      <c r="K26" s="146">
        <f t="shared" ca="1" si="3"/>
        <v>5810.76</v>
      </c>
      <c r="L26" s="146">
        <f ca="1">TRUNC(J26*K26*(1+Orcamento!$C$10),2)</f>
        <v>1405.33</v>
      </c>
      <c r="M26" s="368">
        <f ca="1">L26/Orcamento!$F$61</f>
        <v>3.5853118864788264E-3</v>
      </c>
    </row>
    <row r="27" spans="2:13" s="21" customFormat="1" ht="15" customHeight="1" x14ac:dyDescent="0.25">
      <c r="B27" s="110" t="str">
        <f>'Memo calc'!B1494</f>
        <v>P8081</v>
      </c>
      <c r="C27" s="537" t="str">
        <f t="shared" ca="1" si="0"/>
        <v>Geólogo pleno</v>
      </c>
      <c r="D27" s="110" t="str">
        <f t="shared" ca="1" si="1"/>
        <v>S</v>
      </c>
      <c r="E27" s="110">
        <f>'Memo calc'!H1494</f>
        <v>1</v>
      </c>
      <c r="F27" s="110">
        <f>'Memo calc'!I1494</f>
        <v>1</v>
      </c>
      <c r="G27" s="245">
        <f>'Memo calc'!K1494</f>
        <v>7.333333333333333</v>
      </c>
      <c r="H27" s="246">
        <f>'Memo calc'!M1494</f>
        <v>1</v>
      </c>
      <c r="I27" s="246">
        <f>SUMIF(MO!$B$15:$B$120,"P8081",MO!$J$15:$J$120)</f>
        <v>7.333333333333333</v>
      </c>
      <c r="J27" s="246">
        <f t="shared" si="2"/>
        <v>3.3333333333333333E-2</v>
      </c>
      <c r="K27" s="146">
        <f t="shared" ca="1" si="3"/>
        <v>25780.18</v>
      </c>
      <c r="L27" s="146">
        <f ca="1">TRUNC(J27*K27*(1+Orcamento!$C$10),2)</f>
        <v>1246.98</v>
      </c>
      <c r="M27" s="368">
        <f ca="1">L27/Orcamento!$F$61</f>
        <v>3.1813255364941807E-3</v>
      </c>
    </row>
    <row r="28" spans="2:13" s="21" customFormat="1" ht="15" customHeight="1" x14ac:dyDescent="0.25">
      <c r="B28" s="110" t="str">
        <f>'Memo calc'!B333</f>
        <v>P8028</v>
      </c>
      <c r="C28" s="537" t="str">
        <f t="shared" ca="1" si="0"/>
        <v>Auxiliar de topografia</v>
      </c>
      <c r="D28" s="110" t="str">
        <f t="shared" ca="1" si="1"/>
        <v>A</v>
      </c>
      <c r="E28" s="110">
        <f>'Memo calc'!H333</f>
        <v>1</v>
      </c>
      <c r="F28" s="110">
        <f>'Memo calc'!J333</f>
        <v>2</v>
      </c>
      <c r="G28" s="245">
        <f>'Memo calc'!L333</f>
        <v>7.333333333333333</v>
      </c>
      <c r="H28" s="246">
        <f>'Memo calc'!N333</f>
        <v>3</v>
      </c>
      <c r="I28" s="246">
        <f>SUMIF(MO!$B$15:$B$120,"P8028",MO!$J$15:$J$120)</f>
        <v>44</v>
      </c>
      <c r="J28" s="246">
        <f t="shared" si="2"/>
        <v>0.2</v>
      </c>
      <c r="K28" s="146">
        <f t="shared" ca="1" si="3"/>
        <v>4255.96</v>
      </c>
      <c r="L28" s="146">
        <f ca="1">TRUNC(J28*K28*(1+Orcamento!$C$10),2)</f>
        <v>1235.1600000000001</v>
      </c>
      <c r="M28" s="368">
        <f ca="1">L28/Orcamento!$F$61</f>
        <v>3.1511700666058415E-3</v>
      </c>
    </row>
    <row r="29" spans="2:13" s="21" customFormat="1" ht="15" customHeight="1" x14ac:dyDescent="0.25">
      <c r="B29" s="110" t="str">
        <f>'Memo calc'!B887</f>
        <v>P8139</v>
      </c>
      <c r="C29" s="537" t="str">
        <f t="shared" ca="1" si="0"/>
        <v>Sondador</v>
      </c>
      <c r="D29" s="110" t="str">
        <f t="shared" ca="1" si="1"/>
        <v>T</v>
      </c>
      <c r="E29" s="110">
        <f>'Memo calc'!H887</f>
        <v>1</v>
      </c>
      <c r="F29" s="110">
        <f>'Memo calc'!J887</f>
        <v>1</v>
      </c>
      <c r="G29" s="245">
        <f>'Memo calc'!L887</f>
        <v>7.333333333333333</v>
      </c>
      <c r="H29" s="246">
        <f>'Memo calc'!N887</f>
        <v>5</v>
      </c>
      <c r="I29" s="246">
        <f>SUMIF(MO!$B$15:$B$120,"P8139",MO!$J$15:$J$120)</f>
        <v>45.833333333333329</v>
      </c>
      <c r="J29" s="246">
        <f t="shared" si="2"/>
        <v>0.20833333333333331</v>
      </c>
      <c r="K29" s="146">
        <f t="shared" ca="1" si="3"/>
        <v>5087.7700000000004</v>
      </c>
      <c r="L29" s="146">
        <f ca="1">TRUNC(J29*K29*(1+Orcamento!$C$10),2)</f>
        <v>1538.09</v>
      </c>
      <c r="M29" s="368">
        <f ca="1">L29/Orcamento!$F$61</f>
        <v>3.9240124095224734E-3</v>
      </c>
    </row>
    <row r="30" spans="2:13" ht="15" customHeight="1" x14ac:dyDescent="0.25">
      <c r="B30" s="110" t="str">
        <f>'Memo calc'!B202</f>
        <v>P8080</v>
      </c>
      <c r="C30" s="537" t="str">
        <f t="shared" ca="1" si="0"/>
        <v>Geólogo júnior</v>
      </c>
      <c r="D30" s="110" t="str">
        <f t="shared" ca="1" si="1"/>
        <v>S</v>
      </c>
      <c r="E30" s="110">
        <f>'Memo calc'!H202</f>
        <v>1</v>
      </c>
      <c r="F30" s="110">
        <f>'Memo calc'!J202</f>
        <v>1</v>
      </c>
      <c r="G30" s="245">
        <f>'Memo calc'!M202</f>
        <v>7.333333333333333</v>
      </c>
      <c r="H30" s="246">
        <f>'Memo calc'!P202</f>
        <v>1</v>
      </c>
      <c r="I30" s="246">
        <f>SUMIF(MO!$B$15:$B$120,"P8080",MO!$J$15:$J$120)</f>
        <v>18.919999999999998</v>
      </c>
      <c r="J30" s="246">
        <f t="shared" si="2"/>
        <v>8.5999999999999993E-2</v>
      </c>
      <c r="K30" s="146">
        <f t="shared" ca="1" si="3"/>
        <v>24321.09</v>
      </c>
      <c r="L30" s="146">
        <f ca="1">TRUNC(J30*K30*(1+Orcamento!$C$10),2)</f>
        <v>3035.14</v>
      </c>
      <c r="M30" s="368">
        <f ca="1">L30/Orcamento!$F$61</f>
        <v>7.7433225784174142E-3</v>
      </c>
    </row>
    <row r="31" spans="2:13" ht="15" customHeight="1" x14ac:dyDescent="0.25">
      <c r="B31" s="110" t="str">
        <f>'Memo calc'!B246</f>
        <v>P8155</v>
      </c>
      <c r="C31" s="537" t="str">
        <f t="shared" ca="1" si="0"/>
        <v>Técnico em geoprocessamento</v>
      </c>
      <c r="D31" s="110" t="str">
        <f t="shared" ca="1" si="1"/>
        <v>T</v>
      </c>
      <c r="E31" s="110">
        <f>'Memo calc'!H246</f>
        <v>1</v>
      </c>
      <c r="F31" s="110">
        <f>'Memo calc'!J246</f>
        <v>1</v>
      </c>
      <c r="G31" s="245">
        <f>'Memo calc'!M246</f>
        <v>7.333333333333333</v>
      </c>
      <c r="H31" s="246">
        <f>'Memo calc'!P246</f>
        <v>1</v>
      </c>
      <c r="I31" s="246">
        <f>SUMIF(MO!$B$15:$B$120,"P8155",MO!$J$15:$J$120)</f>
        <v>7.333333333333333</v>
      </c>
      <c r="J31" s="246">
        <f t="shared" si="2"/>
        <v>3.3333333333333333E-2</v>
      </c>
      <c r="K31" s="146">
        <f t="shared" ca="1" si="3"/>
        <v>6390.65</v>
      </c>
      <c r="L31" s="146">
        <f ca="1">TRUNC(J31*K31*(1+Orcamento!$C$10),2)</f>
        <v>309.11</v>
      </c>
      <c r="M31" s="368">
        <f ca="1">L31/Orcamento!$F$61</f>
        <v>7.8860890839124623E-4</v>
      </c>
    </row>
    <row r="32" spans="2:13" ht="15" customHeight="1" x14ac:dyDescent="0.25">
      <c r="B32" s="546" t="str">
        <f>MO!B71</f>
        <v>P8026</v>
      </c>
      <c r="C32" s="537" t="str">
        <f t="shared" ca="1" si="0"/>
        <v>Auxiliar administrativo</v>
      </c>
      <c r="D32" s="110" t="str">
        <f t="shared" ca="1" si="1"/>
        <v>A</v>
      </c>
      <c r="E32" s="110">
        <f>'Memo calc'!H247</f>
        <v>0</v>
      </c>
      <c r="F32" s="110">
        <f>'Memo calc'!J247</f>
        <v>0</v>
      </c>
      <c r="G32" s="245">
        <f>'Memo calc'!M247</f>
        <v>0</v>
      </c>
      <c r="H32" s="246">
        <f>MO!I71</f>
        <v>1.58</v>
      </c>
      <c r="I32" s="246">
        <f>SUMIF(MO!$B$15:$B$120,"P8026",MO!$J$15:$J$120)</f>
        <v>11.586666666666666</v>
      </c>
      <c r="J32" s="246">
        <f t="shared" si="2"/>
        <v>5.266666666666666E-2</v>
      </c>
      <c r="K32" s="146">
        <f t="shared" ca="1" si="3"/>
        <v>4681.6899999999996</v>
      </c>
      <c r="L32" s="146">
        <f ca="1">TRUNC(J32*K32*(1+Orcamento!$C$10),2)</f>
        <v>357.79</v>
      </c>
      <c r="M32" s="368">
        <f ca="1">L32/Orcamento!$F$61</f>
        <v>9.1280250180616606E-4</v>
      </c>
    </row>
    <row r="33" spans="2:13" ht="15" customHeight="1" x14ac:dyDescent="0.25">
      <c r="B33" s="72"/>
      <c r="C33" s="365"/>
      <c r="D33" s="73"/>
      <c r="E33" s="73"/>
      <c r="F33" s="73"/>
      <c r="G33" s="74"/>
      <c r="H33" s="75"/>
      <c r="I33" s="75"/>
      <c r="J33" s="75"/>
      <c r="K33" s="76" t="s">
        <v>676</v>
      </c>
      <c r="L33" s="77">
        <f ca="1">SUMIF($D$14:$D$32,"S",$L$14:$L$32)</f>
        <v>236370.44000000003</v>
      </c>
      <c r="M33" s="645">
        <f ca="1">SUM(M14:M32)</f>
        <v>0.71381510261404146</v>
      </c>
    </row>
    <row r="34" spans="2:13" ht="15" customHeight="1" x14ac:dyDescent="0.25">
      <c r="B34" s="72"/>
      <c r="C34" s="365"/>
      <c r="D34" s="73"/>
      <c r="E34" s="73"/>
      <c r="F34" s="73"/>
      <c r="G34" s="74"/>
      <c r="H34" s="75"/>
      <c r="I34" s="75"/>
      <c r="J34" s="75"/>
      <c r="K34" s="76" t="s">
        <v>677</v>
      </c>
      <c r="L34" s="77">
        <f ca="1">SUMIF($D$14:$D$32,"T",$L$14:$L$32)</f>
        <v>34819.24</v>
      </c>
      <c r="M34" s="646"/>
    </row>
    <row r="35" spans="2:13" ht="15" customHeight="1" x14ac:dyDescent="0.25">
      <c r="B35" s="72"/>
      <c r="C35" s="365"/>
      <c r="D35" s="73"/>
      <c r="E35" s="73"/>
      <c r="F35" s="73"/>
      <c r="G35" s="74"/>
      <c r="H35" s="75"/>
      <c r="I35" s="75"/>
      <c r="J35" s="75"/>
      <c r="K35" s="76" t="s">
        <v>678</v>
      </c>
      <c r="L35" s="77">
        <f ca="1">SUMIF($D$14:$D$32,"A",$L$14:$L$32)</f>
        <v>8603.4900000000016</v>
      </c>
      <c r="M35" s="646"/>
    </row>
    <row r="36" spans="2:13" ht="15" customHeight="1" x14ac:dyDescent="0.25">
      <c r="B36" s="72"/>
      <c r="C36" s="365"/>
      <c r="D36" s="73"/>
      <c r="E36" s="73"/>
      <c r="F36" s="73"/>
      <c r="G36" s="74"/>
      <c r="H36" s="75"/>
      <c r="I36" s="75"/>
      <c r="J36" s="75"/>
      <c r="K36" s="76" t="s">
        <v>693</v>
      </c>
      <c r="L36" s="77">
        <f ca="1">SUM(L33:L35)</f>
        <v>279793.17000000004</v>
      </c>
      <c r="M36" s="646"/>
    </row>
    <row r="37" spans="2:13" ht="15" customHeight="1" x14ac:dyDescent="0.25">
      <c r="B37" s="68" t="s">
        <v>587</v>
      </c>
    </row>
    <row r="38" spans="2:13" x14ac:dyDescent="0.25">
      <c r="B38" s="3" t="s">
        <v>679</v>
      </c>
    </row>
    <row r="39" spans="2:13" ht="30" customHeight="1" x14ac:dyDescent="0.25">
      <c r="B39" s="583" t="s">
        <v>858</v>
      </c>
      <c r="C39" s="583"/>
      <c r="D39" s="583"/>
      <c r="E39" s="583"/>
      <c r="F39" s="583"/>
      <c r="G39" s="583"/>
      <c r="H39" s="583"/>
      <c r="I39" s="583"/>
      <c r="J39" s="583"/>
      <c r="K39" s="583"/>
      <c r="L39" s="583"/>
      <c r="M39" s="366"/>
    </row>
    <row r="40" spans="2:13" ht="9" customHeight="1" x14ac:dyDescent="0.25"/>
    <row r="41" spans="2:13" ht="15" customHeight="1" x14ac:dyDescent="0.25">
      <c r="L41" s="91">
        <f ca="1">L33/(1+Orcamento!$C$10)</f>
        <v>162890.52442974297</v>
      </c>
    </row>
    <row r="42" spans="2:13" ht="15" customHeight="1" x14ac:dyDescent="0.25">
      <c r="L42" s="91">
        <f ca="1">L34/(1+Orcamento!$C$10)</f>
        <v>23995.065812142511</v>
      </c>
    </row>
    <row r="43" spans="2:13" ht="15" customHeight="1" x14ac:dyDescent="0.25">
      <c r="L43" s="91">
        <f ca="1">L35/(1+Orcamento!$C$10)</f>
        <v>5928.9435600578881</v>
      </c>
    </row>
  </sheetData>
  <sortState ref="B14:M30">
    <sortCondition descending="1" ref="M14:M30"/>
  </sortState>
  <mergeCells count="7">
    <mergeCell ref="B39:L39"/>
    <mergeCell ref="M33:M36"/>
    <mergeCell ref="C4:L4"/>
    <mergeCell ref="B10:L10"/>
    <mergeCell ref="B12:B13"/>
    <mergeCell ref="C12:C13"/>
    <mergeCell ref="D12:D13"/>
  </mergeCells>
  <printOptions horizontalCentered="1"/>
  <pageMargins left="0.78740157480314965" right="0.78740157480314965" top="0.39370078740157483" bottom="0.78740157480314965" header="0.19685039370078741" footer="0.19685039370078741"/>
  <pageSetup paperSize="9" scale="57" fitToHeight="0" orientation="portrait" r:id="rId1"/>
  <headerFooter>
    <oddFooter xml:space="preserve">&amp;C&amp;10Av. Des. José Nunes da Cunha, Bloco 14, Parque dos Poderes, Campo Grande (MS), CEP 79031-310
PABX: (67) 3318-5300/ Gab: 5538 – Fax (67) 3318-5386 – gabinete@seinfra.ms.gov.br
</oddFooter>
  </headerFooter>
  <rowBreaks count="1" manualBreakCount="1">
    <brk id="39" max="13" man="1"/>
  </rowBreaks>
  <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sheetPr>
  <dimension ref="A1:AA18"/>
  <sheetViews>
    <sheetView workbookViewId="0">
      <selection activeCell="H26" sqref="H26"/>
    </sheetView>
  </sheetViews>
  <sheetFormatPr defaultRowHeight="15" x14ac:dyDescent="0.25"/>
  <cols>
    <col min="2" max="2" width="58.5703125" customWidth="1"/>
    <col min="3" max="6" width="11.28515625" bestFit="1" customWidth="1"/>
    <col min="8" max="9" width="11.28515625" bestFit="1" customWidth="1"/>
  </cols>
  <sheetData>
    <row r="1" spans="1:27" ht="39" customHeight="1" x14ac:dyDescent="0.25">
      <c r="A1" s="473"/>
      <c r="B1" s="473"/>
      <c r="C1" s="473"/>
      <c r="D1" s="473"/>
      <c r="E1" s="473"/>
      <c r="F1" s="473"/>
      <c r="G1" s="473"/>
      <c r="H1" s="473"/>
      <c r="I1" s="473"/>
      <c r="J1" s="473"/>
      <c r="K1" s="473"/>
      <c r="L1" s="473"/>
      <c r="M1" s="473"/>
      <c r="N1" s="473"/>
      <c r="O1" s="473"/>
      <c r="P1" s="473"/>
      <c r="Q1" s="473"/>
      <c r="R1" s="473"/>
      <c r="S1" s="473"/>
      <c r="T1" s="473"/>
      <c r="U1" s="473"/>
      <c r="V1" s="473"/>
      <c r="W1" s="473"/>
      <c r="X1" s="473"/>
      <c r="Y1" s="473"/>
      <c r="Z1" s="473"/>
      <c r="AA1" s="473"/>
    </row>
    <row r="2" spans="1:27" ht="22.5" x14ac:dyDescent="0.25">
      <c r="A2" s="647" t="s">
        <v>1276</v>
      </c>
      <c r="B2" s="647"/>
      <c r="C2" s="647"/>
      <c r="D2" s="647"/>
      <c r="E2" s="647"/>
      <c r="F2" s="647"/>
      <c r="G2" s="647"/>
      <c r="H2" s="647"/>
      <c r="I2" s="647"/>
      <c r="J2" s="474"/>
      <c r="K2" s="474"/>
      <c r="L2" s="474"/>
      <c r="M2" s="474"/>
      <c r="N2" s="474"/>
      <c r="O2" s="474"/>
      <c r="P2" s="474"/>
      <c r="Q2" s="474"/>
      <c r="R2" s="474"/>
      <c r="S2" s="474"/>
      <c r="T2" s="474"/>
      <c r="U2" s="474"/>
      <c r="V2" s="474"/>
      <c r="W2" s="474"/>
      <c r="X2" s="474"/>
      <c r="Y2" s="474"/>
      <c r="Z2" s="474"/>
      <c r="AA2" s="474"/>
    </row>
    <row r="3" spans="1:27" ht="22.5" x14ac:dyDescent="0.25">
      <c r="A3" s="648" t="s">
        <v>1277</v>
      </c>
      <c r="B3" s="648"/>
      <c r="C3" s="648"/>
      <c r="D3" s="648"/>
      <c r="E3" s="648"/>
      <c r="F3" s="648"/>
      <c r="G3" s="648"/>
      <c r="H3" s="648"/>
      <c r="I3" s="648"/>
      <c r="J3" s="474"/>
      <c r="K3" s="474"/>
      <c r="L3" s="474"/>
      <c r="M3" s="474"/>
      <c r="N3" s="474"/>
      <c r="O3" s="474"/>
      <c r="P3" s="474"/>
      <c r="Q3" s="474"/>
      <c r="R3" s="474"/>
      <c r="S3" s="474"/>
      <c r="T3" s="474"/>
      <c r="U3" s="474"/>
      <c r="V3" s="474"/>
      <c r="W3" s="474"/>
      <c r="X3" s="474"/>
      <c r="Y3" s="474"/>
      <c r="Z3" s="474"/>
      <c r="AA3" s="474"/>
    </row>
    <row r="4" spans="1:27" ht="15.75" x14ac:dyDescent="0.25">
      <c r="A4" s="475"/>
      <c r="B4" s="475"/>
      <c r="C4" s="476"/>
      <c r="D4" s="477"/>
      <c r="E4" s="477"/>
      <c r="F4" s="478" t="s">
        <v>1278</v>
      </c>
      <c r="G4" s="479">
        <v>4.12</v>
      </c>
      <c r="H4" s="478" t="s">
        <v>1279</v>
      </c>
      <c r="I4" s="479">
        <v>4.8</v>
      </c>
      <c r="J4" s="473"/>
      <c r="K4" s="473"/>
      <c r="L4" s="473"/>
      <c r="M4" s="473"/>
      <c r="N4" s="473"/>
      <c r="O4" s="473"/>
      <c r="P4" s="473"/>
      <c r="Q4" s="473"/>
      <c r="R4" s="473"/>
      <c r="S4" s="473"/>
      <c r="T4" s="473"/>
      <c r="U4" s="473"/>
      <c r="V4" s="473"/>
      <c r="W4" s="473"/>
      <c r="X4" s="473"/>
      <c r="Y4" s="473"/>
      <c r="Z4" s="473"/>
      <c r="AA4" s="473"/>
    </row>
    <row r="5" spans="1:27" ht="15.75" x14ac:dyDescent="0.25">
      <c r="A5" s="649" t="s">
        <v>1280</v>
      </c>
      <c r="B5" s="649" t="s">
        <v>15</v>
      </c>
      <c r="C5" s="652" t="s">
        <v>1281</v>
      </c>
      <c r="D5" s="653"/>
      <c r="E5" s="653"/>
      <c r="F5" s="654"/>
      <c r="G5" s="655" t="s">
        <v>1282</v>
      </c>
      <c r="H5" s="655" t="s">
        <v>1283</v>
      </c>
      <c r="I5" s="655" t="s">
        <v>1284</v>
      </c>
      <c r="J5" s="474"/>
      <c r="L5" s="474"/>
      <c r="M5" s="474"/>
      <c r="N5" s="474"/>
      <c r="O5" s="474"/>
      <c r="P5" s="474"/>
      <c r="Q5" s="474"/>
      <c r="R5" s="474"/>
      <c r="S5" s="474"/>
      <c r="T5" s="474"/>
      <c r="U5" s="474"/>
      <c r="V5" s="474"/>
      <c r="W5" s="474"/>
      <c r="X5" s="474"/>
      <c r="Y5" s="474"/>
      <c r="Z5" s="474"/>
      <c r="AA5" s="474"/>
    </row>
    <row r="6" spans="1:27" ht="15.75" x14ac:dyDescent="0.25">
      <c r="A6" s="650"/>
      <c r="B6" s="651"/>
      <c r="C6" s="480">
        <v>1</v>
      </c>
      <c r="D6" s="480">
        <v>2</v>
      </c>
      <c r="E6" s="480">
        <v>3</v>
      </c>
      <c r="F6" s="481" t="s">
        <v>1285</v>
      </c>
      <c r="G6" s="656"/>
      <c r="H6" s="656"/>
      <c r="I6" s="656"/>
      <c r="J6" s="474"/>
      <c r="K6" s="474"/>
      <c r="L6" s="474"/>
      <c r="M6" s="474"/>
      <c r="N6" s="474"/>
      <c r="O6" s="474"/>
      <c r="P6" s="474"/>
      <c r="Q6" s="474"/>
      <c r="R6" s="474"/>
      <c r="S6" s="474"/>
      <c r="T6" s="474"/>
      <c r="U6" s="474"/>
      <c r="V6" s="474"/>
      <c r="W6" s="474"/>
      <c r="X6" s="474"/>
      <c r="Y6" s="474"/>
      <c r="Z6" s="474"/>
      <c r="AA6" s="474"/>
    </row>
    <row r="7" spans="1:27" ht="15.75" x14ac:dyDescent="0.25">
      <c r="A7" s="660" t="s">
        <v>1286</v>
      </c>
      <c r="B7" s="665" t="s">
        <v>1287</v>
      </c>
      <c r="C7" s="482">
        <f>723015-83925</f>
        <v>639090</v>
      </c>
      <c r="D7" s="482">
        <f>((477490.47)+14%*(477490.47)+5%*((477490.47)+14%*(477490.47))+2.1%*(477490.47)+9.65%*(477490.47))</f>
        <v>627661.22281499987</v>
      </c>
      <c r="E7" s="482">
        <f>((153000*$G$4)+14%*(153000*$G$4)+5%*((153000*$G$4)+14%*(153000*$G$4))+2.1%*(153000*$G$4)+9.65%*(153000*$G$4))*'[2]14_Pesquisa'!K4</f>
        <v>826365.5071751381</v>
      </c>
      <c r="F7" s="662">
        <f>AVERAGE(C7:E7)</f>
        <v>697705.57666337944</v>
      </c>
      <c r="G7" s="662">
        <v>1</v>
      </c>
      <c r="H7" s="662">
        <f>F7*G7</f>
        <v>697705.57666337944</v>
      </c>
      <c r="I7" s="657">
        <f>SUM(H7:H12)</f>
        <v>767167.52552345721</v>
      </c>
      <c r="J7" s="473"/>
      <c r="K7" s="473"/>
      <c r="L7" s="473"/>
      <c r="M7" s="473"/>
      <c r="N7" s="473"/>
      <c r="O7" s="473"/>
      <c r="P7" s="473"/>
      <c r="Q7" s="473"/>
      <c r="R7" s="473"/>
      <c r="S7" s="473"/>
      <c r="T7" s="473"/>
      <c r="U7" s="473"/>
      <c r="V7" s="473"/>
      <c r="W7" s="473"/>
      <c r="X7" s="473"/>
      <c r="Y7" s="473"/>
      <c r="Z7" s="473"/>
      <c r="AA7" s="473"/>
    </row>
    <row r="8" spans="1:27" ht="30" x14ac:dyDescent="0.25">
      <c r="A8" s="664"/>
      <c r="B8" s="666"/>
      <c r="C8" s="483" t="s">
        <v>1288</v>
      </c>
      <c r="D8" s="483" t="s">
        <v>1289</v>
      </c>
      <c r="E8" s="483" t="s">
        <v>1290</v>
      </c>
      <c r="F8" s="663"/>
      <c r="G8" s="663"/>
      <c r="H8" s="663"/>
      <c r="I8" s="658"/>
      <c r="J8" s="473"/>
      <c r="K8" s="473"/>
      <c r="L8" s="473"/>
      <c r="M8" s="473"/>
      <c r="N8" s="473"/>
      <c r="O8" s="473"/>
      <c r="P8" s="473"/>
      <c r="Q8" s="473"/>
      <c r="R8" s="473"/>
      <c r="S8" s="473"/>
      <c r="T8" s="473"/>
      <c r="U8" s="473"/>
      <c r="V8" s="473"/>
      <c r="W8" s="473"/>
      <c r="X8" s="473"/>
      <c r="Y8" s="473"/>
      <c r="Z8" s="473"/>
      <c r="AA8" s="473"/>
    </row>
    <row r="9" spans="1:27" ht="15.75" x14ac:dyDescent="0.25">
      <c r="A9" s="664"/>
      <c r="B9" s="660" t="s">
        <v>1291</v>
      </c>
      <c r="C9" s="482">
        <f>51400*('[2]14_Pesquisa'!$K$4)</f>
        <v>51260.880647312544</v>
      </c>
      <c r="D9" s="482">
        <f>58000*('[2]14_Pesquisa'!$K$4)</f>
        <v>57843.017072842951</v>
      </c>
      <c r="E9" s="482"/>
      <c r="F9" s="662">
        <f>AVERAGE(C9:E9)</f>
        <v>54551.948860077748</v>
      </c>
      <c r="G9" s="662">
        <v>1</v>
      </c>
      <c r="H9" s="662">
        <f>F9*G9</f>
        <v>54551.948860077748</v>
      </c>
      <c r="I9" s="658"/>
      <c r="J9" s="473"/>
      <c r="K9" s="473"/>
      <c r="L9" s="473"/>
      <c r="M9" s="473"/>
      <c r="N9" s="473"/>
      <c r="O9" s="473"/>
      <c r="P9" s="473"/>
      <c r="Q9" s="473"/>
      <c r="R9" s="473"/>
      <c r="S9" s="473"/>
      <c r="T9" s="473"/>
      <c r="U9" s="473"/>
      <c r="V9" s="473"/>
      <c r="W9" s="473"/>
      <c r="X9" s="473"/>
      <c r="Y9" s="473"/>
      <c r="Z9" s="473"/>
      <c r="AA9" s="473"/>
    </row>
    <row r="10" spans="1:27" ht="15.75" x14ac:dyDescent="0.25">
      <c r="A10" s="664"/>
      <c r="B10" s="661"/>
      <c r="C10" s="484" t="s">
        <v>1292</v>
      </c>
      <c r="D10" s="484" t="s">
        <v>1293</v>
      </c>
      <c r="E10" s="484"/>
      <c r="F10" s="663"/>
      <c r="G10" s="663"/>
      <c r="H10" s="663"/>
      <c r="I10" s="658"/>
      <c r="J10" s="473"/>
      <c r="K10" s="473"/>
      <c r="L10" s="473"/>
      <c r="M10" s="473"/>
      <c r="N10" s="473"/>
      <c r="O10" s="473"/>
      <c r="P10" s="473"/>
      <c r="Q10" s="473"/>
      <c r="R10" s="473"/>
      <c r="S10" s="473"/>
      <c r="T10" s="473"/>
      <c r="U10" s="473"/>
      <c r="V10" s="473"/>
      <c r="W10" s="473"/>
      <c r="X10" s="473"/>
      <c r="Y10" s="473"/>
      <c r="Z10" s="473"/>
      <c r="AA10" s="473"/>
    </row>
    <row r="11" spans="1:27" ht="15.75" x14ac:dyDescent="0.25">
      <c r="A11" s="664"/>
      <c r="B11" s="660" t="s">
        <v>1294</v>
      </c>
      <c r="C11" s="482">
        <f>(1200)*$G$4</f>
        <v>4944</v>
      </c>
      <c r="D11" s="482">
        <v>4996</v>
      </c>
      <c r="E11" s="482"/>
      <c r="F11" s="662">
        <f>AVERAGE(C11:E11)</f>
        <v>4970</v>
      </c>
      <c r="G11" s="662">
        <v>3</v>
      </c>
      <c r="H11" s="662">
        <f>F11*G11</f>
        <v>14910</v>
      </c>
      <c r="I11" s="658"/>
      <c r="J11" s="473"/>
      <c r="K11" s="473"/>
      <c r="L11" s="473"/>
      <c r="M11" s="473"/>
      <c r="N11" s="473"/>
      <c r="O11" s="473"/>
      <c r="P11" s="473"/>
      <c r="Q11" s="473"/>
      <c r="R11" s="473"/>
      <c r="S11" s="473"/>
      <c r="T11" s="473"/>
      <c r="U11" s="473"/>
      <c r="V11" s="473"/>
      <c r="W11" s="473"/>
      <c r="X11" s="473"/>
      <c r="Y11" s="473"/>
      <c r="Z11" s="473"/>
      <c r="AA11" s="473"/>
    </row>
    <row r="12" spans="1:27" ht="15.75" x14ac:dyDescent="0.25">
      <c r="A12" s="661"/>
      <c r="B12" s="661"/>
      <c r="C12" s="484" t="s">
        <v>1295</v>
      </c>
      <c r="D12" s="484" t="s">
        <v>1296</v>
      </c>
      <c r="E12" s="484"/>
      <c r="F12" s="663"/>
      <c r="G12" s="663"/>
      <c r="H12" s="663"/>
      <c r="I12" s="659"/>
      <c r="J12" s="473"/>
      <c r="K12" s="473"/>
      <c r="L12" s="473"/>
      <c r="M12" s="473"/>
      <c r="N12" s="473"/>
      <c r="O12" s="473"/>
      <c r="P12" s="473"/>
      <c r="Q12" s="473"/>
      <c r="R12" s="473"/>
      <c r="S12" s="473"/>
      <c r="T12" s="473"/>
      <c r="U12" s="473"/>
      <c r="V12" s="473"/>
      <c r="W12" s="473"/>
      <c r="X12" s="473"/>
      <c r="Y12" s="473"/>
      <c r="Z12" s="473"/>
      <c r="AA12" s="473"/>
    </row>
    <row r="13" spans="1:27" ht="15.75" x14ac:dyDescent="0.25">
      <c r="A13" s="473"/>
      <c r="B13" s="473"/>
      <c r="C13" s="473"/>
      <c r="D13" s="473"/>
      <c r="E13" s="473"/>
      <c r="F13" s="473"/>
      <c r="G13" s="473"/>
      <c r="H13" s="473"/>
      <c r="I13" s="473"/>
      <c r="J13" s="473"/>
      <c r="K13" s="473"/>
      <c r="L13" s="473"/>
      <c r="M13" s="473"/>
      <c r="N13" s="473"/>
      <c r="O13" s="473"/>
      <c r="P13" s="473"/>
      <c r="Q13" s="473"/>
      <c r="R13" s="473"/>
      <c r="S13" s="473"/>
      <c r="T13" s="473"/>
      <c r="U13" s="473"/>
      <c r="V13" s="473"/>
      <c r="W13" s="473"/>
      <c r="X13" s="473"/>
      <c r="Y13" s="473"/>
      <c r="Z13" s="473"/>
      <c r="AA13" s="473"/>
    </row>
    <row r="14" spans="1:27" ht="15.75" x14ac:dyDescent="0.25">
      <c r="A14" s="485"/>
      <c r="B14" s="473"/>
      <c r="C14" s="473"/>
      <c r="D14" s="486"/>
      <c r="E14" s="473"/>
      <c r="F14" s="473"/>
      <c r="G14" s="473"/>
      <c r="H14" s="473"/>
      <c r="I14" s="473"/>
      <c r="J14" s="473"/>
      <c r="K14" s="473"/>
      <c r="L14" s="473"/>
      <c r="M14" s="473"/>
      <c r="N14" s="473"/>
      <c r="O14" s="473"/>
      <c r="P14" s="473"/>
      <c r="Q14" s="473"/>
      <c r="R14" s="473"/>
      <c r="S14" s="473"/>
      <c r="T14" s="473"/>
      <c r="U14" s="473"/>
      <c r="V14" s="473"/>
      <c r="W14" s="473"/>
      <c r="X14" s="473"/>
      <c r="Y14" s="473"/>
      <c r="Z14" s="473"/>
      <c r="AA14" s="473"/>
    </row>
    <row r="15" spans="1:27" ht="15.75" x14ac:dyDescent="0.25">
      <c r="A15" s="487"/>
      <c r="B15" s="488"/>
      <c r="C15" s="473"/>
      <c r="D15" s="488"/>
      <c r="E15" s="485"/>
      <c r="F15" s="473"/>
      <c r="G15" s="473"/>
      <c r="H15" s="473"/>
      <c r="I15" s="473"/>
      <c r="J15" s="473"/>
      <c r="K15" s="473"/>
      <c r="L15" s="473"/>
      <c r="M15" s="473"/>
      <c r="N15" s="473"/>
      <c r="O15" s="473"/>
      <c r="P15" s="473"/>
      <c r="Q15" s="473"/>
      <c r="R15" s="473"/>
      <c r="S15" s="473"/>
      <c r="T15" s="473"/>
      <c r="U15" s="473"/>
      <c r="V15" s="473"/>
      <c r="W15" s="473"/>
      <c r="X15" s="473"/>
      <c r="Y15" s="473"/>
      <c r="Z15" s="473"/>
      <c r="AA15" s="473"/>
    </row>
    <row r="16" spans="1:27" ht="15.75" x14ac:dyDescent="0.25">
      <c r="A16" s="487"/>
      <c r="B16" s="488"/>
      <c r="C16" s="473"/>
      <c r="D16" s="488"/>
      <c r="E16" s="489"/>
      <c r="F16" s="473"/>
      <c r="G16" s="473"/>
      <c r="H16" s="473"/>
      <c r="I16" s="487"/>
      <c r="J16" s="473"/>
      <c r="K16" s="473"/>
      <c r="L16" s="473"/>
      <c r="M16" s="473"/>
      <c r="N16" s="473"/>
      <c r="O16" s="473"/>
      <c r="P16" s="473"/>
      <c r="Q16" s="473"/>
      <c r="R16" s="473"/>
      <c r="S16" s="473"/>
      <c r="T16" s="473"/>
      <c r="U16" s="473"/>
      <c r="V16" s="473"/>
      <c r="W16" s="473"/>
      <c r="X16" s="473"/>
      <c r="Y16" s="473"/>
      <c r="Z16" s="473"/>
      <c r="AA16" s="473"/>
    </row>
    <row r="17" spans="1:27" ht="15.75" x14ac:dyDescent="0.25">
      <c r="A17" s="490"/>
      <c r="B17" s="488"/>
      <c r="C17" s="473"/>
      <c r="D17" s="488"/>
      <c r="E17" s="473"/>
      <c r="F17" s="473"/>
      <c r="G17" s="473"/>
      <c r="H17" s="473"/>
      <c r="I17" s="487"/>
      <c r="J17" s="473"/>
      <c r="K17" s="473"/>
      <c r="L17" s="473"/>
      <c r="M17" s="473"/>
      <c r="N17" s="473"/>
      <c r="O17" s="473"/>
      <c r="P17" s="473"/>
      <c r="Q17" s="473"/>
      <c r="R17" s="473"/>
      <c r="S17" s="473"/>
      <c r="T17" s="473"/>
      <c r="U17" s="473"/>
      <c r="V17" s="473"/>
      <c r="W17" s="473"/>
      <c r="X17" s="473"/>
      <c r="Y17" s="473"/>
      <c r="Z17" s="473"/>
      <c r="AA17" s="473"/>
    </row>
    <row r="18" spans="1:27" ht="15.75" x14ac:dyDescent="0.25">
      <c r="A18" s="490"/>
      <c r="B18" s="488"/>
      <c r="C18" s="473"/>
      <c r="D18" s="488"/>
      <c r="E18" s="473"/>
      <c r="F18" s="473"/>
      <c r="G18" s="473"/>
      <c r="H18" s="473"/>
      <c r="I18" s="473"/>
      <c r="J18" s="473"/>
      <c r="K18" s="473"/>
      <c r="L18" s="473"/>
      <c r="M18" s="473"/>
      <c r="N18" s="473"/>
      <c r="O18" s="473"/>
      <c r="P18" s="473"/>
      <c r="Q18" s="473"/>
      <c r="R18" s="473"/>
      <c r="S18" s="473"/>
      <c r="T18" s="473"/>
      <c r="U18" s="473"/>
      <c r="V18" s="473"/>
      <c r="W18" s="473"/>
      <c r="X18" s="473"/>
      <c r="Y18" s="473"/>
      <c r="Z18" s="473"/>
      <c r="AA18" s="473"/>
    </row>
  </sheetData>
  <mergeCells count="22">
    <mergeCell ref="A7:A12"/>
    <mergeCell ref="B7:B8"/>
    <mergeCell ref="F7:F8"/>
    <mergeCell ref="G7:G8"/>
    <mergeCell ref="H7:H8"/>
    <mergeCell ref="I7:I12"/>
    <mergeCell ref="B9:B10"/>
    <mergeCell ref="F9:F10"/>
    <mergeCell ref="G9:G10"/>
    <mergeCell ref="H9:H10"/>
    <mergeCell ref="B11:B12"/>
    <mergeCell ref="F11:F12"/>
    <mergeCell ref="G11:G12"/>
    <mergeCell ref="H11:H12"/>
    <mergeCell ref="A2:I2"/>
    <mergeCell ref="A3:I3"/>
    <mergeCell ref="A5:A6"/>
    <mergeCell ref="B5:B6"/>
    <mergeCell ref="C5:F5"/>
    <mergeCell ref="G5:G6"/>
    <mergeCell ref="H5:H6"/>
    <mergeCell ref="I5:I6"/>
  </mergeCells>
  <pageMargins left="0.511811024" right="0.511811024" top="0.78740157499999996" bottom="0.78740157499999996" header="0.31496062000000002" footer="0.31496062000000002"/>
  <drawing r:id="rId1"/>
  <legacy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3"/>
  <sheetViews>
    <sheetView topLeftCell="A19" workbookViewId="0">
      <selection activeCell="F19" sqref="F19"/>
    </sheetView>
  </sheetViews>
  <sheetFormatPr defaultRowHeight="15" x14ac:dyDescent="0.25"/>
  <cols>
    <col min="1" max="1" width="53.42578125" bestFit="1" customWidth="1"/>
    <col min="2" max="2" width="17.7109375" bestFit="1" customWidth="1"/>
    <col min="4" max="4" width="56.140625" bestFit="1" customWidth="1"/>
  </cols>
  <sheetData>
    <row r="1" spans="1:13" ht="56.25" customHeight="1" x14ac:dyDescent="0.25">
      <c r="A1" s="491"/>
      <c r="B1" s="491"/>
      <c r="C1" s="491"/>
      <c r="D1" s="491"/>
      <c r="E1" s="491"/>
      <c r="F1" s="491"/>
      <c r="G1" s="491"/>
      <c r="H1" s="491"/>
      <c r="I1" s="491"/>
      <c r="J1" s="491"/>
      <c r="K1" s="491"/>
      <c r="L1" s="491"/>
      <c r="M1" s="491"/>
    </row>
    <row r="2" spans="1:13" ht="25.5" x14ac:dyDescent="0.25">
      <c r="A2" s="669" t="s">
        <v>1297</v>
      </c>
      <c r="B2" s="669"/>
      <c r="C2" s="669"/>
      <c r="D2" s="669"/>
      <c r="E2" s="669"/>
      <c r="F2" s="491"/>
      <c r="G2" s="491"/>
      <c r="H2" s="491"/>
      <c r="I2" s="491"/>
      <c r="J2" s="491"/>
      <c r="K2" s="491"/>
      <c r="L2" s="491"/>
      <c r="M2" s="491"/>
    </row>
    <row r="3" spans="1:13" ht="22.5" x14ac:dyDescent="0.25">
      <c r="A3" s="670" t="s">
        <v>1298</v>
      </c>
      <c r="B3" s="670"/>
      <c r="C3" s="670"/>
      <c r="D3" s="670"/>
      <c r="E3" s="670"/>
      <c r="F3" s="491"/>
      <c r="G3" s="491"/>
      <c r="H3" s="491"/>
      <c r="I3" s="491"/>
      <c r="J3" s="491"/>
      <c r="K3" s="491"/>
      <c r="L3" s="491"/>
      <c r="M3" s="491"/>
    </row>
    <row r="4" spans="1:13" x14ac:dyDescent="0.25">
      <c r="A4" s="492"/>
      <c r="B4" s="492"/>
      <c r="C4" s="492"/>
      <c r="D4" s="492"/>
      <c r="E4" s="492"/>
      <c r="F4" s="491"/>
      <c r="G4" s="491"/>
      <c r="H4" s="491"/>
      <c r="I4" s="491"/>
      <c r="J4" s="491"/>
      <c r="K4" s="491"/>
      <c r="L4" s="491"/>
      <c r="M4" s="491"/>
    </row>
    <row r="5" spans="1:13" ht="20.25" x14ac:dyDescent="0.25">
      <c r="A5" s="493"/>
      <c r="B5" s="494"/>
      <c r="C5" s="494"/>
      <c r="D5" s="495" t="s">
        <v>1299</v>
      </c>
      <c r="E5" s="496">
        <v>43344</v>
      </c>
      <c r="F5" s="491"/>
      <c r="G5" s="491"/>
      <c r="H5" s="491"/>
      <c r="I5" s="491"/>
      <c r="J5" s="491"/>
      <c r="K5" s="491"/>
      <c r="L5" s="491"/>
      <c r="M5" s="491"/>
    </row>
    <row r="6" spans="1:13" ht="18.75" x14ac:dyDescent="0.25">
      <c r="A6" s="497" t="s">
        <v>1300</v>
      </c>
      <c r="B6" s="497" t="s">
        <v>1301</v>
      </c>
      <c r="C6" s="497" t="s">
        <v>1302</v>
      </c>
      <c r="D6" s="671" t="s">
        <v>1303</v>
      </c>
      <c r="E6" s="672"/>
      <c r="F6" s="491"/>
      <c r="G6" s="491"/>
      <c r="H6" s="491"/>
      <c r="I6" s="491"/>
      <c r="J6" s="491"/>
      <c r="K6" s="491"/>
      <c r="L6" s="491"/>
      <c r="M6" s="491"/>
    </row>
    <row r="7" spans="1:13" ht="18.75" x14ac:dyDescent="0.25">
      <c r="A7" s="498" t="s">
        <v>1304</v>
      </c>
      <c r="B7" s="499">
        <f>'[2]15_Conj VDR'!$I$7</f>
        <v>767167.52552345721</v>
      </c>
      <c r="C7" s="500">
        <v>1</v>
      </c>
      <c r="D7" s="673" t="s">
        <v>1305</v>
      </c>
      <c r="E7" s="674"/>
      <c r="F7" s="491"/>
      <c r="G7" s="491"/>
      <c r="H7" s="491"/>
      <c r="I7" s="491"/>
      <c r="J7" s="491"/>
      <c r="K7" s="491"/>
      <c r="L7" s="491"/>
      <c r="M7" s="491"/>
    </row>
    <row r="8" spans="1:13" ht="18.75" x14ac:dyDescent="0.25">
      <c r="A8" s="498" t="s">
        <v>1306</v>
      </c>
      <c r="B8" s="499" t="s">
        <v>259</v>
      </c>
      <c r="C8" s="501">
        <v>7</v>
      </c>
      <c r="D8" s="502" t="s">
        <v>1307</v>
      </c>
      <c r="E8" s="503"/>
      <c r="F8" s="491"/>
      <c r="G8" s="491"/>
      <c r="H8" s="491"/>
      <c r="I8" s="491"/>
      <c r="J8" s="491"/>
      <c r="K8" s="491"/>
      <c r="L8" s="491"/>
      <c r="M8" s="491"/>
    </row>
    <row r="9" spans="1:13" ht="18.75" x14ac:dyDescent="0.25">
      <c r="A9" s="498" t="s">
        <v>1308</v>
      </c>
      <c r="B9" s="499" t="s">
        <v>259</v>
      </c>
      <c r="C9" s="504">
        <v>1584</v>
      </c>
      <c r="D9" s="502"/>
      <c r="E9" s="505"/>
      <c r="F9" s="491"/>
      <c r="G9" s="491"/>
      <c r="H9" s="491"/>
      <c r="I9" s="491"/>
      <c r="J9" s="491"/>
      <c r="K9" s="491"/>
      <c r="L9" s="491"/>
      <c r="M9" s="491"/>
    </row>
    <row r="10" spans="1:13" ht="18.75" x14ac:dyDescent="0.25">
      <c r="A10" s="498" t="s">
        <v>1309</v>
      </c>
      <c r="B10" s="499" t="s">
        <v>259</v>
      </c>
      <c r="C10" s="506">
        <v>0.06</v>
      </c>
      <c r="D10" s="507"/>
      <c r="E10" s="508"/>
      <c r="F10" s="491"/>
      <c r="G10" s="491"/>
      <c r="H10" s="491"/>
      <c r="I10" s="491"/>
      <c r="J10" s="491"/>
      <c r="K10" s="491"/>
      <c r="L10" s="491"/>
      <c r="M10" s="491"/>
    </row>
    <row r="11" spans="1:13" ht="18.75" x14ac:dyDescent="0.25">
      <c r="A11" s="498" t="s">
        <v>1310</v>
      </c>
      <c r="B11" s="509" t="s">
        <v>259</v>
      </c>
      <c r="C11" s="510">
        <v>0.8</v>
      </c>
      <c r="D11" s="511"/>
      <c r="E11" s="508"/>
      <c r="F11" s="491"/>
      <c r="G11" s="491"/>
      <c r="H11" s="491"/>
      <c r="I11" s="491"/>
      <c r="J11" s="491"/>
      <c r="K11" s="491"/>
      <c r="L11" s="491"/>
      <c r="M11" s="491"/>
    </row>
    <row r="12" spans="1:13" ht="18.75" x14ac:dyDescent="0.25">
      <c r="A12" s="498" t="s">
        <v>1311</v>
      </c>
      <c r="B12" s="499">
        <f>ROUND($B$7*$C$12,2)</f>
        <v>115075.13</v>
      </c>
      <c r="C12" s="512">
        <v>0.15</v>
      </c>
      <c r="D12" s="507"/>
      <c r="E12" s="513"/>
      <c r="F12" s="491"/>
      <c r="G12" s="491"/>
      <c r="H12" s="491"/>
      <c r="I12" s="491"/>
      <c r="J12" s="491"/>
      <c r="K12" s="491"/>
      <c r="L12" s="491"/>
      <c r="M12" s="491"/>
    </row>
    <row r="13" spans="1:13" ht="20.25" x14ac:dyDescent="0.25">
      <c r="A13" s="667" t="s">
        <v>1312</v>
      </c>
      <c r="B13" s="667"/>
      <c r="C13" s="667"/>
      <c r="D13" s="667"/>
      <c r="E13" s="667"/>
      <c r="F13" s="514"/>
      <c r="G13" s="514"/>
      <c r="H13" s="514"/>
      <c r="I13" s="514"/>
      <c r="J13" s="514"/>
      <c r="K13" s="514"/>
      <c r="L13" s="514"/>
      <c r="M13" s="514"/>
    </row>
    <row r="14" spans="1:13" ht="18.75" x14ac:dyDescent="0.25">
      <c r="A14" s="498" t="s">
        <v>1313</v>
      </c>
      <c r="B14" s="499">
        <f>ROUND(($B$7-$B$12)/($C$8*$C$9),2)</f>
        <v>58.81</v>
      </c>
      <c r="C14" s="499" t="s">
        <v>259</v>
      </c>
      <c r="D14" s="511" t="s">
        <v>1314</v>
      </c>
      <c r="E14" s="508"/>
      <c r="F14" s="491"/>
      <c r="G14" s="491"/>
      <c r="H14" s="491"/>
      <c r="I14" s="491"/>
      <c r="J14" s="491"/>
      <c r="K14" s="491"/>
      <c r="L14" s="491"/>
      <c r="M14" s="491"/>
    </row>
    <row r="15" spans="1:13" ht="18.75" x14ac:dyDescent="0.25">
      <c r="A15" s="498" t="s">
        <v>1315</v>
      </c>
      <c r="B15" s="499">
        <f>ROUND(($C$8+1)*$B$7/(2*$C$8),2)</f>
        <v>438381.44</v>
      </c>
      <c r="C15" s="499" t="s">
        <v>259</v>
      </c>
      <c r="D15" s="511" t="s">
        <v>1316</v>
      </c>
      <c r="E15" s="508"/>
      <c r="F15" s="491"/>
      <c r="G15" s="491"/>
      <c r="H15" s="491"/>
      <c r="I15" s="491"/>
      <c r="J15" s="491"/>
      <c r="K15" s="491"/>
      <c r="L15" s="491"/>
      <c r="M15" s="491"/>
    </row>
    <row r="16" spans="1:13" ht="18.75" x14ac:dyDescent="0.25">
      <c r="A16" s="498" t="s">
        <v>1317</v>
      </c>
      <c r="B16" s="499">
        <f>ROUND($B$15*$C$10/$C$9,2)</f>
        <v>16.61</v>
      </c>
      <c r="C16" s="499" t="s">
        <v>259</v>
      </c>
      <c r="D16" s="511" t="s">
        <v>1314</v>
      </c>
      <c r="E16" s="508"/>
      <c r="F16" s="491"/>
      <c r="G16" s="491"/>
      <c r="H16" s="491"/>
      <c r="I16" s="491"/>
      <c r="J16" s="491"/>
      <c r="K16" s="491"/>
      <c r="L16" s="491"/>
      <c r="M16" s="491"/>
    </row>
    <row r="17" spans="1:13" ht="18.75" x14ac:dyDescent="0.25">
      <c r="A17" s="498" t="s">
        <v>1318</v>
      </c>
      <c r="B17" s="499">
        <f>ROUND(2.5%*$B$15/$C$9,2)</f>
        <v>6.92</v>
      </c>
      <c r="C17" s="499" t="s">
        <v>259</v>
      </c>
      <c r="D17" s="511" t="s">
        <v>1314</v>
      </c>
      <c r="E17" s="508"/>
      <c r="F17" s="491"/>
      <c r="G17" s="491"/>
      <c r="H17" s="491"/>
      <c r="I17" s="491"/>
      <c r="J17" s="491"/>
      <c r="K17" s="491"/>
      <c r="L17" s="491"/>
      <c r="M17" s="491"/>
    </row>
    <row r="18" spans="1:13" ht="20.25" x14ac:dyDescent="0.25">
      <c r="A18" s="667" t="s">
        <v>1319</v>
      </c>
      <c r="B18" s="667"/>
      <c r="C18" s="667"/>
      <c r="D18" s="667"/>
      <c r="E18" s="667"/>
      <c r="F18" s="514"/>
      <c r="G18" s="514"/>
      <c r="H18" s="514"/>
      <c r="I18" s="514"/>
      <c r="J18" s="514"/>
      <c r="K18" s="514"/>
      <c r="L18" s="514"/>
      <c r="M18" s="514"/>
    </row>
    <row r="19" spans="1:13" ht="18.75" x14ac:dyDescent="0.25">
      <c r="A19" s="498" t="s">
        <v>1320</v>
      </c>
      <c r="B19" s="499">
        <f>ROUND(($B$7*$C$11)/($C$8*$C$9),2)</f>
        <v>55.35</v>
      </c>
      <c r="C19" s="499" t="s">
        <v>259</v>
      </c>
      <c r="D19" s="511" t="s">
        <v>1314</v>
      </c>
      <c r="E19" s="508"/>
      <c r="F19" s="491"/>
      <c r="G19" s="491"/>
      <c r="H19" s="491"/>
      <c r="I19" s="491"/>
      <c r="J19" s="491"/>
      <c r="K19" s="491"/>
      <c r="L19" s="491"/>
      <c r="M19" s="491"/>
    </row>
    <row r="20" spans="1:13" ht="20.25" x14ac:dyDescent="0.25">
      <c r="A20" s="667" t="s">
        <v>1321</v>
      </c>
      <c r="B20" s="667"/>
      <c r="C20" s="667"/>
      <c r="D20" s="667"/>
      <c r="E20" s="667"/>
      <c r="F20" s="514"/>
      <c r="G20" s="514"/>
      <c r="H20" s="514"/>
      <c r="I20" s="514"/>
      <c r="J20" s="514"/>
      <c r="K20" s="514"/>
      <c r="L20" s="514"/>
      <c r="M20" s="514"/>
    </row>
    <row r="21" spans="1:13" ht="18.75" x14ac:dyDescent="0.25">
      <c r="A21" s="498" t="s">
        <v>1322</v>
      </c>
      <c r="B21" s="499">
        <v>0</v>
      </c>
      <c r="C21" s="499" t="s">
        <v>259</v>
      </c>
      <c r="D21" s="511" t="s">
        <v>1314</v>
      </c>
      <c r="E21" s="508"/>
      <c r="F21" s="491"/>
      <c r="G21" s="491"/>
      <c r="H21" s="491"/>
      <c r="I21" s="491"/>
      <c r="J21" s="491"/>
      <c r="K21" s="491"/>
      <c r="L21" s="491"/>
      <c r="M21" s="491"/>
    </row>
    <row r="22" spans="1:13" ht="18.75" x14ac:dyDescent="0.25">
      <c r="A22" s="498" t="s">
        <v>1323</v>
      </c>
      <c r="B22" s="499">
        <v>0</v>
      </c>
      <c r="C22" s="499" t="s">
        <v>259</v>
      </c>
      <c r="D22" s="511" t="s">
        <v>1314</v>
      </c>
      <c r="E22" s="508"/>
      <c r="F22" s="491"/>
      <c r="G22" s="491"/>
      <c r="H22" s="491"/>
      <c r="I22" s="491"/>
      <c r="J22" s="491"/>
      <c r="K22" s="491"/>
      <c r="L22" s="491"/>
      <c r="M22" s="491"/>
    </row>
    <row r="23" spans="1:13" ht="20.25" x14ac:dyDescent="0.25">
      <c r="A23" s="668" t="s">
        <v>1324</v>
      </c>
      <c r="B23" s="668"/>
      <c r="C23" s="668"/>
      <c r="D23" s="668"/>
      <c r="E23" s="668"/>
      <c r="F23" s="514"/>
      <c r="G23" s="514"/>
      <c r="H23" s="514"/>
      <c r="I23" s="514"/>
      <c r="J23" s="514"/>
      <c r="K23" s="514"/>
      <c r="L23" s="514"/>
      <c r="M23" s="514"/>
    </row>
    <row r="24" spans="1:13" ht="18.75" x14ac:dyDescent="0.25">
      <c r="A24" s="498" t="s">
        <v>1325</v>
      </c>
      <c r="B24" s="499">
        <f>$B$14+$B$16+$B$19+$B$21+$B$22+$B$17</f>
        <v>137.69</v>
      </c>
      <c r="C24" s="499" t="s">
        <v>259</v>
      </c>
      <c r="D24" s="511" t="s">
        <v>1326</v>
      </c>
      <c r="E24" s="508"/>
      <c r="F24" s="491"/>
      <c r="G24" s="491"/>
      <c r="H24" s="491"/>
      <c r="I24" s="491"/>
      <c r="J24" s="491"/>
      <c r="K24" s="491"/>
      <c r="L24" s="491"/>
      <c r="M24" s="491"/>
    </row>
    <row r="25" spans="1:13" ht="18.75" x14ac:dyDescent="0.25">
      <c r="A25" s="498" t="s">
        <v>1327</v>
      </c>
      <c r="B25" s="499">
        <f>$B$22+$B$14+$B$16+$B$17</f>
        <v>82.34</v>
      </c>
      <c r="C25" s="499" t="s">
        <v>259</v>
      </c>
      <c r="D25" s="511" t="s">
        <v>1328</v>
      </c>
      <c r="E25" s="508"/>
      <c r="F25" s="491"/>
      <c r="G25" s="491"/>
      <c r="H25" s="491"/>
      <c r="I25" s="491"/>
      <c r="J25" s="491"/>
      <c r="K25" s="491"/>
      <c r="L25" s="491"/>
      <c r="M25" s="491"/>
    </row>
    <row r="26" spans="1:13" ht="20.25" x14ac:dyDescent="0.25">
      <c r="A26" s="668" t="s">
        <v>1329</v>
      </c>
      <c r="B26" s="668"/>
      <c r="C26" s="668"/>
      <c r="D26" s="668"/>
      <c r="E26" s="668"/>
      <c r="F26" s="514"/>
      <c r="G26" s="514"/>
      <c r="H26" s="514"/>
      <c r="I26" s="514"/>
      <c r="J26" s="514"/>
      <c r="K26" s="514"/>
      <c r="L26" s="514"/>
      <c r="M26" s="514"/>
    </row>
    <row r="27" spans="1:13" ht="18.75" x14ac:dyDescent="0.25">
      <c r="A27" s="498" t="s">
        <v>1330</v>
      </c>
      <c r="B27" s="499">
        <f>ROUND($E$27*$B$24,2)</f>
        <v>18175.080000000002</v>
      </c>
      <c r="C27" s="499" t="s">
        <v>259</v>
      </c>
      <c r="D27" s="511" t="s">
        <v>1331</v>
      </c>
      <c r="E27" s="515">
        <f>I27</f>
        <v>132</v>
      </c>
      <c r="F27" s="491">
        <f>E27/E29</f>
        <v>0.6</v>
      </c>
      <c r="G27" s="491">
        <v>6</v>
      </c>
      <c r="H27" s="491">
        <v>22</v>
      </c>
      <c r="I27" s="491">
        <f>G27*$H$27</f>
        <v>132</v>
      </c>
      <c r="J27" s="491"/>
      <c r="K27" s="491">
        <v>176</v>
      </c>
      <c r="L27" s="491"/>
      <c r="M27" s="491"/>
    </row>
    <row r="28" spans="1:13" ht="18.75" x14ac:dyDescent="0.25">
      <c r="A28" s="498" t="s">
        <v>1332</v>
      </c>
      <c r="B28" s="499">
        <f>ROUND($E$28*$B$25,2)</f>
        <v>7245.92</v>
      </c>
      <c r="C28" s="499" t="s">
        <v>259</v>
      </c>
      <c r="D28" s="511" t="s">
        <v>1331</v>
      </c>
      <c r="E28" s="515">
        <f>I28</f>
        <v>88</v>
      </c>
      <c r="F28" s="491">
        <f>E28/E29</f>
        <v>0.4</v>
      </c>
      <c r="G28" s="516">
        <v>4</v>
      </c>
      <c r="H28" s="491"/>
      <c r="I28" s="491">
        <f>G28*$H$27</f>
        <v>88</v>
      </c>
      <c r="J28" s="491"/>
      <c r="K28" s="491">
        <v>64</v>
      </c>
      <c r="L28" s="491"/>
      <c r="M28" s="491"/>
    </row>
    <row r="29" spans="1:13" ht="18.75" x14ac:dyDescent="0.25">
      <c r="A29" s="517" t="s">
        <v>1333</v>
      </c>
      <c r="B29" s="518">
        <f>B27+B28</f>
        <v>25421</v>
      </c>
      <c r="C29" s="518" t="s">
        <v>259</v>
      </c>
      <c r="D29" s="519" t="s">
        <v>1331</v>
      </c>
      <c r="E29" s="515">
        <f>E27+E28</f>
        <v>220</v>
      </c>
      <c r="F29" s="491"/>
      <c r="G29" s="516"/>
      <c r="H29" s="491"/>
      <c r="I29" s="491">
        <f>I27+I28</f>
        <v>220</v>
      </c>
      <c r="J29" s="491"/>
      <c r="K29" s="491">
        <v>240</v>
      </c>
      <c r="L29" s="491"/>
      <c r="M29" s="491"/>
    </row>
    <row r="30" spans="1:13" x14ac:dyDescent="0.25">
      <c r="A30" s="492"/>
      <c r="B30" s="492"/>
      <c r="C30" s="492"/>
      <c r="D30" s="492"/>
      <c r="E30" s="492"/>
      <c r="F30" s="491"/>
      <c r="G30" s="491"/>
      <c r="H30" s="491"/>
      <c r="I30" s="491"/>
      <c r="J30" s="491"/>
      <c r="K30" s="491"/>
      <c r="L30" s="491"/>
      <c r="M30" s="491"/>
    </row>
    <row r="31" spans="1:13" x14ac:dyDescent="0.25">
      <c r="A31" s="492"/>
      <c r="B31" s="492"/>
      <c r="C31" s="492"/>
      <c r="D31" s="492"/>
      <c r="E31" s="492"/>
      <c r="F31" s="491"/>
      <c r="G31" s="491"/>
      <c r="H31" s="491"/>
      <c r="I31" s="491"/>
      <c r="J31" s="491"/>
      <c r="K31" s="491"/>
      <c r="L31" s="491"/>
      <c r="M31" s="491"/>
    </row>
    <row r="32" spans="1:13" x14ac:dyDescent="0.25">
      <c r="A32" s="491"/>
      <c r="B32" s="491"/>
      <c r="C32" s="491"/>
      <c r="D32" s="491"/>
      <c r="E32" s="491"/>
      <c r="F32" s="491"/>
      <c r="G32" s="491"/>
      <c r="H32" s="491"/>
      <c r="I32" s="491"/>
      <c r="J32" s="491"/>
      <c r="K32" s="491"/>
      <c r="L32" s="491"/>
      <c r="M32" s="491"/>
    </row>
    <row r="33" spans="1:13" x14ac:dyDescent="0.25">
      <c r="A33" s="520"/>
      <c r="B33" s="520"/>
      <c r="C33" s="520"/>
      <c r="D33" s="521"/>
      <c r="E33" s="520"/>
      <c r="F33" s="520"/>
      <c r="G33" s="520"/>
      <c r="H33" s="520"/>
      <c r="I33" s="520"/>
      <c r="J33" s="520"/>
      <c r="K33" s="520"/>
      <c r="L33" s="520"/>
      <c r="M33" s="520"/>
    </row>
    <row r="34" spans="1:13" x14ac:dyDescent="0.25">
      <c r="A34" s="522"/>
      <c r="B34" s="491"/>
      <c r="C34" s="491"/>
      <c r="D34" s="491"/>
      <c r="E34" s="491"/>
      <c r="F34" s="491"/>
      <c r="G34" s="491"/>
      <c r="H34" s="491"/>
      <c r="I34" s="491"/>
      <c r="J34" s="491"/>
      <c r="K34" s="491"/>
      <c r="L34" s="491"/>
      <c r="M34" s="491"/>
    </row>
    <row r="35" spans="1:13" x14ac:dyDescent="0.25">
      <c r="A35" s="522"/>
      <c r="B35" s="491"/>
      <c r="C35" s="491"/>
      <c r="D35" s="491"/>
      <c r="E35" s="491"/>
      <c r="F35" s="491"/>
      <c r="G35" s="491"/>
      <c r="H35" s="491"/>
      <c r="I35" s="491"/>
      <c r="J35" s="491"/>
      <c r="K35" s="491"/>
      <c r="L35" s="491"/>
      <c r="M35" s="491"/>
    </row>
    <row r="36" spans="1:13" x14ac:dyDescent="0.25">
      <c r="A36" s="522"/>
      <c r="B36" s="491"/>
      <c r="C36" s="491"/>
      <c r="D36" s="491"/>
      <c r="E36" s="491"/>
      <c r="F36" s="491"/>
      <c r="G36" s="491"/>
      <c r="H36" s="491"/>
      <c r="I36" s="491"/>
      <c r="J36" s="491"/>
      <c r="K36" s="491"/>
      <c r="L36" s="491"/>
      <c r="M36" s="491"/>
    </row>
    <row r="37" spans="1:13" x14ac:dyDescent="0.25">
      <c r="A37" s="522"/>
      <c r="B37" s="491"/>
      <c r="C37" s="491"/>
      <c r="D37" s="491"/>
      <c r="E37" s="491"/>
      <c r="F37" s="491"/>
      <c r="G37" s="491"/>
      <c r="H37" s="491"/>
      <c r="I37" s="491"/>
      <c r="J37" s="491"/>
      <c r="K37" s="491"/>
      <c r="L37" s="491"/>
      <c r="M37" s="491"/>
    </row>
    <row r="38" spans="1:13" x14ac:dyDescent="0.25">
      <c r="A38" s="522"/>
      <c r="B38" s="491"/>
      <c r="C38" s="491"/>
      <c r="D38" s="491"/>
      <c r="E38" s="491"/>
      <c r="F38" s="491"/>
      <c r="G38" s="491"/>
      <c r="H38" s="491"/>
      <c r="I38" s="491"/>
      <c r="J38" s="491"/>
      <c r="K38" s="491"/>
      <c r="L38" s="491"/>
      <c r="M38" s="491"/>
    </row>
    <row r="39" spans="1:13" x14ac:dyDescent="0.25">
      <c r="A39" s="522"/>
      <c r="B39" s="491"/>
      <c r="C39" s="491"/>
      <c r="D39" s="491"/>
      <c r="E39" s="491"/>
      <c r="F39" s="491"/>
      <c r="G39" s="491"/>
      <c r="H39" s="491"/>
      <c r="I39" s="491"/>
      <c r="J39" s="491"/>
      <c r="K39" s="491"/>
      <c r="L39" s="491"/>
      <c r="M39" s="491"/>
    </row>
    <row r="40" spans="1:13" x14ac:dyDescent="0.25">
      <c r="A40" s="522"/>
      <c r="B40" s="491"/>
      <c r="C40" s="491"/>
      <c r="D40" s="491"/>
      <c r="E40" s="491"/>
      <c r="F40" s="491"/>
      <c r="G40" s="491"/>
      <c r="H40" s="491"/>
      <c r="I40" s="491"/>
      <c r="J40" s="491"/>
      <c r="K40" s="491"/>
      <c r="L40" s="491"/>
      <c r="M40" s="491"/>
    </row>
    <row r="41" spans="1:13" x14ac:dyDescent="0.25">
      <c r="A41" s="522"/>
      <c r="B41" s="491"/>
      <c r="C41" s="491"/>
      <c r="D41" s="491"/>
      <c r="E41" s="491"/>
      <c r="F41" s="491"/>
      <c r="G41" s="491"/>
      <c r="H41" s="491"/>
      <c r="I41" s="491"/>
      <c r="J41" s="491"/>
      <c r="K41" s="491"/>
      <c r="L41" s="491"/>
      <c r="M41" s="491"/>
    </row>
    <row r="42" spans="1:13" x14ac:dyDescent="0.25">
      <c r="A42" s="522"/>
      <c r="B42" s="491"/>
      <c r="C42" s="491"/>
      <c r="D42" s="491"/>
      <c r="E42" s="491"/>
      <c r="F42" s="491"/>
      <c r="G42" s="491"/>
      <c r="H42" s="491"/>
      <c r="I42" s="491"/>
      <c r="J42" s="491"/>
      <c r="K42" s="491"/>
      <c r="L42" s="491"/>
      <c r="M42" s="491"/>
    </row>
    <row r="43" spans="1:13" x14ac:dyDescent="0.25">
      <c r="A43" s="522"/>
      <c r="B43" s="491"/>
      <c r="C43" s="491"/>
      <c r="D43" s="491"/>
      <c r="E43" s="491"/>
      <c r="F43" s="491"/>
      <c r="G43" s="491"/>
      <c r="H43" s="491"/>
      <c r="I43" s="491"/>
      <c r="J43" s="491"/>
      <c r="K43" s="491"/>
      <c r="L43" s="491"/>
      <c r="M43" s="491"/>
    </row>
    <row r="44" spans="1:13" x14ac:dyDescent="0.25">
      <c r="A44" s="522"/>
      <c r="B44" s="491"/>
      <c r="C44" s="491"/>
      <c r="D44" s="491"/>
      <c r="E44" s="491"/>
      <c r="F44" s="491"/>
      <c r="G44" s="491"/>
      <c r="H44" s="491"/>
      <c r="I44" s="491"/>
      <c r="J44" s="491"/>
      <c r="K44" s="491"/>
      <c r="L44" s="491"/>
      <c r="M44" s="491"/>
    </row>
    <row r="45" spans="1:13" x14ac:dyDescent="0.25">
      <c r="A45" s="522"/>
      <c r="B45" s="491"/>
      <c r="C45" s="491"/>
      <c r="D45" s="491"/>
      <c r="E45" s="491"/>
      <c r="F45" s="491"/>
      <c r="G45" s="491"/>
      <c r="H45" s="491"/>
      <c r="I45" s="491"/>
      <c r="J45" s="491"/>
      <c r="K45" s="491"/>
      <c r="L45" s="491"/>
      <c r="M45" s="491"/>
    </row>
    <row r="46" spans="1:13" x14ac:dyDescent="0.25">
      <c r="A46" s="522"/>
      <c r="B46" s="491"/>
      <c r="C46" s="491"/>
      <c r="D46" s="491"/>
      <c r="E46" s="491"/>
      <c r="F46" s="491"/>
      <c r="G46" s="491"/>
      <c r="H46" s="491"/>
      <c r="I46" s="491"/>
      <c r="J46" s="491"/>
      <c r="K46" s="491"/>
      <c r="L46" s="491"/>
      <c r="M46" s="491"/>
    </row>
    <row r="47" spans="1:13" x14ac:dyDescent="0.25">
      <c r="A47" s="522"/>
      <c r="B47" s="491"/>
      <c r="C47" s="491"/>
      <c r="D47" s="491"/>
      <c r="E47" s="491"/>
      <c r="F47" s="491"/>
      <c r="G47" s="491"/>
      <c r="H47" s="491"/>
      <c r="I47" s="491"/>
      <c r="J47" s="491"/>
      <c r="K47" s="491"/>
      <c r="L47" s="491"/>
      <c r="M47" s="491"/>
    </row>
    <row r="48" spans="1:13" x14ac:dyDescent="0.25">
      <c r="A48" s="522"/>
      <c r="B48" s="491"/>
      <c r="C48" s="491"/>
      <c r="D48" s="491"/>
      <c r="E48" s="491"/>
      <c r="F48" s="491"/>
      <c r="G48" s="491"/>
      <c r="H48" s="491"/>
      <c r="I48" s="491"/>
      <c r="J48" s="491"/>
      <c r="K48" s="491"/>
      <c r="L48" s="491"/>
      <c r="M48" s="491"/>
    </row>
    <row r="49" spans="1:13" x14ac:dyDescent="0.25">
      <c r="A49" s="522"/>
      <c r="B49" s="491"/>
      <c r="C49" s="491"/>
      <c r="D49" s="491"/>
      <c r="E49" s="491"/>
      <c r="F49" s="491"/>
      <c r="G49" s="491"/>
      <c r="H49" s="491"/>
      <c r="I49" s="491"/>
      <c r="J49" s="491"/>
      <c r="K49" s="491"/>
      <c r="L49" s="491"/>
      <c r="M49" s="491"/>
    </row>
    <row r="50" spans="1:13" x14ac:dyDescent="0.25">
      <c r="A50" s="522"/>
      <c r="B50" s="491"/>
      <c r="C50" s="491"/>
      <c r="D50" s="491"/>
      <c r="E50" s="491"/>
      <c r="F50" s="491"/>
      <c r="G50" s="491"/>
      <c r="H50" s="491"/>
      <c r="I50" s="491"/>
      <c r="J50" s="491"/>
      <c r="K50" s="491"/>
      <c r="L50" s="491"/>
      <c r="M50" s="491"/>
    </row>
    <row r="51" spans="1:13" x14ac:dyDescent="0.25">
      <c r="A51" s="522"/>
      <c r="B51" s="491"/>
      <c r="C51" s="491"/>
      <c r="D51" s="491"/>
      <c r="E51" s="491"/>
      <c r="F51" s="491"/>
      <c r="G51" s="491"/>
      <c r="H51" s="491"/>
      <c r="I51" s="491"/>
      <c r="J51" s="491"/>
      <c r="K51" s="491"/>
      <c r="L51" s="491"/>
      <c r="M51" s="491"/>
    </row>
    <row r="52" spans="1:13" x14ac:dyDescent="0.25">
      <c r="A52" s="522"/>
      <c r="B52" s="491"/>
      <c r="C52" s="491"/>
      <c r="D52" s="491"/>
      <c r="E52" s="491"/>
      <c r="F52" s="491"/>
      <c r="G52" s="491"/>
      <c r="H52" s="491"/>
      <c r="I52" s="491"/>
      <c r="J52" s="491"/>
      <c r="K52" s="491"/>
      <c r="L52" s="491"/>
      <c r="M52" s="491"/>
    </row>
    <row r="53" spans="1:13" x14ac:dyDescent="0.25">
      <c r="A53" s="522"/>
      <c r="B53" s="491"/>
      <c r="C53" s="491"/>
      <c r="D53" s="491"/>
      <c r="E53" s="491"/>
      <c r="F53" s="491"/>
      <c r="G53" s="491"/>
      <c r="H53" s="491"/>
      <c r="I53" s="491"/>
      <c r="J53" s="491"/>
      <c r="K53" s="491"/>
      <c r="L53" s="491"/>
      <c r="M53" s="491"/>
    </row>
  </sheetData>
  <mergeCells count="9">
    <mergeCell ref="A20:E20"/>
    <mergeCell ref="A23:E23"/>
    <mergeCell ref="A26:E26"/>
    <mergeCell ref="A2:E2"/>
    <mergeCell ref="A3:E3"/>
    <mergeCell ref="D6:E6"/>
    <mergeCell ref="D7:E7"/>
    <mergeCell ref="A13:E13"/>
    <mergeCell ref="A18:E18"/>
  </mergeCells>
  <pageMargins left="0.511811024" right="0.511811024" top="0.78740157499999996" bottom="0.78740157499999996" header="0.31496062000000002" footer="0.31496062000000002"/>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Planilhas</vt:lpstr>
      </vt:variant>
      <vt:variant>
        <vt:i4>30</vt:i4>
      </vt:variant>
      <vt:variant>
        <vt:lpstr>Gráficos</vt:lpstr>
      </vt:variant>
      <vt:variant>
        <vt:i4>1</vt:i4>
      </vt:variant>
      <vt:variant>
        <vt:lpstr>Intervalos nomeados</vt:lpstr>
      </vt:variant>
      <vt:variant>
        <vt:i4>22</vt:i4>
      </vt:variant>
    </vt:vector>
  </HeadingPairs>
  <TitlesOfParts>
    <vt:vector size="53" baseType="lpstr">
      <vt:lpstr>Sumario</vt:lpstr>
      <vt:lpstr>Qd abrang</vt:lpstr>
      <vt:lpstr>Orcamento</vt:lpstr>
      <vt:lpstr>Crono medicoes</vt:lpstr>
      <vt:lpstr>Custos proj</vt:lpstr>
      <vt:lpstr>MO</vt:lpstr>
      <vt:lpstr>Veículos</vt:lpstr>
      <vt:lpstr>Equip + materiais</vt:lpstr>
      <vt:lpstr>Diárias + passagens</vt:lpstr>
      <vt:lpstr>Mob desmob MO</vt:lpstr>
      <vt:lpstr>Mob desmob equip rod</vt:lpstr>
      <vt:lpstr>Inst + diversos</vt:lpstr>
      <vt:lpstr>BDI OK</vt:lpstr>
      <vt:lpstr>Serv graf</vt:lpstr>
      <vt:lpstr>Produtividade</vt:lpstr>
      <vt:lpstr>Carac trecho</vt:lpstr>
      <vt:lpstr>Memo calc</vt:lpstr>
      <vt:lpstr>Crono fisico</vt:lpstr>
      <vt:lpstr>Histo esc</vt:lpstr>
      <vt:lpstr>Histo resid</vt:lpstr>
      <vt:lpstr>Listas</vt:lpstr>
      <vt:lpstr>Lista MO</vt:lpstr>
      <vt:lpstr>Lista veiculo+equip+mat</vt:lpstr>
      <vt:lpstr>Imóveis-Mobiliários-Cestas-Dive</vt:lpstr>
      <vt:lpstr>BDI</vt:lpstr>
      <vt:lpstr>Sudecap</vt:lpstr>
      <vt:lpstr>Curva ABC Serviços</vt:lpstr>
      <vt:lpstr>Curva ABC MO</vt:lpstr>
      <vt:lpstr>Edital DNIT 311-19 (Conj VDR)</vt:lpstr>
      <vt:lpstr>Edital DNIT 311-19 (Custo VDR)</vt:lpstr>
      <vt:lpstr>Graf crono fisico</vt:lpstr>
      <vt:lpstr>'BDI OK'!Area_de_impressao</vt:lpstr>
      <vt:lpstr>'Carac trecho'!Area_de_impressao</vt:lpstr>
      <vt:lpstr>'Crono medicoes'!Area_de_impressao</vt:lpstr>
      <vt:lpstr>'Curva ABC MO'!Area_de_impressao</vt:lpstr>
      <vt:lpstr>'Curva ABC Serviços'!Area_de_impressao</vt:lpstr>
      <vt:lpstr>'Custos proj'!Area_de_impressao</vt:lpstr>
      <vt:lpstr>'Diárias + passagens'!Area_de_impressao</vt:lpstr>
      <vt:lpstr>'Equip + materiais'!Area_de_impressao</vt:lpstr>
      <vt:lpstr>'Inst + diversos'!Area_de_impressao</vt:lpstr>
      <vt:lpstr>'Lista MO'!Area_de_impressao</vt:lpstr>
      <vt:lpstr>MO!Area_de_impressao</vt:lpstr>
      <vt:lpstr>'Mob desmob equip rod'!Area_de_impressao</vt:lpstr>
      <vt:lpstr>'Mob desmob MO'!Area_de_impressao</vt:lpstr>
      <vt:lpstr>Orcamento!Area_de_impressao</vt:lpstr>
      <vt:lpstr>Produtividade!Area_de_impressao</vt:lpstr>
      <vt:lpstr>'Qd abrang'!Area_de_impressao</vt:lpstr>
      <vt:lpstr>'Serv graf'!Area_de_impressao</vt:lpstr>
      <vt:lpstr>Sumario!Area_de_impressao</vt:lpstr>
      <vt:lpstr>Veículos!Area_de_impressao</vt:lpstr>
      <vt:lpstr>'Curva ABC MO'!Titulos_de_impressao</vt:lpstr>
      <vt:lpstr>'Memo calc'!Titulos_de_impressao</vt:lpstr>
      <vt:lpstr>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Gelio Proença Brum Filho</dc:creator>
  <cp:lastModifiedBy>Raquel Braga dos Santos Reis</cp:lastModifiedBy>
  <cp:lastPrinted>2025-08-19T14:24:29Z</cp:lastPrinted>
  <dcterms:created xsi:type="dcterms:W3CDTF">2021-07-12T19:37:23Z</dcterms:created>
  <dcterms:modified xsi:type="dcterms:W3CDTF">2025-10-22T21:10:03Z</dcterms:modified>
</cp:coreProperties>
</file>